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2.xml" ContentType="application/vnd.ms-office.chartstyle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charts/chart2.xml" ContentType="application/vnd.openxmlformats-officedocument.drawingml.chart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3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xl/customProperty35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xl/customProperty33.bin" ContentType="application/vnd.openxmlformats-officedocument.spreadsheetml.customProperty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9.bin" ContentType="application/vnd.openxmlformats-officedocument.spreadsheetml.customProperty"/>
  <Override PartName="/xl/customProperty28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27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4.bin" ContentType="application/vnd.openxmlformats-officedocument.spreadsheetml.customProperty"/>
  <Override PartName="/xl/customProperty26.bin" ContentType="application/vnd.openxmlformats-officedocument.spreadsheetml.customProperty"/>
  <Override PartName="/xl/customProperty34.bin" ContentType="application/vnd.openxmlformats-officedocument.spreadsheetml.customPropert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bookViews>
    <workbookView xWindow="0" yWindow="0" windowWidth="11010" windowHeight="6540" activeTab="2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  <sheet name="Revenue &amp; Rider Impacts" sheetId="15" r:id="rId11"/>
    <sheet name="Exhibit No.__(JAP-Prof-Prop)" sheetId="2" r:id="rId12"/>
    <sheet name="Sch 95" sheetId="3" r:id="rId13"/>
    <sheet name="Sch 95a" sheetId="4" r:id="rId14"/>
    <sheet name="Sch 120" sheetId="13" r:id="rId15"/>
    <sheet name="Sch 129" sheetId="16" r:id="rId16"/>
    <sheet name="Sch 137" sheetId="19" r:id="rId17"/>
    <sheet name="Sch 140" sheetId="22" r:id="rId18"/>
    <sheet name="Sch 141" sheetId="23" r:id="rId19"/>
    <sheet name="Sch 141x" sheetId="50" r:id="rId20"/>
    <sheet name="Sch 141y" sheetId="51" r:id="rId21"/>
    <sheet name="Sch 142" sheetId="24" r:id="rId22"/>
    <sheet name="Sch 194" sheetId="25" r:id="rId23"/>
    <sheet name="Final Rider-Tracker Filings" sheetId="14" r:id="rId24"/>
    <sheet name="UE-190223 Sch 95" sheetId="5" r:id="rId25"/>
    <sheet name="UE-180887 Sch 95a" sheetId="52" r:id="rId26"/>
    <sheet name="UE-190149 Sch 120" sheetId="6" r:id="rId27"/>
    <sheet name="UE-180739 Sch 129" sheetId="7" r:id="rId28"/>
    <sheet name="UE-180978 Sch 137" sheetId="20" r:id="rId29"/>
    <sheet name="UE-190227 Sch 140" sheetId="8" r:id="rId30"/>
    <sheet name="UE-180899 Sch 141&amp;141x Avg Rate" sheetId="53" r:id="rId31"/>
    <sheet name="UE-180899 Sch 141&amp;141x Rates" sheetId="58" r:id="rId32"/>
    <sheet name="UE-190220 Sch 141y" sheetId="55" r:id="rId33"/>
    <sheet name="UE-190231 Sch 142" sheetId="9" r:id="rId34"/>
    <sheet name="UE-170946 Sch 194" sheetId="10" r:id="rId35"/>
  </sheets>
  <definedNames>
    <definedName name="_xlnm.Print_Area" localSheetId="2">'Exhibit No.__(JAP-Sch 7 Imp)'!$A$1:$Q$42</definedName>
  </definedNames>
  <calcPr calcId="152511"/>
</workbook>
</file>

<file path=xl/calcChain.xml><?xml version="1.0" encoding="utf-8"?>
<calcChain xmlns="http://schemas.openxmlformats.org/spreadsheetml/2006/main">
  <c r="S27" i="1" l="1"/>
  <c r="S23" i="1"/>
  <c r="S20" i="1"/>
  <c r="D27" i="1"/>
  <c r="D20" i="1"/>
  <c r="C27" i="1"/>
  <c r="C20" i="1"/>
  <c r="C15" i="1"/>
  <c r="N35" i="43"/>
  <c r="O49" i="41"/>
  <c r="O75" i="40"/>
  <c r="U41" i="37"/>
  <c r="S15" i="1"/>
  <c r="D23" i="1"/>
  <c r="D15" i="1"/>
  <c r="C23" i="1"/>
  <c r="G85" i="58"/>
  <c r="F85" i="58"/>
  <c r="B85" i="58"/>
  <c r="G84" i="58"/>
  <c r="F84" i="58"/>
  <c r="B84" i="58"/>
  <c r="B83" i="58"/>
  <c r="F82" i="58"/>
  <c r="G82" i="58" s="1"/>
  <c r="B82" i="58"/>
  <c r="B81" i="58"/>
  <c r="G80" i="58"/>
  <c r="F80" i="58"/>
  <c r="B80" i="58"/>
  <c r="F77" i="58"/>
  <c r="G77" i="58" s="1"/>
  <c r="B77" i="58"/>
  <c r="B76" i="58"/>
  <c r="G75" i="58"/>
  <c r="F75" i="58"/>
  <c r="B75" i="58"/>
  <c r="G74" i="58"/>
  <c r="F74" i="58"/>
  <c r="B74" i="58"/>
  <c r="B73" i="58"/>
  <c r="F72" i="58"/>
  <c r="G72" i="58" s="1"/>
  <c r="B72" i="58"/>
  <c r="B71" i="58"/>
  <c r="G70" i="58"/>
  <c r="F70" i="58"/>
  <c r="B70" i="58"/>
  <c r="F67" i="58"/>
  <c r="G67" i="58" s="1"/>
  <c r="B67" i="58"/>
  <c r="B66" i="58"/>
  <c r="G65" i="58"/>
  <c r="F65" i="58"/>
  <c r="B65" i="58"/>
  <c r="G64" i="58"/>
  <c r="F64" i="58"/>
  <c r="B64" i="58"/>
  <c r="G63" i="58"/>
  <c r="F63" i="58"/>
  <c r="B63" i="58"/>
  <c r="B62" i="58"/>
  <c r="F61" i="58"/>
  <c r="G61" i="58" s="1"/>
  <c r="B61" i="58"/>
  <c r="F60" i="58"/>
  <c r="G60" i="58" s="1"/>
  <c r="B60" i="58"/>
  <c r="F59" i="58"/>
  <c r="G59" i="58" s="1"/>
  <c r="B59" i="58"/>
  <c r="F58" i="58"/>
  <c r="G58" i="58" s="1"/>
  <c r="B58" i="58"/>
  <c r="B57" i="58"/>
  <c r="G56" i="58"/>
  <c r="F56" i="58"/>
  <c r="B56" i="58"/>
  <c r="G55" i="58"/>
  <c r="F55" i="58"/>
  <c r="B55" i="58"/>
  <c r="E52" i="58"/>
  <c r="F52" i="58" s="1"/>
  <c r="G52" i="58" s="1"/>
  <c r="B52" i="58"/>
  <c r="F51" i="58"/>
  <c r="G51" i="58" s="1"/>
  <c r="E51" i="58"/>
  <c r="B51" i="58"/>
  <c r="G50" i="58"/>
  <c r="F50" i="58"/>
  <c r="E50" i="58"/>
  <c r="B50" i="58"/>
  <c r="E49" i="58"/>
  <c r="F49" i="58" s="1"/>
  <c r="G49" i="58" s="1"/>
  <c r="B49" i="58"/>
  <c r="E48" i="58"/>
  <c r="F48" i="58" s="1"/>
  <c r="G48" i="58" s="1"/>
  <c r="B48" i="58"/>
  <c r="F47" i="58"/>
  <c r="G47" i="58" s="1"/>
  <c r="B47" i="58"/>
  <c r="F46" i="58"/>
  <c r="G46" i="58" s="1"/>
  <c r="B46" i="58"/>
  <c r="F45" i="58"/>
  <c r="G45" i="58" s="1"/>
  <c r="B45" i="58"/>
  <c r="B44" i="58"/>
  <c r="B43" i="58"/>
  <c r="F42" i="58"/>
  <c r="G42" i="58" s="1"/>
  <c r="B42" i="58"/>
  <c r="B41" i="58"/>
  <c r="G40" i="58"/>
  <c r="F40" i="58"/>
  <c r="B40" i="58"/>
  <c r="G39" i="58"/>
  <c r="F39" i="58"/>
  <c r="B39" i="58"/>
  <c r="B38" i="58"/>
  <c r="F37" i="58"/>
  <c r="G37" i="58" s="1"/>
  <c r="B37" i="58"/>
  <c r="B36" i="58"/>
  <c r="G35" i="58"/>
  <c r="F35" i="58"/>
  <c r="B35" i="58"/>
  <c r="F32" i="58"/>
  <c r="G32" i="58" s="1"/>
  <c r="B32" i="58"/>
  <c r="B31" i="58"/>
  <c r="G30" i="58"/>
  <c r="F30" i="58"/>
  <c r="B30" i="58"/>
  <c r="G29" i="58"/>
  <c r="F29" i="58"/>
  <c r="B29" i="58"/>
  <c r="G28" i="58"/>
  <c r="F28" i="58"/>
  <c r="B28" i="58"/>
  <c r="B27" i="58"/>
  <c r="F26" i="58"/>
  <c r="G26" i="58" s="1"/>
  <c r="B26" i="58"/>
  <c r="F25" i="58"/>
  <c r="G25" i="58" s="1"/>
  <c r="B25" i="58"/>
  <c r="F24" i="58"/>
  <c r="G24" i="58" s="1"/>
  <c r="B24" i="58"/>
  <c r="B23" i="58"/>
  <c r="G22" i="58"/>
  <c r="F22" i="58"/>
  <c r="B22" i="58"/>
  <c r="F19" i="58"/>
  <c r="G19" i="58" s="1"/>
  <c r="B19" i="58"/>
  <c r="F18" i="58"/>
  <c r="G18" i="58" s="1"/>
  <c r="B18" i="58"/>
  <c r="B17" i="58"/>
  <c r="G16" i="58"/>
  <c r="F16" i="58"/>
  <c r="B16" i="58"/>
  <c r="G15" i="58"/>
  <c r="F15" i="58"/>
  <c r="B15" i="58"/>
  <c r="F12" i="58"/>
  <c r="G12" i="58" s="1"/>
  <c r="B12" i="58"/>
  <c r="F11" i="58"/>
  <c r="G11" i="58" s="1"/>
  <c r="B11" i="58"/>
  <c r="B10" i="58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A78" i="58" s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G9" i="58"/>
  <c r="F9" i="58"/>
  <c r="A9" i="58"/>
  <c r="G8" i="58"/>
  <c r="F8" i="58"/>
  <c r="A8" i="58"/>
  <c r="X36" i="53"/>
  <c r="Y36" i="53" s="1"/>
  <c r="E26" i="50" s="1"/>
  <c r="Y33" i="53"/>
  <c r="X33" i="53"/>
  <c r="X30" i="53"/>
  <c r="Y30" i="53" s="1"/>
  <c r="E23" i="50" s="1"/>
  <c r="X29" i="53"/>
  <c r="Y29" i="53" s="1"/>
  <c r="X28" i="53"/>
  <c r="Y28" i="53" s="1"/>
  <c r="E20" i="50" s="1"/>
  <c r="X24" i="53"/>
  <c r="Y24" i="53" s="1"/>
  <c r="X23" i="53"/>
  <c r="Y23" i="53" s="1"/>
  <c r="E15" i="50" s="1"/>
  <c r="X22" i="53"/>
  <c r="Y22" i="53" s="1"/>
  <c r="Y21" i="53"/>
  <c r="X21" i="53"/>
  <c r="X17" i="53"/>
  <c r="Y17" i="53" s="1"/>
  <c r="F40" i="25"/>
  <c r="D35" i="25"/>
  <c r="D36" i="25" s="1"/>
  <c r="F34" i="25"/>
  <c r="E32" i="25"/>
  <c r="F32" i="25"/>
  <c r="F30" i="25"/>
  <c r="D30" i="25"/>
  <c r="F29" i="25"/>
  <c r="F28" i="25"/>
  <c r="F26" i="25"/>
  <c r="F23" i="25"/>
  <c r="E22" i="25"/>
  <c r="E21" i="25"/>
  <c r="F21" i="25" s="1"/>
  <c r="D24" i="25"/>
  <c r="E20" i="25"/>
  <c r="F20" i="25" s="1"/>
  <c r="F17" i="25"/>
  <c r="D9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F8" i="25"/>
  <c r="A8" i="25"/>
  <c r="F7" i="25"/>
  <c r="F9" i="25" s="1"/>
  <c r="E7" i="25"/>
  <c r="E17" i="25" s="1"/>
  <c r="D6" i="25"/>
  <c r="A3" i="25"/>
  <c r="F33" i="24"/>
  <c r="F32" i="24"/>
  <c r="F27" i="24"/>
  <c r="F26" i="24"/>
  <c r="E24" i="24"/>
  <c r="F23" i="24"/>
  <c r="F22" i="24"/>
  <c r="G21" i="24"/>
  <c r="F21" i="24"/>
  <c r="G20" i="24"/>
  <c r="F20" i="24"/>
  <c r="H20" i="24" s="1"/>
  <c r="A20" i="24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E18" i="24"/>
  <c r="E36" i="24" s="1"/>
  <c r="F17" i="24"/>
  <c r="G16" i="24"/>
  <c r="F16" i="24"/>
  <c r="G15" i="24"/>
  <c r="H15" i="24" s="1"/>
  <c r="F15" i="24"/>
  <c r="F14" i="24"/>
  <c r="H13" i="24"/>
  <c r="F13" i="24"/>
  <c r="F12" i="24"/>
  <c r="F11" i="24"/>
  <c r="H11" i="24" s="1"/>
  <c r="F8" i="24"/>
  <c r="H8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F7" i="24"/>
  <c r="D6" i="24"/>
  <c r="A3" i="24"/>
  <c r="E33" i="51"/>
  <c r="A33" i="51"/>
  <c r="A34" i="51" s="1"/>
  <c r="E32" i="51"/>
  <c r="A32" i="51"/>
  <c r="A31" i="51"/>
  <c r="E30" i="51"/>
  <c r="E27" i="51"/>
  <c r="E26" i="51"/>
  <c r="E23" i="51"/>
  <c r="E22" i="51"/>
  <c r="F20" i="51"/>
  <c r="E20" i="51"/>
  <c r="E21" i="51" s="1"/>
  <c r="E17" i="51"/>
  <c r="E15" i="51"/>
  <c r="F13" i="51"/>
  <c r="E13" i="51"/>
  <c r="E14" i="51" s="1"/>
  <c r="F11" i="51"/>
  <c r="E11" i="51"/>
  <c r="E12" i="51" s="1"/>
  <c r="F8" i="51"/>
  <c r="E8" i="51"/>
  <c r="E7" i="51"/>
  <c r="D6" i="51"/>
  <c r="A3" i="51"/>
  <c r="E33" i="50"/>
  <c r="A31" i="50"/>
  <c r="A32" i="50" s="1"/>
  <c r="A33" i="50" s="1"/>
  <c r="A34" i="50" s="1"/>
  <c r="E22" i="50"/>
  <c r="E17" i="50"/>
  <c r="E11" i="50"/>
  <c r="E8" i="50"/>
  <c r="E7" i="50"/>
  <c r="D6" i="50"/>
  <c r="A3" i="50"/>
  <c r="A31" i="23"/>
  <c r="A32" i="23" s="1"/>
  <c r="A33" i="23" s="1"/>
  <c r="E26" i="23"/>
  <c r="E23" i="23"/>
  <c r="E22" i="23"/>
  <c r="E20" i="23"/>
  <c r="E17" i="23"/>
  <c r="E15" i="23"/>
  <c r="F15" i="23" s="1"/>
  <c r="E11" i="23"/>
  <c r="E8" i="23"/>
  <c r="E7" i="23"/>
  <c r="D6" i="23"/>
  <c r="A3" i="23"/>
  <c r="E33" i="22"/>
  <c r="E32" i="22"/>
  <c r="E30" i="22"/>
  <c r="E27" i="22"/>
  <c r="E26" i="22"/>
  <c r="E23" i="22"/>
  <c r="E22" i="22"/>
  <c r="F20" i="22"/>
  <c r="E20" i="22"/>
  <c r="E21" i="22" s="1"/>
  <c r="E17" i="22"/>
  <c r="E15" i="22"/>
  <c r="F15" i="22" s="1"/>
  <c r="F13" i="22"/>
  <c r="E13" i="22"/>
  <c r="E14" i="22" s="1"/>
  <c r="E11" i="22"/>
  <c r="F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F8" i="22"/>
  <c r="E8" i="22"/>
  <c r="A8" i="22"/>
  <c r="A9" i="22" s="1"/>
  <c r="E7" i="22"/>
  <c r="D6" i="22"/>
  <c r="A3" i="22"/>
  <c r="E30" i="19"/>
  <c r="E27" i="19"/>
  <c r="N24" i="43" s="1"/>
  <c r="P24" i="43" s="1"/>
  <c r="E26" i="19"/>
  <c r="E23" i="19"/>
  <c r="E22" i="19"/>
  <c r="E20" i="19"/>
  <c r="F20" i="19" s="1"/>
  <c r="E17" i="19"/>
  <c r="E15" i="19"/>
  <c r="F15" i="19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E12" i="19"/>
  <c r="F11" i="19"/>
  <c r="E11" i="19"/>
  <c r="E8" i="19"/>
  <c r="A8" i="19"/>
  <c r="A9" i="19" s="1"/>
  <c r="A10" i="19" s="1"/>
  <c r="A11" i="19" s="1"/>
  <c r="A12" i="19" s="1"/>
  <c r="A13" i="19" s="1"/>
  <c r="E7" i="19"/>
  <c r="D6" i="19"/>
  <c r="A3" i="19"/>
  <c r="E33" i="16"/>
  <c r="E32" i="16"/>
  <c r="E30" i="16"/>
  <c r="E27" i="16"/>
  <c r="E26" i="16"/>
  <c r="E23" i="16"/>
  <c r="E22" i="16"/>
  <c r="F20" i="16"/>
  <c r="E20" i="16"/>
  <c r="E21" i="16" s="1"/>
  <c r="E17" i="16"/>
  <c r="E15" i="16"/>
  <c r="E16" i="16" s="1"/>
  <c r="E14" i="16"/>
  <c r="E13" i="16"/>
  <c r="F13" i="16" s="1"/>
  <c r="E11" i="16"/>
  <c r="F11" i="16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9" i="16"/>
  <c r="F8" i="16"/>
  <c r="E8" i="16"/>
  <c r="A8" i="16"/>
  <c r="E7" i="16"/>
  <c r="D6" i="16"/>
  <c r="A3" i="16"/>
  <c r="E33" i="13"/>
  <c r="E32" i="13"/>
  <c r="E30" i="13"/>
  <c r="E27" i="13"/>
  <c r="E26" i="13"/>
  <c r="E23" i="13"/>
  <c r="E22" i="13"/>
  <c r="F20" i="13"/>
  <c r="E20" i="13"/>
  <c r="E21" i="13" s="1"/>
  <c r="E17" i="13"/>
  <c r="O46" i="40" s="1"/>
  <c r="Q46" i="40" s="1"/>
  <c r="E15" i="13"/>
  <c r="E16" i="13" s="1"/>
  <c r="E14" i="13"/>
  <c r="E13" i="13"/>
  <c r="F13" i="13" s="1"/>
  <c r="F11" i="13"/>
  <c r="E11" i="13"/>
  <c r="E12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F8" i="13"/>
  <c r="E8" i="13"/>
  <c r="A8" i="13"/>
  <c r="E7" i="13"/>
  <c r="D6" i="13"/>
  <c r="A3" i="13"/>
  <c r="E30" i="4"/>
  <c r="E27" i="4"/>
  <c r="E26" i="4"/>
  <c r="E23" i="4"/>
  <c r="E22" i="4"/>
  <c r="F20" i="4"/>
  <c r="E20" i="4"/>
  <c r="E21" i="4" s="1"/>
  <c r="E17" i="4"/>
  <c r="E15" i="4"/>
  <c r="F15" i="4" s="1"/>
  <c r="E13" i="4"/>
  <c r="E14" i="4" s="1"/>
  <c r="E11" i="4"/>
  <c r="F11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9" i="4"/>
  <c r="F8" i="4"/>
  <c r="E8" i="4"/>
  <c r="A8" i="4"/>
  <c r="E7" i="4"/>
  <c r="D6" i="4"/>
  <c r="A3" i="4"/>
  <c r="E30" i="3"/>
  <c r="E27" i="3"/>
  <c r="E26" i="3"/>
  <c r="E23" i="3"/>
  <c r="E22" i="3"/>
  <c r="E20" i="3"/>
  <c r="F20" i="3" s="1"/>
  <c r="E17" i="3"/>
  <c r="E15" i="3"/>
  <c r="F15" i="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F13" i="3"/>
  <c r="E13" i="3"/>
  <c r="E14" i="3" s="1"/>
  <c r="E12" i="3"/>
  <c r="E11" i="3"/>
  <c r="F11" i="3" s="1"/>
  <c r="E8" i="3"/>
  <c r="F8" i="3" s="1"/>
  <c r="A8" i="3"/>
  <c r="A9" i="3" s="1"/>
  <c r="A10" i="3" s="1"/>
  <c r="A11" i="3" s="1"/>
  <c r="A12" i="3" s="1"/>
  <c r="A13" i="3" s="1"/>
  <c r="E7" i="3"/>
  <c r="D6" i="3"/>
  <c r="A3" i="3"/>
  <c r="E35" i="43"/>
  <c r="E34" i="43"/>
  <c r="E33" i="43"/>
  <c r="N31" i="43"/>
  <c r="P31" i="43" s="1"/>
  <c r="E31" i="43"/>
  <c r="N30" i="43"/>
  <c r="P30" i="43" s="1"/>
  <c r="E30" i="43"/>
  <c r="E29" i="43"/>
  <c r="E27" i="43"/>
  <c r="E26" i="43"/>
  <c r="P25" i="43"/>
  <c r="N25" i="43"/>
  <c r="E25" i="43"/>
  <c r="P23" i="43"/>
  <c r="N23" i="43"/>
  <c r="E23" i="43"/>
  <c r="N22" i="43"/>
  <c r="P22" i="43" s="1"/>
  <c r="E22" i="43"/>
  <c r="P21" i="43"/>
  <c r="N21" i="43"/>
  <c r="E21" i="43"/>
  <c r="E19" i="43"/>
  <c r="M18" i="43"/>
  <c r="E18" i="43"/>
  <c r="M17" i="43"/>
  <c r="E17" i="43"/>
  <c r="E15" i="43"/>
  <c r="E14" i="43"/>
  <c r="P13" i="43"/>
  <c r="E13" i="43"/>
  <c r="E35" i="42"/>
  <c r="E34" i="42"/>
  <c r="E33" i="42"/>
  <c r="N31" i="42"/>
  <c r="P31" i="42" s="1"/>
  <c r="E31" i="42"/>
  <c r="N30" i="42"/>
  <c r="P30" i="42" s="1"/>
  <c r="E30" i="42"/>
  <c r="N29" i="42"/>
  <c r="N13" i="42" s="1"/>
  <c r="E29" i="42"/>
  <c r="N28" i="42"/>
  <c r="N27" i="42"/>
  <c r="E27" i="42"/>
  <c r="N26" i="42"/>
  <c r="E26" i="42"/>
  <c r="N25" i="42"/>
  <c r="P25" i="42" s="1"/>
  <c r="E25" i="42"/>
  <c r="N24" i="42"/>
  <c r="P24" i="42" s="1"/>
  <c r="P23" i="42"/>
  <c r="N23" i="42"/>
  <c r="E23" i="42"/>
  <c r="N22" i="42"/>
  <c r="P22" i="42" s="1"/>
  <c r="E22" i="42"/>
  <c r="P21" i="42"/>
  <c r="N21" i="42"/>
  <c r="E21" i="42"/>
  <c r="E19" i="42"/>
  <c r="M18" i="42"/>
  <c r="E18" i="42"/>
  <c r="M17" i="42"/>
  <c r="E17" i="42"/>
  <c r="E15" i="42"/>
  <c r="E14" i="42"/>
  <c r="P13" i="42"/>
  <c r="E13" i="42"/>
  <c r="O45" i="41"/>
  <c r="O44" i="41"/>
  <c r="Q44" i="41" s="1"/>
  <c r="O43" i="41"/>
  <c r="O42" i="41"/>
  <c r="O41" i="41"/>
  <c r="O40" i="41"/>
  <c r="O39" i="41"/>
  <c r="O38" i="41"/>
  <c r="O37" i="41"/>
  <c r="O36" i="41"/>
  <c r="O35" i="41"/>
  <c r="O34" i="41"/>
  <c r="O33" i="41"/>
  <c r="Q33" i="41" s="1"/>
  <c r="Q31" i="41"/>
  <c r="O31" i="41"/>
  <c r="O30" i="41"/>
  <c r="Q30" i="41" s="1"/>
  <c r="Q29" i="41"/>
  <c r="O29" i="41"/>
  <c r="O28" i="41"/>
  <c r="O18" i="41"/>
  <c r="W35" i="41" s="1"/>
  <c r="N26" i="41"/>
  <c r="N25" i="41"/>
  <c r="N24" i="41"/>
  <c r="N23" i="41"/>
  <c r="N22" i="41"/>
  <c r="N21" i="41"/>
  <c r="Q18" i="41"/>
  <c r="P18" i="41"/>
  <c r="P16" i="41"/>
  <c r="P15" i="41"/>
  <c r="P14" i="41"/>
  <c r="P12" i="41"/>
  <c r="E12" i="41"/>
  <c r="E11" i="41"/>
  <c r="B11" i="41"/>
  <c r="B12" i="41" s="1"/>
  <c r="B14" i="41" s="1"/>
  <c r="E16" i="41" s="1"/>
  <c r="Q10" i="41"/>
  <c r="P10" i="41"/>
  <c r="O10" i="41"/>
  <c r="W32" i="41" s="1"/>
  <c r="E10" i="41"/>
  <c r="O64" i="40"/>
  <c r="O63" i="40"/>
  <c r="O62" i="40"/>
  <c r="O61" i="40"/>
  <c r="O60" i="40"/>
  <c r="O59" i="40"/>
  <c r="O58" i="40"/>
  <c r="O57" i="40"/>
  <c r="O56" i="40"/>
  <c r="O55" i="40"/>
  <c r="O54" i="40"/>
  <c r="O53" i="40"/>
  <c r="O52" i="40"/>
  <c r="O51" i="40"/>
  <c r="O50" i="40"/>
  <c r="Q49" i="40"/>
  <c r="O49" i="40"/>
  <c r="Q48" i="40"/>
  <c r="O48" i="40"/>
  <c r="Q47" i="40"/>
  <c r="O47" i="40"/>
  <c r="Q45" i="40"/>
  <c r="O45" i="40"/>
  <c r="O44" i="40"/>
  <c r="N42" i="40"/>
  <c r="N41" i="40"/>
  <c r="N40" i="40"/>
  <c r="Q23" i="40"/>
  <c r="O23" i="40"/>
  <c r="N39" i="40"/>
  <c r="N38" i="40"/>
  <c r="E38" i="40"/>
  <c r="E37" i="40"/>
  <c r="B37" i="40"/>
  <c r="B38" i="40" s="1"/>
  <c r="N36" i="40"/>
  <c r="E36" i="40"/>
  <c r="N35" i="40"/>
  <c r="E34" i="40"/>
  <c r="N33" i="40"/>
  <c r="E33" i="40"/>
  <c r="B33" i="40"/>
  <c r="B34" i="40" s="1"/>
  <c r="N32" i="40"/>
  <c r="E32" i="40"/>
  <c r="N31" i="40"/>
  <c r="N30" i="40"/>
  <c r="E30" i="40"/>
  <c r="E29" i="40"/>
  <c r="B29" i="40"/>
  <c r="B30" i="40" s="1"/>
  <c r="E28" i="40"/>
  <c r="Q27" i="40"/>
  <c r="P27" i="40"/>
  <c r="E26" i="40"/>
  <c r="Q25" i="40"/>
  <c r="P25" i="40"/>
  <c r="E25" i="40"/>
  <c r="B25" i="40"/>
  <c r="B26" i="40" s="1"/>
  <c r="Q24" i="40"/>
  <c r="P24" i="40"/>
  <c r="E24" i="40"/>
  <c r="P23" i="40"/>
  <c r="P21" i="40"/>
  <c r="E21" i="40"/>
  <c r="B21" i="40"/>
  <c r="E20" i="40"/>
  <c r="B20" i="40"/>
  <c r="P19" i="40"/>
  <c r="E19" i="40"/>
  <c r="P18" i="40"/>
  <c r="P17" i="40"/>
  <c r="E17" i="40"/>
  <c r="E16" i="40"/>
  <c r="B16" i="40"/>
  <c r="B17" i="40" s="1"/>
  <c r="P15" i="40"/>
  <c r="E15" i="40"/>
  <c r="P14" i="40"/>
  <c r="P13" i="40"/>
  <c r="E13" i="40"/>
  <c r="B13" i="40"/>
  <c r="E12" i="40"/>
  <c r="B12" i="40"/>
  <c r="Q11" i="40"/>
  <c r="S11" i="40" s="1"/>
  <c r="P11" i="40"/>
  <c r="O11" i="40"/>
  <c r="E11" i="40"/>
  <c r="Q10" i="40"/>
  <c r="S10" i="40" s="1"/>
  <c r="P10" i="40"/>
  <c r="O10" i="40"/>
  <c r="O45" i="39"/>
  <c r="O44" i="39"/>
  <c r="Q44" i="39" s="1"/>
  <c r="O43" i="39"/>
  <c r="O42" i="39"/>
  <c r="O41" i="39"/>
  <c r="O40" i="39"/>
  <c r="O39" i="39"/>
  <c r="O38" i="39"/>
  <c r="O18" i="39" s="1"/>
  <c r="O37" i="39"/>
  <c r="O36" i="39"/>
  <c r="O35" i="39"/>
  <c r="O34" i="39"/>
  <c r="Q33" i="39"/>
  <c r="O33" i="39"/>
  <c r="Q32" i="39"/>
  <c r="O32" i="39"/>
  <c r="O31" i="39"/>
  <c r="Q31" i="39" s="1"/>
  <c r="Q30" i="39"/>
  <c r="O30" i="39"/>
  <c r="O29" i="39"/>
  <c r="Q29" i="39" s="1"/>
  <c r="O28" i="39"/>
  <c r="Q18" i="39"/>
  <c r="N26" i="39"/>
  <c r="N25" i="39"/>
  <c r="N24" i="39"/>
  <c r="N23" i="39"/>
  <c r="O12" i="39"/>
  <c r="N22" i="39"/>
  <c r="N21" i="39"/>
  <c r="P18" i="39"/>
  <c r="P16" i="39"/>
  <c r="P15" i="39"/>
  <c r="P14" i="39"/>
  <c r="P12" i="39"/>
  <c r="E12" i="39"/>
  <c r="E11" i="39"/>
  <c r="B11" i="39"/>
  <c r="B12" i="39" s="1"/>
  <c r="B14" i="39" s="1"/>
  <c r="Q10" i="39"/>
  <c r="P10" i="39"/>
  <c r="O10" i="39"/>
  <c r="E10" i="39"/>
  <c r="O58" i="38"/>
  <c r="O57" i="38"/>
  <c r="O56" i="38"/>
  <c r="O55" i="38"/>
  <c r="O54" i="38"/>
  <c r="O53" i="38"/>
  <c r="O52" i="38"/>
  <c r="O51" i="38"/>
  <c r="O50" i="38"/>
  <c r="O49" i="38"/>
  <c r="O48" i="38"/>
  <c r="O47" i="38"/>
  <c r="O46" i="38"/>
  <c r="O45" i="38"/>
  <c r="O44" i="38"/>
  <c r="Q44" i="38" s="1"/>
  <c r="O42" i="38"/>
  <c r="Q42" i="38" s="1"/>
  <c r="O41" i="38"/>
  <c r="Q41" i="38" s="1"/>
  <c r="O40" i="38"/>
  <c r="Q40" i="38" s="1"/>
  <c r="O39" i="38"/>
  <c r="N36" i="38"/>
  <c r="E36" i="38"/>
  <c r="N35" i="38"/>
  <c r="E35" i="38"/>
  <c r="B35" i="38"/>
  <c r="B36" i="38" s="1"/>
  <c r="N34" i="38"/>
  <c r="E34" i="38"/>
  <c r="N33" i="38"/>
  <c r="N32" i="38"/>
  <c r="E32" i="38"/>
  <c r="N31" i="38"/>
  <c r="E31" i="38"/>
  <c r="B31" i="38"/>
  <c r="B32" i="38" s="1"/>
  <c r="N30" i="38"/>
  <c r="E30" i="38"/>
  <c r="N29" i="38"/>
  <c r="N28" i="38"/>
  <c r="E28" i="38"/>
  <c r="N27" i="38"/>
  <c r="E27" i="38"/>
  <c r="B27" i="38"/>
  <c r="B28" i="38" s="1"/>
  <c r="E26" i="38"/>
  <c r="Q24" i="38"/>
  <c r="P24" i="38"/>
  <c r="O24" i="38"/>
  <c r="E24" i="38"/>
  <c r="B24" i="38"/>
  <c r="E23" i="38"/>
  <c r="B23" i="38"/>
  <c r="Q22" i="38"/>
  <c r="P22" i="38"/>
  <c r="O22" i="38"/>
  <c r="E22" i="38"/>
  <c r="Q21" i="38"/>
  <c r="P21" i="38"/>
  <c r="O21" i="38"/>
  <c r="Q20" i="38"/>
  <c r="P20" i="38"/>
  <c r="O20" i="38"/>
  <c r="E20" i="38"/>
  <c r="B20" i="38"/>
  <c r="E19" i="38"/>
  <c r="B19" i="38"/>
  <c r="P18" i="38"/>
  <c r="E18" i="38"/>
  <c r="P16" i="38"/>
  <c r="E16" i="38"/>
  <c r="E15" i="38"/>
  <c r="B15" i="38"/>
  <c r="B16" i="38" s="1"/>
  <c r="P14" i="38"/>
  <c r="E14" i="38"/>
  <c r="P13" i="38"/>
  <c r="P12" i="38"/>
  <c r="E12" i="38"/>
  <c r="E11" i="38"/>
  <c r="B11" i="38"/>
  <c r="B12" i="38" s="1"/>
  <c r="Q10" i="38"/>
  <c r="P10" i="38"/>
  <c r="O10" i="38"/>
  <c r="E10" i="38"/>
  <c r="V37" i="37"/>
  <c r="Y37" i="37" s="1"/>
  <c r="Y36" i="37"/>
  <c r="V36" i="37"/>
  <c r="V35" i="37"/>
  <c r="V34" i="37"/>
  <c r="V33" i="37"/>
  <c r="V32" i="37"/>
  <c r="V31" i="37"/>
  <c r="V30" i="37"/>
  <c r="V29" i="37"/>
  <c r="V28" i="37"/>
  <c r="Y27" i="37"/>
  <c r="V27" i="37"/>
  <c r="V26" i="37"/>
  <c r="Y26" i="37" s="1"/>
  <c r="V25" i="37"/>
  <c r="Y25" i="37" s="1"/>
  <c r="V24" i="37"/>
  <c r="Y24" i="37" s="1"/>
  <c r="V23" i="37"/>
  <c r="Y23" i="37" s="1"/>
  <c r="V22" i="37"/>
  <c r="Y20" i="37"/>
  <c r="V20" i="37"/>
  <c r="T20" i="37"/>
  <c r="Y19" i="37"/>
  <c r="V19" i="37"/>
  <c r="T19" i="37"/>
  <c r="Y18" i="37"/>
  <c r="V18" i="37"/>
  <c r="T18" i="37"/>
  <c r="T17" i="37"/>
  <c r="B15" i="37"/>
  <c r="B16" i="37" s="1"/>
  <c r="B18" i="37" s="1"/>
  <c r="B19" i="37" s="1"/>
  <c r="B20" i="37" s="1"/>
  <c r="B22" i="37" s="1"/>
  <c r="B23" i="37" s="1"/>
  <c r="B24" i="37" s="1"/>
  <c r="B26" i="37" s="1"/>
  <c r="B27" i="37" s="1"/>
  <c r="B28" i="37" s="1"/>
  <c r="B30" i="37" s="1"/>
  <c r="B31" i="37" s="1"/>
  <c r="B32" i="37" s="1"/>
  <c r="B34" i="37" s="1"/>
  <c r="B35" i="37" s="1"/>
  <c r="B36" i="37" s="1"/>
  <c r="B38" i="37" s="1"/>
  <c r="B39" i="37" s="1"/>
  <c r="B40" i="37" s="1"/>
  <c r="W14" i="37"/>
  <c r="U14" i="37"/>
  <c r="V14" i="37" s="1"/>
  <c r="F10" i="37" s="1"/>
  <c r="W13" i="37"/>
  <c r="U13" i="37"/>
  <c r="V13" i="37" s="1"/>
  <c r="W12" i="37"/>
  <c r="U12" i="37"/>
  <c r="V12" i="37" s="1"/>
  <c r="B11" i="37"/>
  <c r="B12" i="37" s="1"/>
  <c r="Y10" i="37"/>
  <c r="X10" i="37"/>
  <c r="W10" i="37"/>
  <c r="V10" i="37"/>
  <c r="U10" i="37"/>
  <c r="AI37" i="36"/>
  <c r="AK37" i="36" s="1"/>
  <c r="O35" i="36"/>
  <c r="Q35" i="36" s="1"/>
  <c r="AK36" i="36"/>
  <c r="AI36" i="36"/>
  <c r="O34" i="36"/>
  <c r="Q34" i="36" s="1"/>
  <c r="AK35" i="36"/>
  <c r="AI35" i="36"/>
  <c r="Q33" i="36"/>
  <c r="O33" i="36"/>
  <c r="AI34" i="36"/>
  <c r="O32" i="36"/>
  <c r="Q32" i="36" s="1"/>
  <c r="AI33" i="36"/>
  <c r="O31" i="36" s="1"/>
  <c r="Q31" i="36" s="1"/>
  <c r="AK32" i="36"/>
  <c r="AI32" i="36"/>
  <c r="O30" i="36" s="1"/>
  <c r="AI31" i="36"/>
  <c r="O29" i="36" s="1"/>
  <c r="AI30" i="36"/>
  <c r="O28" i="36"/>
  <c r="AK29" i="36"/>
  <c r="AI29" i="36"/>
  <c r="O27" i="36"/>
  <c r="Q27" i="36" s="1"/>
  <c r="AK28" i="36"/>
  <c r="AI28" i="36"/>
  <c r="O26" i="36"/>
  <c r="Q26" i="36" s="1"/>
  <c r="AK27" i="36"/>
  <c r="AI27" i="36"/>
  <c r="O25" i="36"/>
  <c r="Q25" i="36" s="1"/>
  <c r="AK26" i="36"/>
  <c r="AI26" i="36"/>
  <c r="O24" i="36"/>
  <c r="Q24" i="36" s="1"/>
  <c r="AK25" i="36"/>
  <c r="AI25" i="36"/>
  <c r="O23" i="36"/>
  <c r="Q23" i="36" s="1"/>
  <c r="AK24" i="36"/>
  <c r="AI24" i="36"/>
  <c r="O22" i="36"/>
  <c r="Q22" i="36" s="1"/>
  <c r="AI23" i="36"/>
  <c r="O21" i="36" s="1"/>
  <c r="AH19" i="36"/>
  <c r="O19" i="36"/>
  <c r="N19" i="36"/>
  <c r="AH18" i="36"/>
  <c r="O18" i="36"/>
  <c r="N18" i="36"/>
  <c r="AH17" i="36"/>
  <c r="O17" i="36"/>
  <c r="N17" i="36"/>
  <c r="AI12" i="36"/>
  <c r="AI11" i="36"/>
  <c r="Z31" i="36" s="1"/>
  <c r="AK9" i="36"/>
  <c r="AM9" i="36" s="1"/>
  <c r="AI9" i="36"/>
  <c r="Z10" i="36" s="1"/>
  <c r="Z9" i="36"/>
  <c r="B4" i="36"/>
  <c r="B3" i="36"/>
  <c r="B2" i="36"/>
  <c r="X35" i="1"/>
  <c r="W35" i="1"/>
  <c r="V35" i="1"/>
  <c r="U35" i="1"/>
  <c r="T35" i="1"/>
  <c r="S35" i="1"/>
  <c r="P35" i="1"/>
  <c r="D35" i="1"/>
  <c r="C35" i="1"/>
  <c r="D38" i="19" s="1"/>
  <c r="F38" i="19" s="1"/>
  <c r="S30" i="1"/>
  <c r="D30" i="1"/>
  <c r="C30" i="1"/>
  <c r="S29" i="1"/>
  <c r="O29" i="1"/>
  <c r="D29" i="1"/>
  <c r="C29" i="1"/>
  <c r="O27" i="1"/>
  <c r="S24" i="1"/>
  <c r="O24" i="1"/>
  <c r="D24" i="1"/>
  <c r="C24" i="1"/>
  <c r="O23" i="1"/>
  <c r="O25" i="1" s="1"/>
  <c r="O20" i="1"/>
  <c r="S19" i="1"/>
  <c r="D19" i="1"/>
  <c r="C19" i="1"/>
  <c r="S18" i="1"/>
  <c r="O18" i="1"/>
  <c r="D18" i="1"/>
  <c r="C18" i="1"/>
  <c r="O15" i="1"/>
  <c r="S14" i="1"/>
  <c r="D14" i="1"/>
  <c r="C14" i="1"/>
  <c r="S13" i="1"/>
  <c r="D13" i="1"/>
  <c r="C13" i="1"/>
  <c r="S12" i="1"/>
  <c r="D12" i="1"/>
  <c r="C1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S9" i="1"/>
  <c r="S10" i="1" s="1"/>
  <c r="O9" i="1"/>
  <c r="O10" i="1" s="1"/>
  <c r="D9" i="1"/>
  <c r="D10" i="1" s="1"/>
  <c r="C9" i="1"/>
  <c r="W7" i="1"/>
  <c r="V7" i="1"/>
  <c r="U7" i="1"/>
  <c r="S39" i="1"/>
  <c r="D39" i="1"/>
  <c r="C39" i="1"/>
  <c r="O53" i="36"/>
  <c r="O52" i="36"/>
  <c r="O51" i="36"/>
  <c r="O63" i="38"/>
  <c r="Q60" i="38"/>
  <c r="O60" i="38"/>
  <c r="Q59" i="38"/>
  <c r="O59" i="38"/>
  <c r="O49" i="39"/>
  <c r="O46" i="39"/>
  <c r="Q45" i="39"/>
  <c r="O70" i="40"/>
  <c r="Q70" i="40" s="1"/>
  <c r="O69" i="40"/>
  <c r="Q69" i="40" s="1"/>
  <c r="O68" i="40"/>
  <c r="O15" i="40" s="1"/>
  <c r="O67" i="40"/>
  <c r="O66" i="40"/>
  <c r="O65" i="40"/>
  <c r="O46" i="41"/>
  <c r="O15" i="41" s="1"/>
  <c r="Q45" i="41"/>
  <c r="N36" i="42"/>
  <c r="E38" i="3"/>
  <c r="D38" i="3"/>
  <c r="F38" i="3" s="1"/>
  <c r="A37" i="3"/>
  <c r="A38" i="3" s="1"/>
  <c r="A39" i="3" s="1"/>
  <c r="A40" i="3" s="1"/>
  <c r="E38" i="4"/>
  <c r="A38" i="4"/>
  <c r="A39" i="4" s="1"/>
  <c r="A40" i="4" s="1"/>
  <c r="A37" i="4"/>
  <c r="A37" i="16"/>
  <c r="A38" i="16" s="1"/>
  <c r="A39" i="16" s="1"/>
  <c r="A40" i="16" s="1"/>
  <c r="E38" i="19"/>
  <c r="A38" i="19"/>
  <c r="A39" i="19" s="1"/>
  <c r="A40" i="19" s="1"/>
  <c r="A37" i="19"/>
  <c r="A38" i="22"/>
  <c r="A39" i="22" s="1"/>
  <c r="A40" i="22" s="1"/>
  <c r="A37" i="22"/>
  <c r="A34" i="23"/>
  <c r="E33" i="23"/>
  <c r="A38" i="24"/>
  <c r="A39" i="24" s="1"/>
  <c r="A40" i="24" s="1"/>
  <c r="Y48" i="53"/>
  <c r="X48" i="53"/>
  <c r="Y46" i="53"/>
  <c r="X46" i="53"/>
  <c r="Y42" i="53"/>
  <c r="E30" i="50" s="1"/>
  <c r="X42" i="53"/>
  <c r="E30" i="23" s="1"/>
  <c r="Y40" i="53"/>
  <c r="E32" i="50" s="1"/>
  <c r="X40" i="53"/>
  <c r="E32" i="23" s="1"/>
  <c r="Y37" i="53"/>
  <c r="E27" i="50" s="1"/>
  <c r="X37" i="53"/>
  <c r="E27" i="23" s="1"/>
  <c r="G90" i="58"/>
  <c r="N29" i="43" s="1"/>
  <c r="F90" i="58"/>
  <c r="N27" i="43" s="1"/>
  <c r="B90" i="58"/>
  <c r="B89" i="58"/>
  <c r="A89" i="58"/>
  <c r="A90" i="58" s="1"/>
  <c r="G88" i="58"/>
  <c r="N28" i="43" s="1"/>
  <c r="F88" i="58"/>
  <c r="N26" i="43" s="1"/>
  <c r="B88" i="58"/>
  <c r="S21" i="38" l="1"/>
  <c r="S22" i="38"/>
  <c r="D38" i="23"/>
  <c r="D39" i="37"/>
  <c r="S20" i="38"/>
  <c r="S18" i="39"/>
  <c r="S23" i="40"/>
  <c r="S18" i="41"/>
  <c r="S24" i="38"/>
  <c r="D38" i="24"/>
  <c r="H38" i="24" s="1"/>
  <c r="D38" i="4"/>
  <c r="D38" i="16"/>
  <c r="F38" i="16" s="1"/>
  <c r="D38" i="22"/>
  <c r="F38" i="22" s="1"/>
  <c r="D10" i="37"/>
  <c r="Z18" i="1"/>
  <c r="AB18" i="1" s="1"/>
  <c r="C25" i="1"/>
  <c r="Q35" i="1"/>
  <c r="Z14" i="1"/>
  <c r="AB14" i="1" s="1"/>
  <c r="Z13" i="1"/>
  <c r="AB13" i="1" s="1"/>
  <c r="S31" i="1"/>
  <c r="S25" i="1"/>
  <c r="Z27" i="1"/>
  <c r="AB27" i="1" s="1"/>
  <c r="S16" i="1"/>
  <c r="Z19" i="1"/>
  <c r="AB19" i="1" s="1"/>
  <c r="Z29" i="1"/>
  <c r="D25" i="1"/>
  <c r="Z23" i="1"/>
  <c r="AB23" i="1" s="1"/>
  <c r="D31" i="1"/>
  <c r="Z15" i="1"/>
  <c r="AB15" i="1" s="1"/>
  <c r="D21" i="1"/>
  <c r="Z20" i="1"/>
  <c r="AB20" i="1" s="1"/>
  <c r="Z24" i="1"/>
  <c r="AB24" i="1" s="1"/>
  <c r="D16" i="1"/>
  <c r="Z30" i="1"/>
  <c r="AB30" i="1" s="1"/>
  <c r="C16" i="1"/>
  <c r="F38" i="4"/>
  <c r="Z9" i="1"/>
  <c r="G11" i="40"/>
  <c r="G15" i="40"/>
  <c r="G13" i="40"/>
  <c r="O14" i="39"/>
  <c r="O16" i="39"/>
  <c r="G10" i="39" s="1"/>
  <c r="D7" i="24"/>
  <c r="D7" i="51"/>
  <c r="D7" i="22"/>
  <c r="D7" i="50"/>
  <c r="D7" i="23"/>
  <c r="D7" i="16"/>
  <c r="D7" i="13"/>
  <c r="D7" i="19"/>
  <c r="D7" i="4"/>
  <c r="D7" i="3"/>
  <c r="D16" i="24"/>
  <c r="H16" i="24" s="1"/>
  <c r="N14" i="1" s="1"/>
  <c r="D16" i="51"/>
  <c r="D16" i="22"/>
  <c r="D16" i="16"/>
  <c r="F16" i="16" s="1"/>
  <c r="H14" i="1" s="1"/>
  <c r="D16" i="13"/>
  <c r="F16" i="13" s="1"/>
  <c r="G14" i="1" s="1"/>
  <c r="D16" i="50"/>
  <c r="D16" i="23"/>
  <c r="D16" i="19"/>
  <c r="D16" i="4"/>
  <c r="D16" i="3"/>
  <c r="D22" i="24"/>
  <c r="H22" i="24" s="1"/>
  <c r="N19" i="1" s="1"/>
  <c r="D22" i="51"/>
  <c r="F22" i="51" s="1"/>
  <c r="M19" i="1" s="1"/>
  <c r="D22" i="22"/>
  <c r="F22" i="22" s="1"/>
  <c r="J19" i="1" s="1"/>
  <c r="D22" i="50"/>
  <c r="F22" i="50" s="1"/>
  <c r="L19" i="1" s="1"/>
  <c r="W19" i="1" s="1"/>
  <c r="D22" i="23"/>
  <c r="F22" i="23" s="1"/>
  <c r="K19" i="1" s="1"/>
  <c r="V19" i="1" s="1"/>
  <c r="D22" i="16"/>
  <c r="F22" i="16" s="1"/>
  <c r="H19" i="1" s="1"/>
  <c r="D22" i="13"/>
  <c r="F22" i="13" s="1"/>
  <c r="G19" i="1" s="1"/>
  <c r="D22" i="19"/>
  <c r="F22" i="19" s="1"/>
  <c r="I19" i="1" s="1"/>
  <c r="D22" i="4"/>
  <c r="F22" i="4" s="1"/>
  <c r="F19" i="1" s="1"/>
  <c r="D22" i="3"/>
  <c r="F22" i="3" s="1"/>
  <c r="E19" i="1" s="1"/>
  <c r="D30" i="51"/>
  <c r="F30" i="51" s="1"/>
  <c r="M27" i="1" s="1"/>
  <c r="D30" i="22"/>
  <c r="F30" i="22" s="1"/>
  <c r="J27" i="1" s="1"/>
  <c r="D30" i="24"/>
  <c r="H30" i="24" s="1"/>
  <c r="N27" i="1" s="1"/>
  <c r="D30" i="50"/>
  <c r="F30" i="50" s="1"/>
  <c r="L27" i="1" s="1"/>
  <c r="W27" i="1" s="1"/>
  <c r="D30" i="23"/>
  <c r="F30" i="23" s="1"/>
  <c r="K27" i="1" s="1"/>
  <c r="V27" i="1" s="1"/>
  <c r="D30" i="16"/>
  <c r="F30" i="16" s="1"/>
  <c r="H27" i="1" s="1"/>
  <c r="D30" i="13"/>
  <c r="F30" i="13" s="1"/>
  <c r="G27" i="1" s="1"/>
  <c r="D30" i="19"/>
  <c r="F30" i="19" s="1"/>
  <c r="I27" i="1" s="1"/>
  <c r="D30" i="4"/>
  <c r="F30" i="4" s="1"/>
  <c r="F27" i="1" s="1"/>
  <c r="D30" i="3"/>
  <c r="F30" i="3" s="1"/>
  <c r="E27" i="1" s="1"/>
  <c r="D32" i="24"/>
  <c r="H32" i="24" s="1"/>
  <c r="D32" i="22"/>
  <c r="F32" i="22" s="1"/>
  <c r="D32" i="51"/>
  <c r="F32" i="51" s="1"/>
  <c r="D32" i="50"/>
  <c r="F32" i="50" s="1"/>
  <c r="D32" i="23"/>
  <c r="F32" i="23" s="1"/>
  <c r="D32" i="16"/>
  <c r="F32" i="16" s="1"/>
  <c r="D32" i="13"/>
  <c r="F32" i="13" s="1"/>
  <c r="D32" i="4"/>
  <c r="F32" i="4" s="1"/>
  <c r="D32" i="3"/>
  <c r="F32" i="3" s="1"/>
  <c r="D32" i="19"/>
  <c r="F32" i="19" s="1"/>
  <c r="O11" i="36"/>
  <c r="O12" i="36"/>
  <c r="N13" i="43"/>
  <c r="R13" i="43" s="1"/>
  <c r="Q68" i="40"/>
  <c r="Q46" i="39"/>
  <c r="Z12" i="1"/>
  <c r="S21" i="1"/>
  <c r="D27" i="51"/>
  <c r="F27" i="51" s="1"/>
  <c r="M24" i="1" s="1"/>
  <c r="D27" i="22"/>
  <c r="F27" i="22" s="1"/>
  <c r="J24" i="1" s="1"/>
  <c r="D27" i="24"/>
  <c r="H27" i="24" s="1"/>
  <c r="N24" i="1" s="1"/>
  <c r="D27" i="23"/>
  <c r="F27" i="23" s="1"/>
  <c r="K24" i="1" s="1"/>
  <c r="V24" i="1" s="1"/>
  <c r="D27" i="16"/>
  <c r="F27" i="16" s="1"/>
  <c r="H24" i="1" s="1"/>
  <c r="D27" i="13"/>
  <c r="F27" i="13" s="1"/>
  <c r="G24" i="1" s="1"/>
  <c r="D27" i="19"/>
  <c r="F27" i="19" s="1"/>
  <c r="I24" i="1" s="1"/>
  <c r="D27" i="50"/>
  <c r="F27" i="50" s="1"/>
  <c r="L24" i="1" s="1"/>
  <c r="W24" i="1" s="1"/>
  <c r="D27" i="4"/>
  <c r="F27" i="4" s="1"/>
  <c r="F24" i="1" s="1"/>
  <c r="D27" i="3"/>
  <c r="F27" i="3" s="1"/>
  <c r="E24" i="1" s="1"/>
  <c r="Q11" i="36"/>
  <c r="Q12" i="36"/>
  <c r="S12" i="36" s="1"/>
  <c r="Q12" i="39"/>
  <c r="S12" i="39" s="1"/>
  <c r="D14" i="24"/>
  <c r="H14" i="24" s="1"/>
  <c r="N13" i="1" s="1"/>
  <c r="D14" i="50"/>
  <c r="D14" i="23"/>
  <c r="D14" i="51"/>
  <c r="F14" i="51" s="1"/>
  <c r="M13" i="1" s="1"/>
  <c r="D14" i="22"/>
  <c r="F14" i="22" s="1"/>
  <c r="J13" i="1" s="1"/>
  <c r="D14" i="19"/>
  <c r="D14" i="16"/>
  <c r="F14" i="16" s="1"/>
  <c r="H13" i="1" s="1"/>
  <c r="D14" i="13"/>
  <c r="F14" i="13" s="1"/>
  <c r="G13" i="1" s="1"/>
  <c r="D14" i="3"/>
  <c r="F14" i="3" s="1"/>
  <c r="E13" i="1" s="1"/>
  <c r="D14" i="4"/>
  <c r="F14" i="4" s="1"/>
  <c r="F13" i="1" s="1"/>
  <c r="D21" i="50"/>
  <c r="D21" i="23"/>
  <c r="D21" i="22"/>
  <c r="D21" i="51"/>
  <c r="D21" i="24"/>
  <c r="D21" i="16"/>
  <c r="D21" i="13"/>
  <c r="D21" i="19"/>
  <c r="D21" i="4"/>
  <c r="D21" i="3"/>
  <c r="C21" i="1"/>
  <c r="D26" i="24"/>
  <c r="D26" i="51"/>
  <c r="D26" i="22"/>
  <c r="D26" i="50"/>
  <c r="D26" i="23"/>
  <c r="D26" i="16"/>
  <c r="D26" i="13"/>
  <c r="D26" i="19"/>
  <c r="D26" i="3"/>
  <c r="D26" i="4"/>
  <c r="C31" i="1"/>
  <c r="Q30" i="36"/>
  <c r="Q9" i="36" s="1"/>
  <c r="S9" i="36" s="1"/>
  <c r="O9" i="36"/>
  <c r="O56" i="36" s="1"/>
  <c r="X12" i="37"/>
  <c r="X13" i="37"/>
  <c r="X14" i="37"/>
  <c r="H28" i="37" s="1"/>
  <c r="E16" i="39"/>
  <c r="E14" i="39"/>
  <c r="E15" i="39"/>
  <c r="B15" i="39"/>
  <c r="B16" i="39" s="1"/>
  <c r="B18" i="39" s="1"/>
  <c r="Q46" i="41"/>
  <c r="C10" i="1"/>
  <c r="D12" i="50"/>
  <c r="D12" i="23"/>
  <c r="D12" i="24"/>
  <c r="D12" i="22"/>
  <c r="D12" i="19"/>
  <c r="D12" i="4"/>
  <c r="D12" i="3"/>
  <c r="D12" i="51"/>
  <c r="D12" i="16"/>
  <c r="D12" i="13"/>
  <c r="D17" i="51"/>
  <c r="F17" i="51" s="1"/>
  <c r="M15" i="1" s="1"/>
  <c r="D17" i="50"/>
  <c r="F17" i="50" s="1"/>
  <c r="L15" i="1" s="1"/>
  <c r="W15" i="1" s="1"/>
  <c r="D17" i="23"/>
  <c r="F17" i="23" s="1"/>
  <c r="K15" i="1" s="1"/>
  <c r="V15" i="1" s="1"/>
  <c r="D17" i="22"/>
  <c r="F17" i="22" s="1"/>
  <c r="J15" i="1" s="1"/>
  <c r="D17" i="16"/>
  <c r="F17" i="16" s="1"/>
  <c r="H15" i="1" s="1"/>
  <c r="D17" i="13"/>
  <c r="F17" i="13" s="1"/>
  <c r="G15" i="1" s="1"/>
  <c r="D17" i="24"/>
  <c r="H17" i="24" s="1"/>
  <c r="N15" i="1" s="1"/>
  <c r="D17" i="19"/>
  <c r="F17" i="19" s="1"/>
  <c r="I15" i="1" s="1"/>
  <c r="D17" i="4"/>
  <c r="F17" i="4" s="1"/>
  <c r="F15" i="1" s="1"/>
  <c r="D17" i="3"/>
  <c r="F17" i="3" s="1"/>
  <c r="E15" i="1" s="1"/>
  <c r="D23" i="24"/>
  <c r="H23" i="24" s="1"/>
  <c r="N20" i="1" s="1"/>
  <c r="D23" i="51"/>
  <c r="F23" i="51" s="1"/>
  <c r="M20" i="1" s="1"/>
  <c r="D23" i="22"/>
  <c r="F23" i="22" s="1"/>
  <c r="J20" i="1" s="1"/>
  <c r="D23" i="50"/>
  <c r="F23" i="50" s="1"/>
  <c r="L20" i="1" s="1"/>
  <c r="W20" i="1" s="1"/>
  <c r="D23" i="23"/>
  <c r="F23" i="23" s="1"/>
  <c r="K20" i="1" s="1"/>
  <c r="V20" i="1" s="1"/>
  <c r="D23" i="16"/>
  <c r="F23" i="16" s="1"/>
  <c r="H20" i="1" s="1"/>
  <c r="D23" i="13"/>
  <c r="F23" i="13" s="1"/>
  <c r="G20" i="1" s="1"/>
  <c r="D23" i="19"/>
  <c r="F23" i="19" s="1"/>
  <c r="I20" i="1" s="1"/>
  <c r="D23" i="4"/>
  <c r="F23" i="4" s="1"/>
  <c r="F20" i="1" s="1"/>
  <c r="D23" i="3"/>
  <c r="F23" i="3" s="1"/>
  <c r="E20" i="1" s="1"/>
  <c r="D33" i="22"/>
  <c r="F33" i="22" s="1"/>
  <c r="J30" i="1" s="1"/>
  <c r="D33" i="50"/>
  <c r="F33" i="50" s="1"/>
  <c r="L30" i="1" s="1"/>
  <c r="W30" i="1" s="1"/>
  <c r="D33" i="23"/>
  <c r="F33" i="23" s="1"/>
  <c r="K30" i="1" s="1"/>
  <c r="V30" i="1" s="1"/>
  <c r="D33" i="24"/>
  <c r="H33" i="24" s="1"/>
  <c r="N30" i="1" s="1"/>
  <c r="D33" i="51"/>
  <c r="F33" i="51" s="1"/>
  <c r="M30" i="1" s="1"/>
  <c r="D33" i="16"/>
  <c r="F33" i="16" s="1"/>
  <c r="H30" i="1" s="1"/>
  <c r="D33" i="13"/>
  <c r="F33" i="13" s="1"/>
  <c r="G30" i="1" s="1"/>
  <c r="D33" i="19"/>
  <c r="F33" i="19" s="1"/>
  <c r="I30" i="1" s="1"/>
  <c r="D33" i="4"/>
  <c r="F33" i="4" s="1"/>
  <c r="F30" i="1" s="1"/>
  <c r="D33" i="3"/>
  <c r="F33" i="3" s="1"/>
  <c r="E30" i="1" s="1"/>
  <c r="AK11" i="36"/>
  <c r="AK12" i="36"/>
  <c r="AM12" i="36" s="1"/>
  <c r="F38" i="37"/>
  <c r="Y35" i="1"/>
  <c r="AA10" i="37"/>
  <c r="F11" i="37"/>
  <c r="D12" i="37"/>
  <c r="F16" i="37"/>
  <c r="F19" i="37"/>
  <c r="F22" i="37"/>
  <c r="D24" i="37"/>
  <c r="D27" i="37"/>
  <c r="F28" i="37"/>
  <c r="D31" i="37"/>
  <c r="F35" i="37"/>
  <c r="F39" i="37"/>
  <c r="D40" i="37"/>
  <c r="S10" i="39"/>
  <c r="G12" i="39"/>
  <c r="O15" i="39"/>
  <c r="O27" i="40"/>
  <c r="S27" i="40" s="1"/>
  <c r="Q18" i="40"/>
  <c r="Z35" i="1"/>
  <c r="Z11" i="36"/>
  <c r="Z17" i="36"/>
  <c r="Z18" i="36"/>
  <c r="Z19" i="36"/>
  <c r="Z30" i="36"/>
  <c r="H10" i="37"/>
  <c r="AB10" i="37"/>
  <c r="F12" i="37"/>
  <c r="D18" i="37"/>
  <c r="D20" i="37"/>
  <c r="D23" i="37"/>
  <c r="F24" i="37"/>
  <c r="D26" i="37"/>
  <c r="F27" i="37"/>
  <c r="F31" i="37"/>
  <c r="D34" i="37"/>
  <c r="D36" i="37"/>
  <c r="F40" i="37"/>
  <c r="O13" i="40"/>
  <c r="Q17" i="40"/>
  <c r="D38" i="51"/>
  <c r="F38" i="51" s="1"/>
  <c r="D38" i="50"/>
  <c r="F38" i="50" s="1"/>
  <c r="D38" i="13"/>
  <c r="F38" i="13" s="1"/>
  <c r="Z13" i="36"/>
  <c r="Z14" i="36"/>
  <c r="Z15" i="36"/>
  <c r="Z16" i="36"/>
  <c r="Z20" i="36"/>
  <c r="Z21" i="36"/>
  <c r="Z22" i="36"/>
  <c r="Z24" i="36"/>
  <c r="Z25" i="36"/>
  <c r="Z26" i="36"/>
  <c r="Z27" i="36"/>
  <c r="Z28" i="36"/>
  <c r="Z29" i="36"/>
  <c r="D14" i="37"/>
  <c r="D15" i="37"/>
  <c r="F18" i="37"/>
  <c r="F20" i="37"/>
  <c r="F23" i="37"/>
  <c r="F26" i="37"/>
  <c r="D30" i="37"/>
  <c r="D32" i="37"/>
  <c r="F34" i="37"/>
  <c r="F36" i="37"/>
  <c r="D38" i="37"/>
  <c r="S10" i="38"/>
  <c r="O14" i="40"/>
  <c r="O14" i="41"/>
  <c r="Z12" i="36"/>
  <c r="Z23" i="36"/>
  <c r="D11" i="37"/>
  <c r="F14" i="37"/>
  <c r="F15" i="37"/>
  <c r="D16" i="37"/>
  <c r="D19" i="37"/>
  <c r="D22" i="37"/>
  <c r="D28" i="37"/>
  <c r="F30" i="37"/>
  <c r="F32" i="37"/>
  <c r="D35" i="37"/>
  <c r="O24" i="40"/>
  <c r="S24" i="40" s="1"/>
  <c r="E15" i="41"/>
  <c r="P14" i="42"/>
  <c r="I31" i="42" s="1"/>
  <c r="P14" i="43"/>
  <c r="I31" i="43" s="1"/>
  <c r="N20" i="43"/>
  <c r="N14" i="43" s="1"/>
  <c r="N20" i="42"/>
  <c r="N14" i="42" s="1"/>
  <c r="G16" i="40"/>
  <c r="Q15" i="40"/>
  <c r="I11" i="40" s="1"/>
  <c r="O19" i="40"/>
  <c r="O18" i="40"/>
  <c r="O17" i="40"/>
  <c r="S10" i="41"/>
  <c r="R13" i="42"/>
  <c r="O16" i="41"/>
  <c r="W34" i="41" s="1"/>
  <c r="E21" i="3"/>
  <c r="E21" i="50"/>
  <c r="F20" i="50"/>
  <c r="G12" i="40"/>
  <c r="O25" i="40"/>
  <c r="G24" i="40" s="1"/>
  <c r="E14" i="41"/>
  <c r="B15" i="41"/>
  <c r="B16" i="41" s="1"/>
  <c r="E16" i="4"/>
  <c r="E16" i="3"/>
  <c r="E12" i="4"/>
  <c r="F13" i="4"/>
  <c r="F15" i="13"/>
  <c r="F15" i="16"/>
  <c r="E21" i="19"/>
  <c r="E21" i="23"/>
  <c r="F20" i="23"/>
  <c r="O32" i="41"/>
  <c r="Q32" i="41" s="1"/>
  <c r="Q12" i="41" s="1"/>
  <c r="E16" i="22"/>
  <c r="E13" i="19"/>
  <c r="F8" i="19"/>
  <c r="E13" i="23"/>
  <c r="F8" i="23"/>
  <c r="E16" i="51"/>
  <c r="F15" i="51"/>
  <c r="E12" i="16"/>
  <c r="E16" i="19"/>
  <c r="E12" i="23"/>
  <c r="F11" i="23"/>
  <c r="E13" i="50"/>
  <c r="F8" i="50"/>
  <c r="F15" i="50"/>
  <c r="E16" i="50"/>
  <c r="E12" i="50"/>
  <c r="F11" i="50"/>
  <c r="D38" i="25"/>
  <c r="D42" i="25" s="1"/>
  <c r="D45" i="25" s="1"/>
  <c r="D18" i="25"/>
  <c r="F35" i="25"/>
  <c r="E16" i="23"/>
  <c r="E12" i="22"/>
  <c r="F22" i="25"/>
  <c r="O19" i="1" s="1"/>
  <c r="O21" i="1" s="1"/>
  <c r="E11" i="25"/>
  <c r="F11" i="25" s="1"/>
  <c r="E12" i="25"/>
  <c r="F12" i="25" s="1"/>
  <c r="O12" i="1" s="1"/>
  <c r="O16" i="1" s="1"/>
  <c r="E13" i="25"/>
  <c r="F13" i="25" s="1"/>
  <c r="E14" i="25"/>
  <c r="F14" i="25" s="1"/>
  <c r="O13" i="1" s="1"/>
  <c r="E15" i="25"/>
  <c r="F15" i="25" s="1"/>
  <c r="E16" i="25"/>
  <c r="F16" i="25" s="1"/>
  <c r="O14" i="1" s="1"/>
  <c r="I26" i="43" l="1"/>
  <c r="I20" i="40"/>
  <c r="I34" i="43"/>
  <c r="I16" i="40"/>
  <c r="K16" i="40" s="1"/>
  <c r="I15" i="40"/>
  <c r="K15" i="40" s="1"/>
  <c r="I27" i="43"/>
  <c r="K11" i="40"/>
  <c r="G14" i="39"/>
  <c r="G15" i="39"/>
  <c r="G16" i="39"/>
  <c r="G11" i="39"/>
  <c r="I26" i="42"/>
  <c r="I15" i="42"/>
  <c r="I33" i="42"/>
  <c r="I34" i="42"/>
  <c r="I21" i="42"/>
  <c r="H20" i="37"/>
  <c r="P20" i="37" s="1"/>
  <c r="H22" i="37"/>
  <c r="I18" i="42"/>
  <c r="I17" i="42"/>
  <c r="H16" i="37"/>
  <c r="P16" i="37" s="1"/>
  <c r="I30" i="42"/>
  <c r="I23" i="42"/>
  <c r="H35" i="37"/>
  <c r="L35" i="37" s="1"/>
  <c r="H32" i="37"/>
  <c r="L32" i="37" s="1"/>
  <c r="G33" i="40"/>
  <c r="H34" i="37"/>
  <c r="P34" i="37" s="1"/>
  <c r="H26" i="37"/>
  <c r="P26" i="37" s="1"/>
  <c r="H27" i="37"/>
  <c r="P27" i="37" s="1"/>
  <c r="H12" i="37"/>
  <c r="H15" i="37"/>
  <c r="L15" i="37" s="1"/>
  <c r="G34" i="40"/>
  <c r="H23" i="37"/>
  <c r="L23" i="37" s="1"/>
  <c r="H18" i="37"/>
  <c r="H40" i="37"/>
  <c r="P40" i="37" s="1"/>
  <c r="H39" i="37"/>
  <c r="L39" i="37" s="1"/>
  <c r="H19" i="37"/>
  <c r="L19" i="37" s="1"/>
  <c r="H11" i="37"/>
  <c r="L11" i="37" s="1"/>
  <c r="H38" i="37"/>
  <c r="H30" i="37"/>
  <c r="L30" i="37" s="1"/>
  <c r="H14" i="37"/>
  <c r="L14" i="37" s="1"/>
  <c r="H31" i="37"/>
  <c r="P31" i="37" s="1"/>
  <c r="H24" i="37"/>
  <c r="L24" i="37" s="1"/>
  <c r="C33" i="1"/>
  <c r="C37" i="1" s="1"/>
  <c r="C40" i="1" s="1"/>
  <c r="S33" i="1"/>
  <c r="S37" i="1" s="1"/>
  <c r="Z21" i="1"/>
  <c r="AB21" i="1" s="1"/>
  <c r="D33" i="1"/>
  <c r="D37" i="1" s="1"/>
  <c r="Z31" i="1"/>
  <c r="AB31" i="1" s="1"/>
  <c r="AB29" i="1"/>
  <c r="Z25" i="1"/>
  <c r="AB25" i="1" s="1"/>
  <c r="Z10" i="1"/>
  <c r="AB10" i="1" s="1"/>
  <c r="AB9" i="1"/>
  <c r="G27" i="42"/>
  <c r="G19" i="42"/>
  <c r="G23" i="42"/>
  <c r="G21" i="42"/>
  <c r="G18" i="42"/>
  <c r="G13" i="42"/>
  <c r="G35" i="42"/>
  <c r="G33" i="42"/>
  <c r="K33" i="42" s="1"/>
  <c r="G15" i="42"/>
  <c r="K15" i="42" s="1"/>
  <c r="G30" i="42"/>
  <c r="G26" i="42"/>
  <c r="G14" i="42"/>
  <c r="G31" i="42"/>
  <c r="K31" i="42" s="1"/>
  <c r="G25" i="42"/>
  <c r="G34" i="42"/>
  <c r="G22" i="42"/>
  <c r="G29" i="42"/>
  <c r="G17" i="42"/>
  <c r="F18" i="25"/>
  <c r="F13" i="50"/>
  <c r="E14" i="50"/>
  <c r="G25" i="40"/>
  <c r="S25" i="40"/>
  <c r="I19" i="40"/>
  <c r="I24" i="40"/>
  <c r="K24" i="40" s="1"/>
  <c r="S15" i="40"/>
  <c r="G36" i="40"/>
  <c r="G21" i="40"/>
  <c r="I27" i="42"/>
  <c r="I13" i="40"/>
  <c r="K13" i="40" s="1"/>
  <c r="L22" i="37"/>
  <c r="P22" i="37"/>
  <c r="P11" i="37"/>
  <c r="AB35" i="1"/>
  <c r="AA35" i="1"/>
  <c r="AB29" i="36"/>
  <c r="AB28" i="36"/>
  <c r="AB27" i="36"/>
  <c r="AB26" i="36"/>
  <c r="AB25" i="36"/>
  <c r="AB24" i="36"/>
  <c r="AB22" i="36"/>
  <c r="AB21" i="36"/>
  <c r="AB20" i="36"/>
  <c r="AB16" i="36"/>
  <c r="AB15" i="36"/>
  <c r="AB14" i="36"/>
  <c r="AB13" i="36"/>
  <c r="AM11" i="36"/>
  <c r="AB10" i="36"/>
  <c r="AB30" i="36"/>
  <c r="AB19" i="36"/>
  <c r="AB18" i="36"/>
  <c r="AB17" i="36"/>
  <c r="AB11" i="36"/>
  <c r="AB31" i="36"/>
  <c r="AB23" i="36"/>
  <c r="AB12" i="36"/>
  <c r="AB9" i="36"/>
  <c r="U15" i="1"/>
  <c r="X15" i="1" s="1"/>
  <c r="P15" i="1"/>
  <c r="D18" i="51"/>
  <c r="F12" i="51"/>
  <c r="D18" i="22"/>
  <c r="F12" i="22"/>
  <c r="Y13" i="37"/>
  <c r="AB13" i="37" s="1"/>
  <c r="AA13" i="37"/>
  <c r="F26" i="19"/>
  <c r="D28" i="19"/>
  <c r="D28" i="50"/>
  <c r="F26" i="50"/>
  <c r="D24" i="13"/>
  <c r="F21" i="13"/>
  <c r="D24" i="22"/>
  <c r="F21" i="22"/>
  <c r="U13" i="1"/>
  <c r="AB12" i="1"/>
  <c r="Z16" i="1"/>
  <c r="G34" i="43"/>
  <c r="K34" i="43" s="1"/>
  <c r="G33" i="43"/>
  <c r="G30" i="43"/>
  <c r="G26" i="43"/>
  <c r="K26" i="43" s="1"/>
  <c r="G22" i="43"/>
  <c r="I17" i="43"/>
  <c r="I15" i="43"/>
  <c r="G14" i="43"/>
  <c r="G29" i="43"/>
  <c r="I23" i="43"/>
  <c r="I21" i="43"/>
  <c r="I18" i="43"/>
  <c r="G17" i="43"/>
  <c r="G15" i="43"/>
  <c r="G19" i="43"/>
  <c r="I14" i="43"/>
  <c r="K14" i="43" s="1"/>
  <c r="I13" i="43"/>
  <c r="G25" i="43"/>
  <c r="G23" i="43"/>
  <c r="I22" i="43"/>
  <c r="G21" i="43"/>
  <c r="G18" i="43"/>
  <c r="G13" i="43"/>
  <c r="G27" i="43"/>
  <c r="K27" i="43" s="1"/>
  <c r="G31" i="43"/>
  <c r="K31" i="43" s="1"/>
  <c r="I19" i="43"/>
  <c r="G35" i="43"/>
  <c r="F31" i="36"/>
  <c r="F23" i="36"/>
  <c r="F22" i="36"/>
  <c r="F21" i="36"/>
  <c r="F20" i="36"/>
  <c r="O57" i="36" s="1"/>
  <c r="F19" i="36"/>
  <c r="F18" i="36"/>
  <c r="F17" i="36"/>
  <c r="F16" i="36"/>
  <c r="F15" i="36"/>
  <c r="F14" i="36"/>
  <c r="F13" i="36"/>
  <c r="F11" i="36"/>
  <c r="F10" i="36"/>
  <c r="F30" i="36"/>
  <c r="F29" i="36"/>
  <c r="F28" i="36"/>
  <c r="F27" i="36"/>
  <c r="F26" i="36"/>
  <c r="F25" i="36"/>
  <c r="F24" i="36"/>
  <c r="F12" i="36"/>
  <c r="F9" i="36"/>
  <c r="F34" i="13"/>
  <c r="G29" i="1"/>
  <c r="G31" i="1" s="1"/>
  <c r="F34" i="51"/>
  <c r="M29" i="1"/>
  <c r="M31" i="1" s="1"/>
  <c r="F16" i="3"/>
  <c r="E14" i="1" s="1"/>
  <c r="F16" i="50"/>
  <c r="L14" i="1" s="1"/>
  <c r="W14" i="1" s="1"/>
  <c r="F16" i="51"/>
  <c r="M14" i="1" s="1"/>
  <c r="F7" i="19"/>
  <c r="D9" i="19"/>
  <c r="F7" i="50"/>
  <c r="D9" i="50"/>
  <c r="G26" i="40"/>
  <c r="F13" i="23"/>
  <c r="E14" i="23"/>
  <c r="E14" i="19"/>
  <c r="F13" i="19"/>
  <c r="O43" i="38"/>
  <c r="B18" i="41"/>
  <c r="G20" i="40"/>
  <c r="K20" i="40" s="1"/>
  <c r="G28" i="40"/>
  <c r="G37" i="40"/>
  <c r="I33" i="43"/>
  <c r="I25" i="43"/>
  <c r="I14" i="42"/>
  <c r="I13" i="42"/>
  <c r="K13" i="42" s="1"/>
  <c r="I22" i="42"/>
  <c r="R14" i="42"/>
  <c r="I19" i="42"/>
  <c r="I35" i="42"/>
  <c r="I29" i="42"/>
  <c r="G32" i="40"/>
  <c r="L31" i="37"/>
  <c r="L38" i="37"/>
  <c r="P38" i="37"/>
  <c r="D18" i="3"/>
  <c r="F12" i="3"/>
  <c r="H12" i="24"/>
  <c r="D18" i="24"/>
  <c r="Q15" i="41"/>
  <c r="S15" i="41" s="1"/>
  <c r="Q14" i="41"/>
  <c r="S14" i="41" s="1"/>
  <c r="Q16" i="41"/>
  <c r="AA12" i="37"/>
  <c r="Y12" i="37"/>
  <c r="AB12" i="37" s="1"/>
  <c r="D28" i="13"/>
  <c r="F26" i="13"/>
  <c r="D28" i="22"/>
  <c r="F26" i="22"/>
  <c r="F21" i="3"/>
  <c r="D24" i="3"/>
  <c r="D24" i="16"/>
  <c r="F21" i="16"/>
  <c r="D24" i="23"/>
  <c r="F21" i="23"/>
  <c r="K18" i="1" s="1"/>
  <c r="H31" i="36"/>
  <c r="H23" i="36"/>
  <c r="H22" i="36"/>
  <c r="H21" i="36"/>
  <c r="H20" i="36"/>
  <c r="H19" i="36"/>
  <c r="H18" i="36"/>
  <c r="H17" i="36"/>
  <c r="H16" i="36"/>
  <c r="H15" i="36"/>
  <c r="H14" i="36"/>
  <c r="H13" i="36"/>
  <c r="H11" i="36"/>
  <c r="H10" i="36"/>
  <c r="H30" i="36"/>
  <c r="H29" i="36"/>
  <c r="H28" i="36"/>
  <c r="H27" i="36"/>
  <c r="H26" i="36"/>
  <c r="H25" i="36"/>
  <c r="H24" i="36"/>
  <c r="H12" i="36"/>
  <c r="H9" i="36"/>
  <c r="S11" i="36"/>
  <c r="U24" i="1"/>
  <c r="X24" i="1" s="1"/>
  <c r="P24" i="1"/>
  <c r="F34" i="19"/>
  <c r="I29" i="1"/>
  <c r="I31" i="1" s="1"/>
  <c r="F34" i="16"/>
  <c r="H29" i="1"/>
  <c r="H31" i="1" s="1"/>
  <c r="F34" i="22"/>
  <c r="J29" i="1"/>
  <c r="J31" i="1" s="1"/>
  <c r="F16" i="4"/>
  <c r="F14" i="1" s="1"/>
  <c r="D9" i="13"/>
  <c r="F7" i="13"/>
  <c r="D9" i="22"/>
  <c r="F7" i="22"/>
  <c r="F36" i="25"/>
  <c r="O30" i="1"/>
  <c r="O31" i="1" s="1"/>
  <c r="O33" i="1" s="1"/>
  <c r="O37" i="1" s="1"/>
  <c r="F24" i="25"/>
  <c r="K30" i="42"/>
  <c r="O12" i="41"/>
  <c r="S12" i="41" s="1"/>
  <c r="G19" i="40"/>
  <c r="I30" i="43"/>
  <c r="P18" i="37"/>
  <c r="L18" i="37"/>
  <c r="L40" i="37"/>
  <c r="P24" i="37"/>
  <c r="S17" i="40"/>
  <c r="L10" i="37"/>
  <c r="P10" i="37"/>
  <c r="S18" i="40"/>
  <c r="P15" i="37"/>
  <c r="U20" i="1"/>
  <c r="X20" i="1" s="1"/>
  <c r="P20" i="1"/>
  <c r="D18" i="13"/>
  <c r="F12" i="13"/>
  <c r="D18" i="4"/>
  <c r="F12" i="4"/>
  <c r="D18" i="23"/>
  <c r="F12" i="23"/>
  <c r="K12" i="1" s="1"/>
  <c r="E20" i="39"/>
  <c r="B19" i="39"/>
  <c r="E18" i="39"/>
  <c r="G18" i="39" s="1"/>
  <c r="E19" i="39"/>
  <c r="F26" i="4"/>
  <c r="D28" i="4"/>
  <c r="D28" i="16"/>
  <c r="F26" i="16"/>
  <c r="D28" i="51"/>
  <c r="F26" i="51"/>
  <c r="D24" i="4"/>
  <c r="F21" i="4"/>
  <c r="D24" i="24"/>
  <c r="H21" i="24"/>
  <c r="D24" i="50"/>
  <c r="F21" i="50"/>
  <c r="L18" i="1" s="1"/>
  <c r="F14" i="23"/>
  <c r="K13" i="1" s="1"/>
  <c r="V13" i="1" s="1"/>
  <c r="Q15" i="39"/>
  <c r="S15" i="39" s="1"/>
  <c r="Q14" i="39"/>
  <c r="S14" i="39" s="1"/>
  <c r="Q16" i="39"/>
  <c r="F34" i="3"/>
  <c r="E29" i="1"/>
  <c r="F34" i="23"/>
  <c r="K29" i="1"/>
  <c r="H34" i="24"/>
  <c r="N29" i="1"/>
  <c r="N31" i="1" s="1"/>
  <c r="U19" i="1"/>
  <c r="X19" i="1" s="1"/>
  <c r="P19" i="1"/>
  <c r="F16" i="19"/>
  <c r="I14" i="1" s="1"/>
  <c r="F7" i="3"/>
  <c r="D9" i="3"/>
  <c r="D9" i="16"/>
  <c r="F7" i="16"/>
  <c r="F7" i="51"/>
  <c r="D9" i="51"/>
  <c r="G17" i="40"/>
  <c r="K34" i="42"/>
  <c r="G29" i="40"/>
  <c r="G30" i="40"/>
  <c r="R14" i="43"/>
  <c r="I35" i="43"/>
  <c r="I29" i="43"/>
  <c r="I25" i="42"/>
  <c r="K25" i="42" s="1"/>
  <c r="I12" i="40"/>
  <c r="K12" i="40" s="1"/>
  <c r="G38" i="40"/>
  <c r="P12" i="37"/>
  <c r="L12" i="37"/>
  <c r="L28" i="37"/>
  <c r="P28" i="37"/>
  <c r="U30" i="1"/>
  <c r="X30" i="1" s="1"/>
  <c r="P30" i="1"/>
  <c r="D18" i="16"/>
  <c r="F12" i="16"/>
  <c r="D18" i="19"/>
  <c r="F12" i="19"/>
  <c r="D18" i="50"/>
  <c r="F12" i="50"/>
  <c r="L12" i="1" s="1"/>
  <c r="AA14" i="37"/>
  <c r="Y14" i="37"/>
  <c r="D34" i="24"/>
  <c r="D34" i="22"/>
  <c r="D34" i="50"/>
  <c r="D34" i="19"/>
  <c r="D34" i="16"/>
  <c r="D34" i="13"/>
  <c r="D34" i="4"/>
  <c r="D34" i="51"/>
  <c r="D34" i="3"/>
  <c r="D34" i="23"/>
  <c r="F26" i="3"/>
  <c r="D28" i="3"/>
  <c r="D28" i="23"/>
  <c r="F26" i="23"/>
  <c r="H26" i="24"/>
  <c r="D28" i="24"/>
  <c r="F21" i="19"/>
  <c r="D24" i="19"/>
  <c r="F21" i="51"/>
  <c r="D24" i="51"/>
  <c r="F14" i="19"/>
  <c r="I13" i="1" s="1"/>
  <c r="F14" i="50"/>
  <c r="L13" i="1" s="1"/>
  <c r="W13" i="1" s="1"/>
  <c r="H36" i="37"/>
  <c r="Q14" i="40"/>
  <c r="S14" i="40" s="1"/>
  <c r="Q13" i="40"/>
  <c r="S13" i="40" s="1"/>
  <c r="Q19" i="40"/>
  <c r="I25" i="40" s="1"/>
  <c r="K25" i="40" s="1"/>
  <c r="F34" i="4"/>
  <c r="F29" i="1"/>
  <c r="F31" i="1" s="1"/>
  <c r="F34" i="50"/>
  <c r="L29" i="1"/>
  <c r="U27" i="1"/>
  <c r="X27" i="1" s="1"/>
  <c r="P27" i="1"/>
  <c r="F16" i="23"/>
  <c r="K14" i="1" s="1"/>
  <c r="V14" i="1" s="1"/>
  <c r="F16" i="22"/>
  <c r="J14" i="1" s="1"/>
  <c r="F7" i="4"/>
  <c r="D9" i="4"/>
  <c r="F7" i="23"/>
  <c r="D9" i="23"/>
  <c r="D9" i="24"/>
  <c r="H7" i="24"/>
  <c r="K25" i="43" l="1"/>
  <c r="K26" i="42"/>
  <c r="K23" i="42"/>
  <c r="K35" i="42"/>
  <c r="L34" i="37"/>
  <c r="K35" i="43"/>
  <c r="K19" i="42"/>
  <c r="K18" i="42"/>
  <c r="L26" i="37"/>
  <c r="P30" i="37"/>
  <c r="K19" i="43"/>
  <c r="P39" i="37"/>
  <c r="K30" i="43"/>
  <c r="K22" i="42"/>
  <c r="P14" i="37"/>
  <c r="K17" i="42"/>
  <c r="K21" i="42"/>
  <c r="G15" i="41"/>
  <c r="W33" i="41"/>
  <c r="K13" i="43"/>
  <c r="P19" i="37"/>
  <c r="K33" i="43"/>
  <c r="L27" i="37"/>
  <c r="P35" i="37"/>
  <c r="F24" i="23"/>
  <c r="P32" i="37"/>
  <c r="L16" i="37"/>
  <c r="L20" i="37"/>
  <c r="P23" i="37"/>
  <c r="K14" i="42"/>
  <c r="K22" i="43"/>
  <c r="K18" i="43"/>
  <c r="K29" i="43"/>
  <c r="D36" i="16"/>
  <c r="D40" i="16" s="1"/>
  <c r="K29" i="42"/>
  <c r="K27" i="42"/>
  <c r="D36" i="24"/>
  <c r="D40" i="24" s="1"/>
  <c r="D36" i="23"/>
  <c r="D40" i="23" s="1"/>
  <c r="P13" i="1"/>
  <c r="F9" i="23"/>
  <c r="K9" i="1"/>
  <c r="I18" i="1"/>
  <c r="I21" i="1" s="1"/>
  <c r="F24" i="19"/>
  <c r="D36" i="51"/>
  <c r="D40" i="51" s="1"/>
  <c r="D36" i="3"/>
  <c r="D40" i="3" s="1"/>
  <c r="F9" i="22"/>
  <c r="J9" i="1"/>
  <c r="J10" i="1" s="1"/>
  <c r="L24" i="36"/>
  <c r="J24" i="36"/>
  <c r="L28" i="36"/>
  <c r="J28" i="36"/>
  <c r="L11" i="36"/>
  <c r="J11" i="36"/>
  <c r="L16" i="36"/>
  <c r="J16" i="36"/>
  <c r="L20" i="36"/>
  <c r="J20" i="36"/>
  <c r="L31" i="36"/>
  <c r="J31" i="36"/>
  <c r="F18" i="23"/>
  <c r="D36" i="19"/>
  <c r="D40" i="19" s="1"/>
  <c r="U14" i="1"/>
  <c r="X14" i="1" s="1"/>
  <c r="P14" i="1"/>
  <c r="K21" i="43"/>
  <c r="K15" i="43"/>
  <c r="AF12" i="36"/>
  <c r="AD12" i="36"/>
  <c r="AD17" i="36"/>
  <c r="AF17" i="36"/>
  <c r="AF10" i="36"/>
  <c r="AD10" i="36"/>
  <c r="AF15" i="36"/>
  <c r="AD15" i="36"/>
  <c r="AF22" i="36"/>
  <c r="AD22" i="36"/>
  <c r="AF27" i="36"/>
  <c r="AD27" i="36"/>
  <c r="AC35" i="1"/>
  <c r="G14" i="41"/>
  <c r="H9" i="24"/>
  <c r="N9" i="1"/>
  <c r="N10" i="1" s="1"/>
  <c r="D36" i="4"/>
  <c r="D40" i="4" s="1"/>
  <c r="Q27" i="1"/>
  <c r="T27" i="1"/>
  <c r="Y27" i="1" s="1"/>
  <c r="J10" i="37"/>
  <c r="AB14" i="37"/>
  <c r="J40" i="37"/>
  <c r="J28" i="37"/>
  <c r="J39" i="37"/>
  <c r="J27" i="37"/>
  <c r="J31" i="37"/>
  <c r="J20" i="37"/>
  <c r="J26" i="37"/>
  <c r="J36" i="37"/>
  <c r="J14" i="37"/>
  <c r="J30" i="37"/>
  <c r="J19" i="37"/>
  <c r="J35" i="37"/>
  <c r="J12" i="37"/>
  <c r="J15" i="37"/>
  <c r="J24" i="37"/>
  <c r="J18" i="37"/>
  <c r="J23" i="37"/>
  <c r="J34" i="37"/>
  <c r="J32" i="37"/>
  <c r="J38" i="37"/>
  <c r="J11" i="37"/>
  <c r="J16" i="37"/>
  <c r="J22" i="37"/>
  <c r="I12" i="1"/>
  <c r="I16" i="1" s="1"/>
  <c r="F18" i="19"/>
  <c r="T30" i="1"/>
  <c r="Y30" i="1" s="1"/>
  <c r="Q30" i="1"/>
  <c r="F9" i="51"/>
  <c r="M9" i="1"/>
  <c r="M10" i="1" s="1"/>
  <c r="F9" i="3"/>
  <c r="E9" i="1"/>
  <c r="U29" i="1"/>
  <c r="P29" i="1"/>
  <c r="E31" i="1"/>
  <c r="N18" i="1"/>
  <c r="N21" i="1" s="1"/>
  <c r="H24" i="24"/>
  <c r="F28" i="51"/>
  <c r="M23" i="1"/>
  <c r="M25" i="1" s="1"/>
  <c r="B20" i="39"/>
  <c r="I19" i="39"/>
  <c r="G19" i="39"/>
  <c r="F12" i="1"/>
  <c r="F16" i="1" s="1"/>
  <c r="F18" i="4"/>
  <c r="T20" i="1"/>
  <c r="Y20" i="1" s="1"/>
  <c r="Q20" i="1"/>
  <c r="G16" i="41"/>
  <c r="F24" i="50"/>
  <c r="F18" i="50"/>
  <c r="D36" i="22"/>
  <c r="D40" i="22" s="1"/>
  <c r="L25" i="36"/>
  <c r="J25" i="36"/>
  <c r="L29" i="36"/>
  <c r="J29" i="36"/>
  <c r="L13" i="36"/>
  <c r="J13" i="36"/>
  <c r="L17" i="36"/>
  <c r="J17" i="36"/>
  <c r="L21" i="36"/>
  <c r="J21" i="36"/>
  <c r="K21" i="1"/>
  <c r="V18" i="1"/>
  <c r="V21" i="1" s="1"/>
  <c r="F28" i="13"/>
  <c r="G23" i="1"/>
  <c r="G25" i="1" s="1"/>
  <c r="I10" i="41"/>
  <c r="S16" i="41"/>
  <c r="I11" i="41"/>
  <c r="I12" i="41"/>
  <c r="I15" i="41"/>
  <c r="K15" i="41" s="1"/>
  <c r="I14" i="41"/>
  <c r="K14" i="41" s="1"/>
  <c r="N12" i="1"/>
  <c r="N16" i="1" s="1"/>
  <c r="H18" i="24"/>
  <c r="I16" i="41"/>
  <c r="F9" i="19"/>
  <c r="I9" i="1"/>
  <c r="I10" i="1" s="1"/>
  <c r="K23" i="43"/>
  <c r="K17" i="43"/>
  <c r="G18" i="1"/>
  <c r="G21" i="1" s="1"/>
  <c r="F24" i="13"/>
  <c r="J12" i="1"/>
  <c r="J16" i="1" s="1"/>
  <c r="F18" i="22"/>
  <c r="T15" i="1"/>
  <c r="Y15" i="1" s="1"/>
  <c r="Q15" i="1"/>
  <c r="AF23" i="36"/>
  <c r="AD23" i="36"/>
  <c r="AD18" i="36"/>
  <c r="AF18" i="36"/>
  <c r="AF16" i="36"/>
  <c r="AD16" i="36"/>
  <c r="AF24" i="36"/>
  <c r="AD24" i="36"/>
  <c r="AF28" i="36"/>
  <c r="AD28" i="36"/>
  <c r="F38" i="25"/>
  <c r="F42" i="25" s="1"/>
  <c r="F9" i="4"/>
  <c r="F9" i="1"/>
  <c r="F10" i="1" s="1"/>
  <c r="P36" i="37"/>
  <c r="L36" i="37"/>
  <c r="M18" i="1"/>
  <c r="M21" i="1" s="1"/>
  <c r="F24" i="51"/>
  <c r="H28" i="24"/>
  <c r="N23" i="1"/>
  <c r="N25" i="1" s="1"/>
  <c r="F28" i="3"/>
  <c r="E23" i="1"/>
  <c r="F9" i="16"/>
  <c r="H9" i="1"/>
  <c r="H10" i="1" s="1"/>
  <c r="F28" i="4"/>
  <c r="F23" i="1"/>
  <c r="F25" i="1" s="1"/>
  <c r="F9" i="13"/>
  <c r="G9" i="1"/>
  <c r="G10" i="1" s="1"/>
  <c r="L9" i="36"/>
  <c r="J9" i="36"/>
  <c r="L26" i="36"/>
  <c r="J26" i="36"/>
  <c r="L30" i="36"/>
  <c r="J30" i="36"/>
  <c r="L14" i="36"/>
  <c r="J14" i="36"/>
  <c r="L18" i="36"/>
  <c r="J18" i="36"/>
  <c r="L22" i="36"/>
  <c r="J22" i="36"/>
  <c r="E18" i="1"/>
  <c r="F24" i="3"/>
  <c r="E12" i="1"/>
  <c r="F18" i="3"/>
  <c r="B19" i="41"/>
  <c r="E18" i="41"/>
  <c r="E19" i="41"/>
  <c r="E20" i="41"/>
  <c r="I18" i="41"/>
  <c r="G18" i="41"/>
  <c r="D36" i="50"/>
  <c r="D40" i="50" s="1"/>
  <c r="X13" i="1"/>
  <c r="F28" i="19"/>
  <c r="I23" i="1"/>
  <c r="I25" i="1" s="1"/>
  <c r="AF31" i="36"/>
  <c r="AD31" i="36"/>
  <c r="AD19" i="36"/>
  <c r="AF19" i="36"/>
  <c r="AF13" i="36"/>
  <c r="AD13" i="36"/>
  <c r="AF20" i="36"/>
  <c r="AD20" i="36"/>
  <c r="AF25" i="36"/>
  <c r="AD25" i="36"/>
  <c r="AF29" i="36"/>
  <c r="AD29" i="36"/>
  <c r="K19" i="40"/>
  <c r="L31" i="1"/>
  <c r="W29" i="1"/>
  <c r="W31" i="1" s="1"/>
  <c r="S19" i="40"/>
  <c r="I29" i="40"/>
  <c r="K29" i="40" s="1"/>
  <c r="I32" i="40"/>
  <c r="K32" i="40" s="1"/>
  <c r="I38" i="40"/>
  <c r="K38" i="40" s="1"/>
  <c r="I28" i="40"/>
  <c r="K28" i="40" s="1"/>
  <c r="I17" i="40"/>
  <c r="K17" i="40" s="1"/>
  <c r="I30" i="40"/>
  <c r="K30" i="40" s="1"/>
  <c r="I21" i="40"/>
  <c r="K21" i="40" s="1"/>
  <c r="I37" i="40"/>
  <c r="K37" i="40" s="1"/>
  <c r="I34" i="40"/>
  <c r="K34" i="40" s="1"/>
  <c r="I26" i="40"/>
  <c r="K26" i="40" s="1"/>
  <c r="I36" i="40"/>
  <c r="K36" i="40" s="1"/>
  <c r="I33" i="40"/>
  <c r="K33" i="40" s="1"/>
  <c r="F28" i="23"/>
  <c r="K23" i="1"/>
  <c r="L16" i="1"/>
  <c r="W12" i="1"/>
  <c r="W16" i="1" s="1"/>
  <c r="H12" i="1"/>
  <c r="H16" i="1" s="1"/>
  <c r="F18" i="16"/>
  <c r="Q19" i="1"/>
  <c r="T19" i="1"/>
  <c r="Y19" i="1" s="1"/>
  <c r="K31" i="1"/>
  <c r="V29" i="1"/>
  <c r="V31" i="1" s="1"/>
  <c r="S16" i="39"/>
  <c r="I10" i="39"/>
  <c r="K10" i="39" s="1"/>
  <c r="I11" i="39"/>
  <c r="K11" i="39" s="1"/>
  <c r="I18" i="39"/>
  <c r="K18" i="39" s="1"/>
  <c r="I15" i="39"/>
  <c r="K15" i="39" s="1"/>
  <c r="I16" i="39"/>
  <c r="K16" i="39" s="1"/>
  <c r="I12" i="39"/>
  <c r="K12" i="39" s="1"/>
  <c r="I14" i="39"/>
  <c r="K14" i="39" s="1"/>
  <c r="L21" i="1"/>
  <c r="W18" i="1"/>
  <c r="W21" i="1" s="1"/>
  <c r="F18" i="1"/>
  <c r="F21" i="1" s="1"/>
  <c r="F24" i="4"/>
  <c r="F28" i="16"/>
  <c r="H23" i="1"/>
  <c r="H25" i="1" s="1"/>
  <c r="K16" i="1"/>
  <c r="V12" i="1"/>
  <c r="V16" i="1" s="1"/>
  <c r="F18" i="13"/>
  <c r="G12" i="1"/>
  <c r="G16" i="1" s="1"/>
  <c r="G12" i="41"/>
  <c r="G11" i="41"/>
  <c r="G10" i="41"/>
  <c r="D36" i="13"/>
  <c r="D40" i="13" s="1"/>
  <c r="Q24" i="1"/>
  <c r="T24" i="1"/>
  <c r="Y24" i="1" s="1"/>
  <c r="L12" i="36"/>
  <c r="J12" i="36"/>
  <c r="L27" i="36"/>
  <c r="J27" i="36"/>
  <c r="L10" i="36"/>
  <c r="J10" i="36"/>
  <c r="L15" i="36"/>
  <c r="J15" i="36"/>
  <c r="L19" i="36"/>
  <c r="J19" i="36"/>
  <c r="L23" i="36"/>
  <c r="J23" i="36"/>
  <c r="H18" i="1"/>
  <c r="H21" i="1" s="1"/>
  <c r="F24" i="16"/>
  <c r="F28" i="22"/>
  <c r="J23" i="1"/>
  <c r="J25" i="1" s="1"/>
  <c r="O16" i="38"/>
  <c r="O14" i="38"/>
  <c r="O13" i="38"/>
  <c r="O12" i="38"/>
  <c r="Q43" i="38"/>
  <c r="F9" i="50"/>
  <c r="L9" i="1"/>
  <c r="AB16" i="1"/>
  <c r="Z33" i="1"/>
  <c r="J18" i="1"/>
  <c r="J21" i="1" s="1"/>
  <c r="F24" i="22"/>
  <c r="F28" i="50"/>
  <c r="L23" i="1"/>
  <c r="M12" i="1"/>
  <c r="M16" i="1" s="1"/>
  <c r="F18" i="51"/>
  <c r="AF9" i="36"/>
  <c r="AD9" i="36"/>
  <c r="AD11" i="36"/>
  <c r="AF11" i="36"/>
  <c r="AD30" i="36"/>
  <c r="AF30" i="36"/>
  <c r="AF14" i="36"/>
  <c r="AD14" i="36"/>
  <c r="AF21" i="36"/>
  <c r="AD21" i="36"/>
  <c r="AF26" i="36"/>
  <c r="AD26" i="36"/>
  <c r="K18" i="41" l="1"/>
  <c r="K16" i="41"/>
  <c r="AA30" i="1"/>
  <c r="AC30" i="1" s="1"/>
  <c r="AA27" i="1"/>
  <c r="AC27" i="1" s="1"/>
  <c r="AA24" i="1"/>
  <c r="AC24" i="1" s="1"/>
  <c r="AA15" i="1"/>
  <c r="AC15" i="1" s="1"/>
  <c r="F36" i="50"/>
  <c r="F40" i="50" s="1"/>
  <c r="G11" i="38"/>
  <c r="G18" i="38"/>
  <c r="G30" i="38"/>
  <c r="G12" i="38"/>
  <c r="G35" i="38"/>
  <c r="G15" i="38"/>
  <c r="G10" i="38"/>
  <c r="G31" i="38"/>
  <c r="G24" i="38"/>
  <c r="G14" i="38"/>
  <c r="G27" i="38"/>
  <c r="G36" i="38"/>
  <c r="G22" i="38"/>
  <c r="G32" i="38"/>
  <c r="G26" i="38"/>
  <c r="G19" i="38"/>
  <c r="G28" i="38"/>
  <c r="G20" i="38"/>
  <c r="G16" i="38"/>
  <c r="G23" i="38"/>
  <c r="G34" i="38"/>
  <c r="AA19" i="1"/>
  <c r="AC19" i="1" s="1"/>
  <c r="U23" i="1"/>
  <c r="P23" i="1"/>
  <c r="E25" i="1"/>
  <c r="F33" i="1"/>
  <c r="F37" i="1" s="1"/>
  <c r="K12" i="41"/>
  <c r="B22" i="39"/>
  <c r="G20" i="39"/>
  <c r="I20" i="39"/>
  <c r="E10" i="1"/>
  <c r="U9" i="1"/>
  <c r="P9" i="1"/>
  <c r="R22" i="37"/>
  <c r="N22" i="37"/>
  <c r="N32" i="37"/>
  <c r="R32" i="37"/>
  <c r="R24" i="37"/>
  <c r="N24" i="37"/>
  <c r="R19" i="37"/>
  <c r="N19" i="37"/>
  <c r="N26" i="37"/>
  <c r="R26" i="37"/>
  <c r="R39" i="37"/>
  <c r="N39" i="37"/>
  <c r="R10" i="37"/>
  <c r="N10" i="37"/>
  <c r="N33" i="1"/>
  <c r="N37" i="1" s="1"/>
  <c r="F36" i="22"/>
  <c r="F40" i="22" s="1"/>
  <c r="L25" i="1"/>
  <c r="W23" i="1"/>
  <c r="W25" i="1" s="1"/>
  <c r="AB33" i="1"/>
  <c r="Z37" i="1"/>
  <c r="AB37" i="1" s="1"/>
  <c r="Q13" i="38"/>
  <c r="S13" i="38" s="1"/>
  <c r="Q12" i="38"/>
  <c r="S12" i="38" s="1"/>
  <c r="Q16" i="38"/>
  <c r="S16" i="38" s="1"/>
  <c r="Q14" i="38"/>
  <c r="B20" i="41"/>
  <c r="I19" i="41"/>
  <c r="G19" i="41"/>
  <c r="U18" i="1"/>
  <c r="P18" i="1"/>
  <c r="E21" i="1"/>
  <c r="F36" i="4"/>
  <c r="F40" i="4" s="1"/>
  <c r="I33" i="1"/>
  <c r="I37" i="1" s="1"/>
  <c r="K11" i="41"/>
  <c r="F36" i="3"/>
  <c r="F40" i="3" s="1"/>
  <c r="R16" i="37"/>
  <c r="N16" i="37"/>
  <c r="N34" i="37"/>
  <c r="R34" i="37"/>
  <c r="N15" i="37"/>
  <c r="R15" i="37"/>
  <c r="N30" i="37"/>
  <c r="R30" i="37"/>
  <c r="N20" i="37"/>
  <c r="R20" i="37"/>
  <c r="R28" i="37"/>
  <c r="N28" i="37"/>
  <c r="H36" i="24"/>
  <c r="H40" i="24" s="1"/>
  <c r="K10" i="1"/>
  <c r="V9" i="1"/>
  <c r="V10" i="1" s="1"/>
  <c r="K25" i="1"/>
  <c r="V23" i="1"/>
  <c r="V25" i="1" s="1"/>
  <c r="G33" i="1"/>
  <c r="G37" i="1" s="1"/>
  <c r="H33" i="1"/>
  <c r="H37" i="1" s="1"/>
  <c r="F36" i="19"/>
  <c r="F40" i="19" s="1"/>
  <c r="P31" i="1"/>
  <c r="Q29" i="1"/>
  <c r="Q31" i="1" s="1"/>
  <c r="T29" i="1"/>
  <c r="M33" i="1"/>
  <c r="M37" i="1" s="1"/>
  <c r="R11" i="37"/>
  <c r="N11" i="37"/>
  <c r="N23" i="37"/>
  <c r="R23" i="37"/>
  <c r="R12" i="37"/>
  <c r="N12" i="37"/>
  <c r="N14" i="37"/>
  <c r="R14" i="37"/>
  <c r="R31" i="37"/>
  <c r="N31" i="37"/>
  <c r="N40" i="37"/>
  <c r="R40" i="37"/>
  <c r="F36" i="23"/>
  <c r="F40" i="23" s="1"/>
  <c r="W9" i="1"/>
  <c r="W10" i="1" s="1"/>
  <c r="L10" i="1"/>
  <c r="L33" i="1" s="1"/>
  <c r="L37" i="1" s="1"/>
  <c r="E16" i="1"/>
  <c r="U12" i="1"/>
  <c r="P12" i="1"/>
  <c r="F36" i="13"/>
  <c r="F40" i="13" s="1"/>
  <c r="E40" i="13" s="1"/>
  <c r="F36" i="16"/>
  <c r="F40" i="16" s="1"/>
  <c r="K10" i="41"/>
  <c r="AA20" i="1"/>
  <c r="AC20" i="1" s="1"/>
  <c r="K19" i="39"/>
  <c r="U31" i="1"/>
  <c r="X29" i="1"/>
  <c r="X31" i="1" s="1"/>
  <c r="F36" i="51"/>
  <c r="F40" i="51" s="1"/>
  <c r="N38" i="37"/>
  <c r="R38" i="37"/>
  <c r="N18" i="37"/>
  <c r="R18" i="37"/>
  <c r="R35" i="37"/>
  <c r="N35" i="37"/>
  <c r="N36" i="37"/>
  <c r="R36" i="37"/>
  <c r="R27" i="37"/>
  <c r="N27" i="37"/>
  <c r="Q14" i="1"/>
  <c r="T14" i="1"/>
  <c r="Y14" i="1" s="1"/>
  <c r="J33" i="1"/>
  <c r="J37" i="1" s="1"/>
  <c r="T13" i="1"/>
  <c r="Y13" i="1" s="1"/>
  <c r="Q13" i="1"/>
  <c r="AF13" i="1" s="1"/>
  <c r="K20" i="39" l="1"/>
  <c r="W33" i="1"/>
  <c r="W37" i="1" s="1"/>
  <c r="K33" i="1"/>
  <c r="K37" i="1" s="1"/>
  <c r="AA14" i="1"/>
  <c r="AC14" i="1" s="1"/>
  <c r="AA13" i="1"/>
  <c r="K19" i="41"/>
  <c r="E33" i="1"/>
  <c r="E37" i="1" s="1"/>
  <c r="X23" i="1"/>
  <c r="X25" i="1" s="1"/>
  <c r="U25" i="1"/>
  <c r="T31" i="1"/>
  <c r="Y29" i="1"/>
  <c r="V33" i="1"/>
  <c r="V37" i="1" s="1"/>
  <c r="P21" i="1"/>
  <c r="T18" i="1"/>
  <c r="Q18" i="1"/>
  <c r="B22" i="41"/>
  <c r="G20" i="41"/>
  <c r="I20" i="41"/>
  <c r="P16" i="1"/>
  <c r="T12" i="1"/>
  <c r="Q12" i="1"/>
  <c r="Q16" i="1" s="1"/>
  <c r="U21" i="1"/>
  <c r="X18" i="1"/>
  <c r="X21" i="1" s="1"/>
  <c r="I10" i="38"/>
  <c r="K10" i="38" s="1"/>
  <c r="S14" i="38"/>
  <c r="I23" i="38"/>
  <c r="K23" i="38" s="1"/>
  <c r="I31" i="38"/>
  <c r="K31" i="38" s="1"/>
  <c r="I26" i="38"/>
  <c r="K26" i="38" s="1"/>
  <c r="I28" i="38"/>
  <c r="K28" i="38" s="1"/>
  <c r="I36" i="38"/>
  <c r="K36" i="38" s="1"/>
  <c r="I20" i="38"/>
  <c r="K20" i="38" s="1"/>
  <c r="I32" i="38"/>
  <c r="K32" i="38" s="1"/>
  <c r="I19" i="38"/>
  <c r="K19" i="38" s="1"/>
  <c r="I34" i="38"/>
  <c r="K34" i="38" s="1"/>
  <c r="I15" i="38"/>
  <c r="K15" i="38" s="1"/>
  <c r="I22" i="38"/>
  <c r="K22" i="38" s="1"/>
  <c r="I16" i="38"/>
  <c r="K16" i="38" s="1"/>
  <c r="I12" i="38"/>
  <c r="K12" i="38" s="1"/>
  <c r="I35" i="38"/>
  <c r="K35" i="38" s="1"/>
  <c r="I18" i="38"/>
  <c r="K18" i="38" s="1"/>
  <c r="I30" i="38"/>
  <c r="K30" i="38" s="1"/>
  <c r="I11" i="38"/>
  <c r="K11" i="38" s="1"/>
  <c r="I24" i="38"/>
  <c r="K24" i="38" s="1"/>
  <c r="I14" i="38"/>
  <c r="K14" i="38" s="1"/>
  <c r="I27" i="38"/>
  <c r="K27" i="38" s="1"/>
  <c r="Q9" i="1"/>
  <c r="Q10" i="1" s="1"/>
  <c r="P10" i="1"/>
  <c r="T9" i="1"/>
  <c r="U16" i="1"/>
  <c r="X12" i="1"/>
  <c r="X16" i="1" s="1"/>
  <c r="U10" i="1"/>
  <c r="X9" i="1"/>
  <c r="X10" i="1" s="1"/>
  <c r="E24" i="39"/>
  <c r="E23" i="39"/>
  <c r="E22" i="39"/>
  <c r="G22" i="39" s="1"/>
  <c r="B23" i="39"/>
  <c r="T23" i="1"/>
  <c r="P25" i="1"/>
  <c r="Q23" i="1"/>
  <c r="Q25" i="1" s="1"/>
  <c r="K20" i="41" l="1"/>
  <c r="X33" i="1"/>
  <c r="X37" i="1" s="1"/>
  <c r="U33" i="1"/>
  <c r="U37" i="1" s="1"/>
  <c r="B24" i="39"/>
  <c r="I23" i="39"/>
  <c r="G23" i="39"/>
  <c r="T10" i="1"/>
  <c r="Y9" i="1"/>
  <c r="T16" i="1"/>
  <c r="Y12" i="1"/>
  <c r="E23" i="41"/>
  <c r="B23" i="41"/>
  <c r="E24" i="41"/>
  <c r="E22" i="41"/>
  <c r="G22" i="41" s="1"/>
  <c r="I22" i="41"/>
  <c r="P33" i="1"/>
  <c r="P37" i="1" s="1"/>
  <c r="AF18" i="1"/>
  <c r="Q21" i="1"/>
  <c r="Y31" i="1"/>
  <c r="AA29" i="1"/>
  <c r="I22" i="39"/>
  <c r="K22" i="39" s="1"/>
  <c r="Q33" i="1"/>
  <c r="Q37" i="1" s="1"/>
  <c r="T21" i="1"/>
  <c r="Y18" i="1"/>
  <c r="T25" i="1"/>
  <c r="Y23" i="1"/>
  <c r="AC13" i="1"/>
  <c r="AE13" i="1"/>
  <c r="AG13" i="1" s="1"/>
  <c r="K22" i="41" l="1"/>
  <c r="T33" i="1"/>
  <c r="T37" i="1" s="1"/>
  <c r="Y16" i="1"/>
  <c r="AA12" i="1"/>
  <c r="Y25" i="1"/>
  <c r="AA23" i="1"/>
  <c r="K23" i="39"/>
  <c r="Y21" i="1"/>
  <c r="AA18" i="1"/>
  <c r="AA31" i="1"/>
  <c r="AC31" i="1" s="1"/>
  <c r="AC29" i="1"/>
  <c r="B24" i="41"/>
  <c r="I23" i="41"/>
  <c r="G23" i="41"/>
  <c r="AA9" i="1"/>
  <c r="Y10" i="1"/>
  <c r="B26" i="39"/>
  <c r="I24" i="39"/>
  <c r="G24" i="39"/>
  <c r="Y33" i="1" l="1"/>
  <c r="Y37" i="1" s="1"/>
  <c r="B26" i="41"/>
  <c r="G24" i="41"/>
  <c r="I24" i="41"/>
  <c r="AA16" i="1"/>
  <c r="AC16" i="1" s="1"/>
  <c r="AC12" i="1"/>
  <c r="K24" i="39"/>
  <c r="AA25" i="1"/>
  <c r="AC25" i="1" s="1"/>
  <c r="AC23" i="1"/>
  <c r="AA10" i="1"/>
  <c r="AC9" i="1"/>
  <c r="E28" i="39"/>
  <c r="B27" i="39"/>
  <c r="E27" i="39"/>
  <c r="E26" i="39"/>
  <c r="I26" i="39" s="1"/>
  <c r="K23" i="41"/>
  <c r="AC18" i="1"/>
  <c r="AA21" i="1"/>
  <c r="AC21" i="1" s="1"/>
  <c r="AE18" i="1"/>
  <c r="AG18" i="1" s="1"/>
  <c r="AA33" i="1" l="1"/>
  <c r="AC10" i="1"/>
  <c r="B27" i="41"/>
  <c r="E27" i="41"/>
  <c r="E28" i="41"/>
  <c r="E26" i="41"/>
  <c r="I26" i="41" s="1"/>
  <c r="G26" i="39"/>
  <c r="K26" i="39" s="1"/>
  <c r="B28" i="39"/>
  <c r="I27" i="39"/>
  <c r="G27" i="39"/>
  <c r="K24" i="41"/>
  <c r="K27" i="39" l="1"/>
  <c r="G26" i="41"/>
  <c r="K26" i="41" s="1"/>
  <c r="B28" i="41"/>
  <c r="G27" i="41"/>
  <c r="I27" i="41"/>
  <c r="B30" i="39"/>
  <c r="G28" i="39"/>
  <c r="I28" i="39"/>
  <c r="AC33" i="1"/>
  <c r="AA37" i="1"/>
  <c r="AC37" i="1" s="1"/>
  <c r="K28" i="39" l="1"/>
  <c r="K27" i="41"/>
  <c r="B30" i="41"/>
  <c r="G28" i="41"/>
  <c r="I28" i="41"/>
  <c r="E30" i="39"/>
  <c r="E31" i="39"/>
  <c r="E32" i="39"/>
  <c r="B31" i="39"/>
  <c r="I30" i="39"/>
  <c r="G30" i="39"/>
  <c r="K28" i="41" l="1"/>
  <c r="K30" i="39"/>
  <c r="B32" i="39"/>
  <c r="G31" i="39"/>
  <c r="I31" i="39"/>
  <c r="E32" i="41"/>
  <c r="B31" i="41"/>
  <c r="E30" i="41"/>
  <c r="I30" i="41" s="1"/>
  <c r="E31" i="41"/>
  <c r="K31" i="39" l="1"/>
  <c r="G30" i="41"/>
  <c r="K30" i="41" s="1"/>
  <c r="B32" i="41"/>
  <c r="G31" i="41"/>
  <c r="I31" i="41"/>
  <c r="B34" i="39"/>
  <c r="G32" i="39"/>
  <c r="I32" i="39"/>
  <c r="K32" i="39" l="1"/>
  <c r="B34" i="41"/>
  <c r="I32" i="41"/>
  <c r="G32" i="41"/>
  <c r="B35" i="39"/>
  <c r="E36" i="39"/>
  <c r="E34" i="39"/>
  <c r="G34" i="39" s="1"/>
  <c r="E35" i="39"/>
  <c r="I34" i="39"/>
  <c r="K31" i="41"/>
  <c r="B36" i="39" l="1"/>
  <c r="G35" i="39"/>
  <c r="I35" i="39"/>
  <c r="K34" i="39"/>
  <c r="K32" i="41"/>
  <c r="E35" i="41"/>
  <c r="E34" i="41"/>
  <c r="I34" i="41" s="1"/>
  <c r="E36" i="41"/>
  <c r="B35" i="41"/>
  <c r="K35" i="39" l="1"/>
  <c r="G34" i="41"/>
  <c r="K34" i="41" s="1"/>
  <c r="B36" i="41"/>
  <c r="I35" i="41"/>
  <c r="G35" i="41"/>
  <c r="I36" i="39"/>
  <c r="G36" i="39"/>
  <c r="K35" i="41" l="1"/>
  <c r="G36" i="41"/>
  <c r="I36" i="41"/>
  <c r="K36" i="39"/>
  <c r="K36" i="41" l="1"/>
</calcChain>
</file>

<file path=xl/sharedStrings.xml><?xml version="1.0" encoding="utf-8"?>
<sst xmlns="http://schemas.openxmlformats.org/spreadsheetml/2006/main" count="1445" uniqueCount="631">
  <si>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</si>
  <si>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</si>
  <si>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</si>
  <si>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</si>
  <si>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</si>
  <si>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</si>
  <si>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</si>
  <si>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</si>
  <si>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</si>
  <si>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</si>
  <si>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</si>
  <si>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</si>
  <si>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</si>
  <si>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</si>
  <si>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</si>
  <si>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</si>
  <si>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</si>
  <si>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</si>
  <si>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</si>
  <si>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</si>
  <si>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</si>
  <si>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</si>
  <si>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</si>
  <si>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</si>
  <si>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</si>
  <si>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</si>
  <si>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</si>
  <si>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</si>
  <si>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</si>
  <si>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</si>
  <si>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</si>
  <si>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</si>
  <si>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</si>
  <si>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</si>
  <si>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</si>
  <si>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</si>
  <si>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</si>
  <si>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</si>
  <si>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</si>
  <si>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</si>
  <si>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</si>
  <si>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</si>
  <si>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</si>
  <si>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</si>
  <si>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</si>
  <si>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</si>
  <si>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</si>
  <si>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</si>
  <si>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</si>
  <si>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</si>
  <si>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</si>
  <si>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</si>
  <si>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</si>
  <si>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</si>
  <si>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</si>
  <si>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</si>
  <si>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</si>
  <si>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</si>
  <si>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</si>
  <si>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</si>
  <si>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</si>
  <si>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</si>
  <si>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</si>
  <si>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</si>
  <si>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</si>
  <si>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</si>
  <si>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</si>
  <si>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</si>
  <si>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</si>
  <si>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</si>
  <si>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</si>
  <si>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</si>
  <si>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</si>
  <si>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</si>
  <si>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</si>
  <si>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</si>
  <si>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</si>
  <si>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</si>
  <si>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</si>
  <si>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</si>
  <si>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</si>
  <si>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</si>
  <si>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</si>
  <si>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</si>
  <si>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</si>
  <si>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</si>
  <si>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</si>
  <si>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</si>
  <si>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</si>
  <si>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</si>
  <si>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</si>
  <si>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</si>
  <si>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</si>
  <si>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</si>
  <si>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</si>
  <si>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</si>
  <si>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</si>
  <si>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</si>
  <si>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</si>
  <si>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</si>
  <si>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</si>
  <si>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</si>
  <si>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</si>
  <si>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</si>
  <si>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</si>
  <si>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</si>
  <si>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</si>
  <si>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</si>
  <si>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</si>
  <si>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</si>
  <si>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</si>
  <si>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</si>
  <si>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</si>
  <si>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</si>
  <si>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</si>
  <si>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</si>
  <si>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</si>
  <si>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</si>
  <si>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</si>
  <si>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</si>
  <si>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</si>
  <si>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</si>
  <si>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</si>
  <si>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</si>
  <si>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</si>
  <si>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</si>
  <si>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</si>
  <si>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</si>
  <si>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</si>
  <si>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</si>
  <si>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</si>
  <si>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</si>
  <si>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</si>
  <si>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</si>
  <si>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</si>
  <si>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</si>
  <si>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</si>
  <si>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</si>
  <si>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</si>
  <si>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</si>
  <si>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</si>
  <si>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</si>
  <si>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</si>
  <si>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</si>
  <si>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</si>
  <si>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</si>
  <si>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</si>
  <si>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</si>
  <si>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</si>
  <si>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</si>
  <si>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</si>
  <si>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</si>
  <si>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</si>
  <si>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</si>
  <si>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</si>
  <si>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</si>
  <si>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</si>
  <si>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</si>
  <si>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</si>
  <si>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</si>
  <si>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</si>
  <si>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</si>
  <si>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</si>
  <si>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</si>
  <si>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</si>
  <si>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</si>
  <si>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</si>
  <si>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</si>
  <si>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</si>
  <si>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</si>
  <si>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</si>
  <si>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</si>
  <si>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</si>
  <si>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</si>
  <si>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</si>
  <si>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</si>
  <si>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</si>
  <si>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</si>
  <si>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</si>
  <si>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</si>
  <si>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</si>
  <si>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</si>
  <si>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</si>
  <si>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</si>
  <si>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</si>
  <si>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</si>
  <si>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</si>
  <si>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</si>
  <si>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</si>
  <si>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</si>
  <si>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</si>
  <si>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</si>
  <si>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</si>
  <si>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</si>
  <si>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Rate Schedule</t>
  </si>
  <si>
    <t>e</t>
  </si>
  <si>
    <t>f</t>
  </si>
  <si>
    <t>g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</si>
  <si>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</si>
  <si>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</si>
  <si>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</si>
  <si>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</si>
  <si>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</si>
  <si>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</si>
  <si>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</si>
  <si>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</si>
  <si>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</si>
  <si>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</si>
  <si>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</si>
  <si>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</si>
  <si>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Schedule 141 ERF Rider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</si>
  <si>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</si>
  <si>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</si>
  <si>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</si>
  <si>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</si>
  <si>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</si>
  <si>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</si>
  <si>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</si>
  <si>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</si>
  <si>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</si>
  <si>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Schedule 194 - BPA Residential Credit</t>
  </si>
  <si>
    <t>Schedule 194
BPA
Residential &amp;
Farm Credit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</si>
  <si>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</si>
  <si>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</si>
  <si>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</si>
  <si>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</si>
  <si>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</si>
  <si>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</si>
  <si>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</si>
  <si>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</si>
  <si>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</si>
  <si>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</si>
  <si>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</si>
  <si>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</si>
  <si>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</si>
  <si>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</si>
  <si>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</si>
  <si>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</si>
  <si>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</si>
  <si>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</si>
  <si>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</si>
  <si>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</si>
  <si>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</si>
  <si>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</si>
  <si>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</si>
  <si>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</si>
  <si>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</si>
  <si>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</si>
  <si>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</si>
  <si>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</si>
  <si>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</si>
  <si>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</si>
  <si>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</si>
  <si>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</si>
  <si>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</si>
  <si>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</si>
  <si>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</si>
  <si>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</si>
  <si>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</si>
  <si>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</si>
  <si>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</si>
  <si>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</si>
  <si>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</si>
  <si>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</si>
  <si>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</si>
  <si>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</si>
  <si>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</si>
  <si>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</si>
  <si>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</si>
  <si>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</si>
  <si>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</si>
  <si>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</si>
  <si>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</si>
  <si>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</si>
  <si>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</si>
  <si>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</si>
  <si>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</si>
  <si>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</si>
  <si>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</si>
  <si>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</si>
  <si>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</si>
  <si>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</si>
  <si>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</si>
  <si>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</si>
  <si>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</si>
  <si>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</si>
  <si>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</si>
  <si>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</si>
  <si>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</si>
  <si>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</si>
  <si>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</si>
  <si>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</si>
  <si>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</si>
  <si>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</si>
  <si>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</si>
  <si>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</si>
  <si>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</si>
  <si>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</si>
  <si>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</si>
  <si>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</si>
  <si>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</si>
  <si>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</si>
  <si>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</si>
  <si>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</si>
  <si>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</si>
  <si>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</si>
  <si>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</si>
  <si>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</si>
  <si>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</si>
  <si>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</si>
  <si>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</si>
  <si>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</si>
  <si>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</si>
  <si>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</si>
  <si>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</si>
  <si>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</si>
  <si>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</si>
  <si>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</si>
  <si>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</si>
  <si>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</si>
  <si>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</si>
  <si>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</si>
  <si>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</si>
  <si>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</si>
  <si>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</si>
  <si>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</si>
  <si>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</si>
  <si>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</si>
  <si>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</si>
  <si>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</si>
  <si>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</si>
  <si>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</si>
  <si>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</si>
  <si>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</si>
  <si>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</si>
  <si>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</si>
  <si>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</si>
  <si>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</si>
  <si>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</si>
  <si>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</si>
  <si>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</si>
  <si>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</si>
  <si>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</si>
  <si>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</si>
  <si>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</si>
  <si>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</si>
  <si>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</si>
  <si>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</si>
  <si>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</si>
  <si>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</si>
  <si>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</si>
  <si>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</si>
  <si>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</si>
  <si>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</si>
  <si>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</si>
  <si>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</si>
  <si>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</si>
  <si>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</si>
  <si>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</si>
  <si>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</si>
  <si>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</si>
  <si>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</si>
  <si>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RATE EFFECTS</t>
  </si>
  <si>
    <t>REVENUE
(Including 5-1-18
Sch 120 revenue)</t>
  </si>
  <si>
    <t>Schedule 142 Revenue Change</t>
  </si>
  <si>
    <t>Annual kWh Delivered Sales (Normalized)</t>
  </si>
  <si>
    <t>Annual Demand (kW or kVa)</t>
  </si>
  <si>
    <t>8</t>
  </si>
  <si>
    <t>26</t>
  </si>
  <si>
    <t>Decoupling
Schedule 142
Revenue 
@ 5-1-18</t>
  </si>
  <si>
    <t>(f) = (a) x (d)
or
(f) = (b) x (d)</t>
  </si>
  <si>
    <t>(f) = (a) x (e)
or
(f) = (b) x (e)</t>
  </si>
  <si>
    <t>Test Year ended December 2018</t>
  </si>
  <si>
    <t>Annual mWh Delivered Sales YE 12-2018</t>
  </si>
  <si>
    <t>449 / 459 / MSSC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</si>
  <si>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</si>
  <si>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</si>
  <si>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</si>
  <si>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</si>
  <si>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</si>
  <si>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</si>
  <si>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</si>
  <si>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</si>
  <si>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</si>
  <si>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</si>
  <si>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</si>
  <si>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Proposed Rates
Eff. 5-1-19</t>
  </si>
  <si>
    <t>Proposed Rates
Eff. 1-1-19</t>
  </si>
  <si>
    <t>Proposed Rates
Eff. 9-1-18</t>
  </si>
  <si>
    <t>Schedule 141 - ERF</t>
  </si>
  <si>
    <t>Annual kW Demand YE 12-2018</t>
  </si>
  <si>
    <t>Proposed kWh Rates
Eff. 5-1-19</t>
  </si>
  <si>
    <t>Proposed kW Rates
Eff. 5-1-19</t>
  </si>
  <si>
    <t>Decoupling Deferral
Sch 142
Rider Revenue</t>
  </si>
  <si>
    <t>Calculation of Schedule 95 Rate</t>
  </si>
  <si>
    <t>Effective May 1, 2019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</si>
  <si>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</si>
  <si>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</si>
  <si>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</si>
  <si>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</si>
  <si>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</si>
  <si>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 xml:space="preserve">2019 PCA Variable Adjustment </t>
  </si>
  <si>
    <t xml:space="preserve">2019 PCA Variable Adjustment  </t>
  </si>
  <si>
    <t>Delivered kWh Test Year Ending  April 2020</t>
  </si>
  <si>
    <t>2019 PCA Variable $ per kWh Effective May 1, 2019</t>
  </si>
  <si>
    <t xml:space="preserve">2019 FPC Adjustment </t>
  </si>
  <si>
    <t>2019 FPC $ per kWh Effective May 1, 2019</t>
  </si>
  <si>
    <t>2019 Combined PCA $ per kWh Effective May 1, 2019</t>
  </si>
  <si>
    <t>b = 75% * a / sum(a)</t>
  </si>
  <si>
    <t>d = 25% * c / sum(c)</t>
  </si>
  <si>
    <t>e = b + d</t>
  </si>
  <si>
    <t>g = e * f</t>
  </si>
  <si>
    <t>i = g / h</t>
  </si>
  <si>
    <t xml:space="preserve">m = i + l </t>
  </si>
  <si>
    <t>Campus Rate - Primary &amp; Secondary Voltage (non-MS)</t>
  </si>
  <si>
    <t>40*</t>
  </si>
  <si>
    <t>High Voltage Interruptible</t>
  </si>
  <si>
    <t>F2018
Delivered kWh
05/19 to 04/20</t>
  </si>
  <si>
    <t>Projected
Revenue
05/19 to 04/20
(Note 1)</t>
  </si>
  <si>
    <t>Schedule 120
Effective
5-1-18</t>
  </si>
  <si>
    <t>Proposed
Schedule 120
Effective
5-1-19</t>
  </si>
  <si>
    <t>REVENUE
(Including 5-1-19
Sch 120 revenue)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</si>
  <si>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</si>
  <si>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</si>
  <si>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</si>
  <si>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</si>
  <si>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</si>
  <si>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</si>
  <si>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</si>
  <si>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</si>
  <si>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</si>
  <si>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</si>
  <si>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2019 Electric Decoupling Filing</t>
  </si>
  <si>
    <t>Proposed Effective May 1, 2019</t>
  </si>
  <si>
    <t>F2018 YE April 2020</t>
  </si>
  <si>
    <t>Current Rates 
Eff. 5-1-18</t>
  </si>
  <si>
    <t>Decoupling
Schedule 142
Revenue 
@ 5-1-19</t>
  </si>
  <si>
    <t>2018 Low Income Customer Charge</t>
  </si>
  <si>
    <t>Forecast Delivered kWh
Oct 2018 Through
Sept 2019</t>
  </si>
  <si>
    <t>Forecast Delivered Base Revenue
Oct 2018 Through
Sept 2019
(Note 1)</t>
  </si>
  <si>
    <t xml:space="preserve">Proposed Equal %
2018 Low Income Rider </t>
  </si>
  <si>
    <t>$ Including Proposed 2018 Low Income</t>
  </si>
  <si>
    <t>Proposed 2018 Low Income $</t>
  </si>
  <si>
    <t>Proposed % to Forecast Revenue</t>
  </si>
  <si>
    <t>C=
(aa*B)/A</t>
  </si>
  <si>
    <t>D=
B+E</t>
  </si>
  <si>
    <t>E=
A*C</t>
  </si>
  <si>
    <t>F=
E/B</t>
  </si>
  <si>
    <t>50 - 59</t>
  </si>
  <si>
    <t>check</t>
  </si>
  <si>
    <t>Low Income Revenue Requirement</t>
  </si>
  <si>
    <t>Low Income Revenue Requirement as % of Total</t>
  </si>
  <si>
    <t>aa</t>
  </si>
  <si>
    <t>Note 1 -  Excludes Rider Schedules 95a, 120, 129,132, 137, 140 and 194
              - Includes Rider Schedules 95, 141 and 142 Revenue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</si>
  <si>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</si>
  <si>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</si>
  <si>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</si>
  <si>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</si>
  <si>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</si>
  <si>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</si>
  <si>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 xml:space="preserve">ESTIMATED EFFECT OF PROPOSED EXPEDITED RATE FILING (ERF) INCREASE </t>
  </si>
  <si>
    <t>12 MONTHS ENDED JUNE 2018</t>
  </si>
  <si>
    <t>Effective March 2019</t>
  </si>
  <si>
    <t>$ / kWh</t>
  </si>
  <si>
    <t>Sch 141</t>
  </si>
  <si>
    <t>Sch 141x</t>
  </si>
  <si>
    <t>Proposed Rates
Eff. 3-7-19</t>
  </si>
  <si>
    <t>Schedule 141x Tax Rider</t>
  </si>
  <si>
    <t>Schedule 141x - Tax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</si>
  <si>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</si>
  <si>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</si>
  <si>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</si>
  <si>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</si>
  <si>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</si>
  <si>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</si>
  <si>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</si>
  <si>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</si>
  <si>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</si>
  <si>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</si>
  <si>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</si>
  <si>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</si>
  <si>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</si>
  <si>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</si>
  <si>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</si>
  <si>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</si>
  <si>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</si>
  <si>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</si>
  <si>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</si>
  <si>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</si>
  <si>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</si>
  <si>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</si>
  <si>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</si>
  <si>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</si>
  <si>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</si>
  <si>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</si>
  <si>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</si>
  <si>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</si>
  <si>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</si>
  <si>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</si>
  <si>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</si>
  <si>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</si>
  <si>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</si>
  <si>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</si>
  <si>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</si>
  <si>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</si>
  <si>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</si>
  <si>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</si>
  <si>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</si>
  <si>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</si>
  <si>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</si>
  <si>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</si>
  <si>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</si>
  <si>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 xml:space="preserve">Demand Charge ($ / kVa) </t>
  </si>
  <si>
    <t>Energy Charge ($ / kWh) - All kWh</t>
  </si>
  <si>
    <t>General Service (High Voltage)</t>
  </si>
  <si>
    <t>Minimum Charge - Energy</t>
  </si>
  <si>
    <t>Minimum Charge - Demand</t>
  </si>
  <si>
    <t>Demand Charge ($ / kVa)</t>
  </si>
  <si>
    <t>Interruptible Service (High Voltage)</t>
  </si>
  <si>
    <t>Reactive Power Charge ($ / kVarh)</t>
  </si>
  <si>
    <t>Basic Charge ($ / Month)</t>
  </si>
  <si>
    <t>Demand Charge ($ / kW) - Apr to Sep</t>
  </si>
  <si>
    <t>Demand Charge ($ / kW) - Oct to Mar</t>
  </si>
  <si>
    <t>General Service (Primary Voltage)</t>
  </si>
  <si>
    <t>Demand Charge ($ / kW) - Apr to Sep - Over 50 kW</t>
  </si>
  <si>
    <t>Demand Charge ($ / kW) - Oct to Mar - Over 50 kW</t>
  </si>
  <si>
    <t>Demand Charge ($ / kW)  - All - First 50 kW</t>
  </si>
  <si>
    <t>Energy Charge ($ / kWh) - Apr to Sep - Over 20,000 kWh</t>
  </si>
  <si>
    <t>Energy Charge ($ / kWh) - Apr to Sep - First 20,000 kWh</t>
  </si>
  <si>
    <t>Energy Charge ($ / kWh) - Oct to Mar - Over 20,000 kWh</t>
  </si>
  <si>
    <t>Energy Charge ($ / kWh) - Oct to Mar - First 20,000 kWh</t>
  </si>
  <si>
    <t>Basic Charge ($ / Month) - Three Phase</t>
  </si>
  <si>
    <t>Basic Charge ($ / Month) - One Phase</t>
  </si>
  <si>
    <t>General Service (Secondary Voltage, Demand &gt; 50 kW and &lt;= 350 kW)</t>
  </si>
  <si>
    <t>Effective Reactive Power Charge</t>
  </si>
  <si>
    <t>Effective Energy Charge</t>
  </si>
  <si>
    <t>Effective Demand Charge - Summer</t>
  </si>
  <si>
    <t>Effective Demand Charge - Winter</t>
  </si>
  <si>
    <t>Effective Basic Charge</t>
  </si>
  <si>
    <t>Energy &amp; Reactive Power Credit (% reduction to all base rates)</t>
  </si>
  <si>
    <t>Demand Charge (credit per kW to all Demand Rates)</t>
  </si>
  <si>
    <t>Basic Charge (in addition to Secondary Voltage Rate)</t>
  </si>
  <si>
    <t>Primary Voltage Adjustment</t>
  </si>
  <si>
    <t>Energy Charge ($ / kWh)  - all kWh</t>
  </si>
  <si>
    <t>General Service (Secondary Voltage, Demand &gt; 350 kW)</t>
  </si>
  <si>
    <t>26 (12)</t>
  </si>
  <si>
    <t>Demand Charge ($ / kW) - All - First 50 kW</t>
  </si>
  <si>
    <t>Energy Charge ($ / kWh) - All Over 20,000 kWh</t>
  </si>
  <si>
    <t>25 (7A) (11)</t>
  </si>
  <si>
    <t>Energy Charge ($ / kWh) - Apr to Sep - All kWh</t>
  </si>
  <si>
    <t>Energy Charge ($ / kWh) - Oct to Mar - All kWh</t>
  </si>
  <si>
    <t>General Service (Secondary Voltage, Demand 50 kW and less)</t>
  </si>
  <si>
    <t>24 (08)</t>
  </si>
  <si>
    <t>Energy Charge ($ / kWh) - Over 600 kWh (Alt)</t>
  </si>
  <si>
    <t>Energy Charge ($ / kWh) - First 600 kWh (Alt)</t>
  </si>
  <si>
    <t>E = -D</t>
  </si>
  <si>
    <t>D = C - B</t>
  </si>
  <si>
    <t>C</t>
  </si>
  <si>
    <t>Schedule 141x (Pass-Back)
Effective March 1, 2019</t>
  </si>
  <si>
    <t>Schedule 141 ERF 
Effective March 1, 2019</t>
  </si>
  <si>
    <t>Base Charges 
+ ERF 
(Schedule 141)</t>
  </si>
  <si>
    <t>Base Charges Effective 
May 1, 2018</t>
  </si>
  <si>
    <t>Charge</t>
  </si>
  <si>
    <t>Tariff
Rate
Schedule</t>
  </si>
  <si>
    <t>Tariffed Rate Components</t>
  </si>
  <si>
    <t>Schedule 141Y - Tax Pass Back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</si>
  <si>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</si>
  <si>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</si>
  <si>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</si>
  <si>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</si>
  <si>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</si>
  <si>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</si>
  <si>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</si>
  <si>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</si>
  <si>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</si>
  <si>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</si>
  <si>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</si>
  <si>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</si>
  <si>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</si>
  <si>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</si>
  <si>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</si>
  <si>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</si>
  <si>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</si>
  <si>
    <t>% Change in Avg. Residential Bill (Staff)</t>
  </si>
  <si>
    <t>PSE 2019 GRC UE-190529 &amp; UG-190530</t>
  </si>
  <si>
    <t>Staff</t>
  </si>
  <si>
    <t>% Change in Avg. Residential Bill (PSE)</t>
  </si>
  <si>
    <t>Residential Service - Schedule 7 (All Customers)</t>
  </si>
  <si>
    <t>Low Usage</t>
  </si>
  <si>
    <t>Middle Usage</t>
  </si>
  <si>
    <t>High Usage</t>
  </si>
  <si>
    <t>ESTIMATED EFFECT OF PROPOSED BASE RATE INCREASE</t>
  </si>
  <si>
    <t>12 MONTHS ENDED DECEMBER 2018</t>
  </si>
  <si>
    <t>Effective May 2020</t>
  </si>
  <si>
    <t>Rate
Spread
Increase</t>
  </si>
  <si>
    <t>(10)</t>
  </si>
  <si>
    <t>(11)</t>
  </si>
  <si>
    <t>(10)-(7)</t>
  </si>
  <si>
    <t>Avg Cust or</t>
  </si>
  <si>
    <t>Energy</t>
  </si>
  <si>
    <t>Basic Chg</t>
  </si>
  <si>
    <t>(MWH)</t>
  </si>
  <si>
    <t>(MW or MVa)</t>
  </si>
  <si>
    <t>Transportation Service</t>
  </si>
  <si>
    <t>Retail Wheeling Transporation</t>
  </si>
  <si>
    <t>Special Contract Service</t>
  </si>
  <si>
    <t>SC</t>
  </si>
  <si>
    <t>#+'J:\GrpRevnu\PUBLIC\# 2019 GRC\Supplemental Filing\SEF\3. RevReq-COS-Attrition-SUPPLEMENTAL (R)\[NEW-PSE-WP-JAP03-ELEC-NORM-MO-REV-19GRC-06-2019 (R).xlsx]Delivered kWh'!$E$7/1000</t>
  </si>
  <si>
    <t>#SUM(I7:I8)</t>
  </si>
  <si>
    <t>#+'J:\GrpRevnu\PUBLIC\# 2019 GRC\Supplemental Filing\SEF\3. RevReq-COS-Attrition-SUPPLEMENTAL (R)\[NEW-PSE-WP-JAP03-ELEC-NORM-MO-REV-19GRC-06-2019 (R).xlsx]Delivered kWh'!$E$15/1000</t>
  </si>
  <si>
    <t>#+'J:\GrpRevnu\PUBLIC\# 2019 GRC\Supplemental Filing\SEF\3. RevReq-COS-Attrition-SUPPLEMENTAL (R)\[NEW-PSE-WP-JAP03-ELEC-NORM-MO-REV-19GRC-06-2019 (R).xlsx]Delivered kWh'!$E$12/1000+'J:\GrpRevnu\PUBLIC\# 2019 GRC\Supplemental Filing\SEF\3. RevReq-COS-Attrition-SUPPLEMENTAL (R)\[NEW-PSE-WP-JAP03-ELEC-NORM-MO-REV-19GRC-06-2019 (R).xlsx]Delivered kWh'!$E$17/1000</t>
  </si>
  <si>
    <t>#+'J:\GrpRevnu\PUBLIC\# 2019 GRC\Supplemental Filing\SEF\3. RevReq-COS-Attrition-SUPPLEMENTAL (R)\[NEW-PSE-WP-JAP03-ELEC-NORM-MO-REV-19GRC-06-2019 (R).xlsx]Delivered kWh'!$E$18/1000</t>
  </si>
  <si>
    <t>#+'J:\GrpRevnu\PUBLIC\# 2019 GRC\Supplemental Filing\SEF\3. RevReq-COS-Attrition-SUPPLEMENTAL (R)\[NEW-PSE-WP-JAP03-ELEC-NORM-MO-REV-19GRC-06-2019 (R).xlsx]Delivered kWh'!$E$23/1000</t>
  </si>
  <si>
    <t>#SUM(I11:I17)</t>
  </si>
  <si>
    <t>#+'J:\GrpRevnu\PUBLIC\# 2019 GRC\Supplemental Filing\SEF\3. RevReq-COS-Attrition-SUPPLEMENTAL (R)\[NEW-PSE-WP-JAP03-ELEC-NORM-MO-REV-19GRC-06-2019 (R).xlsx]Delivered kWh'!$E$16/1000</t>
  </si>
  <si>
    <t>#+'J:\GrpRevnu\PUBLIC\# 2019 GRC\Supplemental Filing\SEF\3. RevReq-COS-Attrition-SUPPLEMENTAL (R)\[NEW-PSE-WP-JAP03-ELEC-NORM-MO-REV-19GRC-06-2019 (R).xlsx]Delivered kWh'!$E$25/1000</t>
  </si>
  <si>
    <t>#SUM(I20:I23)</t>
  </si>
  <si>
    <t>#SUM(I28:I29)</t>
  </si>
  <si>
    <t>#SUM('J:\GrpRevnu\PUBLIC\# 2019 GRC\Supplemental Filing\SEF\3. RevReq-COS-Attrition-SUPPLEMENTAL (R)\[NEW-PSE-WP-JAP03-ELEC-NORM-MO-REV-19GRC-06-2019 (R).xlsx]Delivered kWh'!$E$29:$E$32)/1000</t>
  </si>
  <si>
    <t>#+'GRC Impacts'!H32</t>
  </si>
  <si>
    <t>#SUM(I34:I35)</t>
  </si>
  <si>
    <t>#SUM(I9,I18,I24,I26,I30,I32,I36)</t>
  </si>
  <si>
    <t>#SUM(I38,I40)</t>
  </si>
  <si>
    <t>#SUM('J:\GrpRevnu\PUBLIC\# 2019 GRC\Supplemental Filing\SEF\3. RevReq-COS-Attrition-SUPPLEMENTAL (R)\[NEW-PSE-WP-JAP03-ELEC-NORM-MO-REV-19GRC-06-2019 (R).xlsx]Delivered kWh'!$E$13,'J:\GrpRevnu\PUBLIC\# 2019 GRC\Supplemental Filing\SEF\3. RevReq-COS-Attrition-SUPPLEMENTAL (R)\[NEW-PSE-WP-JAP03-ELEC-NORM-MO-REV-19GRC-06-2019 (R).xlsx]Delivered kWh'!$E$15:$E$18,'J:\GrpRevnu\PUBLIC\# 2019 GRC\Supplemental Filing\SEF\3. RevReq-COS-Attrition-SUPPLEMENTAL (R)\[NEW-PSE-WP-JAP03-ELEC-NORM-MO-REV-19GRC-06-2019 (R).xlsx]Delivered kWh'!$E$23,'J:\GrpRevnu\PUBLIC\# 2019 GRC\Supplemental Filing\SEF\3. RevReq-COS-Attrition-SUPPLEMENTAL (R)\[NEW-PSE-WP-JAP03-ELEC-NORM-MO-REV-19GRC-06-2019 (R).xlsx]Delivered kWh'!$E$25,'J:\GrpRevnu\PUBLIC\# 2019 GRC\Supplemental Filing\SEF\3. RevReq-COS-Attrition-SUPPLEMENTAL (R)\[NEW-PSE-WP-JAP03-ELEC-NORM-MO-REV-19GRC-06-2019 (R).xlsx]Delivered kWh'!$E$29:$E$32)/1000</t>
  </si>
  <si>
    <t>Link</t>
  </si>
  <si>
    <t>Pie Chart (Usage)</t>
  </si>
  <si>
    <t>Pie Chart (Left)</t>
  </si>
  <si>
    <t>Energy Charge</t>
  </si>
  <si>
    <t>Demand Charge</t>
  </si>
  <si>
    <t>Reactive Charge</t>
  </si>
  <si>
    <t>Billing Determinants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</si>
</sst>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0.00_)"/>
    <numFmt numFmtId="170" formatCode="0.000%"/>
    <numFmt numFmtId="171" formatCode="&quot;$&quot;#,##0"/>
    <numFmt numFmtId="172" formatCode="#,##0.000_);\(#,##0.000\)"/>
    <numFmt numFmtId="173" formatCode="_(&quot;$&quot;* #,##0.000000_);_(&quot;$&quot;* \(#,##0.000000\);_(&quot;$&quot;* &quot;-&quot;??_);_(@_)"/>
    <numFmt numFmtId="174" formatCode="0.0000\ \¢"/>
    <numFmt numFmtId="175" formatCode="0.00000\ \¢"/>
    <numFmt numFmtId="176" formatCode="_(* #,##0.0000000_);_(* \(#,##0.0000000\);_(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  <numFmt numFmtId="180" formatCode="_(* #,##0.000000_);_(* \(#,##0.000000\);_(* &quot;-&quot;??_);_(@_)"/>
    <numFmt numFmtId="181" formatCode="_(&quot;$&quot;* #,##0.000_);_(&quot;$&quot;* \(#,##0.000\);_(&quot;$&quot;* &quot;-&quot;??_);_(@_)"/>
  </numFmts>
  <fonts count="43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0" borderId="0"/>
  </cellStyleXfs>
  <cellXfs count="568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6" fontId="2" fillId="0" borderId="6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171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2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1" fontId="8" fillId="0" borderId="2" xfId="0" applyNumberFormat="1" applyFont="1" applyFill="1" applyBorder="1" applyProtection="1">
      <protection locked="0"/>
    </xf>
    <xf numFmtId="172" fontId="2" fillId="0" borderId="2" xfId="0" applyNumberFormat="1" applyFont="1" applyFill="1" applyBorder="1" applyProtection="1"/>
    <xf numFmtId="171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37" fontId="2" fillId="0" borderId="11" xfId="0" applyNumberFormat="1" applyFont="1" applyFill="1" applyBorder="1"/>
    <xf numFmtId="171" fontId="2" fillId="0" borderId="11" xfId="0" applyNumberFormat="1" applyFont="1" applyFill="1" applyBorder="1"/>
    <xf numFmtId="171" fontId="8" fillId="0" borderId="0" xfId="0" applyNumberFormat="1" applyFont="1" applyFill="1" applyBorder="1" applyProtection="1">
      <protection locked="0"/>
    </xf>
    <xf numFmtId="171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3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3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3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3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3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6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3" fontId="5" fillId="0" borderId="3" xfId="0" applyNumberFormat="1" applyFont="1" applyFill="1" applyBorder="1"/>
    <xf numFmtId="0" fontId="16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1" fillId="0" borderId="12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7" xfId="0" applyFont="1" applyFill="1" applyBorder="1" applyAlignment="1">
      <alignment horizontal="center"/>
    </xf>
    <xf numFmtId="173" fontId="1" fillId="0" borderId="0" xfId="0" applyNumberFormat="1" applyFont="1" applyFill="1"/>
    <xf numFmtId="165" fontId="0" fillId="0" borderId="0" xfId="0" applyNumberFormat="1" applyFont="1" applyFill="1"/>
    <xf numFmtId="173" fontId="1" fillId="0" borderId="2" xfId="0" applyNumberFormat="1" applyFont="1" applyFill="1" applyBorder="1"/>
    <xf numFmtId="165" fontId="0" fillId="0" borderId="2" xfId="0" applyNumberFormat="1" applyFont="1" applyFill="1" applyBorder="1"/>
    <xf numFmtId="173" fontId="0" fillId="0" borderId="0" xfId="0" applyNumberFormat="1" applyFill="1"/>
    <xf numFmtId="173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3" xfId="0" applyFill="1" applyBorder="1" applyAlignment="1">
      <alignment horizontal="centerContinuous"/>
    </xf>
    <xf numFmtId="164" fontId="1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7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6" xfId="0" applyFill="1" applyBorder="1"/>
    <xf numFmtId="173" fontId="0" fillId="0" borderId="0" xfId="0" applyNumberFormat="1" applyFont="1" applyFill="1" applyBorder="1"/>
    <xf numFmtId="170" fontId="0" fillId="0" borderId="16" xfId="0" applyNumberFormat="1" applyFill="1" applyBorder="1"/>
    <xf numFmtId="174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165" fontId="1" fillId="0" borderId="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6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173" fontId="1" fillId="0" borderId="0" xfId="0" applyNumberFormat="1" applyFont="1" applyFill="1" applyBorder="1"/>
    <xf numFmtId="174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8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16" xfId="0" applyNumberFormat="1" applyFont="1" applyFill="1" applyBorder="1"/>
    <xf numFmtId="17" fontId="1" fillId="0" borderId="9" xfId="0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65" fontId="0" fillId="0" borderId="0" xfId="0" applyNumberFormat="1" applyFont="1" applyFill="1" applyBorder="1"/>
    <xf numFmtId="173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69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73" fontId="12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73" fontId="19" fillId="0" borderId="0" xfId="0" applyNumberFormat="1" applyFont="1" applyFill="1"/>
    <xf numFmtId="0" fontId="19" fillId="0" borderId="0" xfId="0" applyFont="1" applyFill="1"/>
    <xf numFmtId="178" fontId="19" fillId="0" borderId="0" xfId="0" applyNumberFormat="1" applyFont="1" applyFill="1"/>
    <xf numFmtId="44" fontId="20" fillId="0" borderId="18" xfId="0" applyNumberFormat="1" applyFont="1" applyFill="1" applyBorder="1"/>
    <xf numFmtId="0" fontId="19" fillId="0" borderId="4" xfId="0" applyFont="1" applyFill="1" applyBorder="1"/>
    <xf numFmtId="44" fontId="20" fillId="0" borderId="4" xfId="0" applyNumberFormat="1" applyFont="1" applyFill="1" applyBorder="1"/>
    <xf numFmtId="0" fontId="19" fillId="0" borderId="17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3" fontId="20" fillId="0" borderId="16" xfId="0" applyNumberFormat="1" applyFont="1" applyFill="1" applyBorder="1"/>
    <xf numFmtId="0" fontId="19" fillId="0" borderId="0" xfId="0" applyFont="1" applyFill="1" applyBorder="1"/>
    <xf numFmtId="173" fontId="20" fillId="0" borderId="0" xfId="0" applyNumberFormat="1" applyFont="1" applyFill="1" applyBorder="1"/>
    <xf numFmtId="0" fontId="19" fillId="0" borderId="15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0" fillId="0" borderId="16" xfId="0" applyNumberFormat="1" applyFont="1" applyFill="1" applyBorder="1"/>
    <xf numFmtId="44" fontId="20" fillId="0" borderId="0" xfId="0" applyNumberFormat="1" applyFont="1" applyFill="1" applyBorder="1"/>
    <xf numFmtId="0" fontId="21" fillId="0" borderId="14" xfId="0" applyFont="1" applyFill="1" applyBorder="1" applyAlignment="1">
      <alignment horizontal="right"/>
    </xf>
    <xf numFmtId="0" fontId="21" fillId="0" borderId="13" xfId="0" quotePrefix="1" applyFont="1" applyFill="1" applyBorder="1" applyAlignment="1">
      <alignment horizontal="left"/>
    </xf>
    <xf numFmtId="0" fontId="21" fillId="0" borderId="13" xfId="0" applyFont="1" applyFill="1" applyBorder="1" applyAlignment="1">
      <alignment horizontal="right"/>
    </xf>
    <xf numFmtId="0" fontId="19" fillId="0" borderId="12" xfId="0" quotePrefix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2" fillId="0" borderId="0" xfId="0" applyFont="1" applyFill="1"/>
    <xf numFmtId="0" fontId="12" fillId="0" borderId="6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19" fillId="0" borderId="18" xfId="0" applyFont="1" applyFill="1" applyBorder="1"/>
    <xf numFmtId="0" fontId="19" fillId="0" borderId="17" xfId="0" applyFont="1" applyFill="1" applyBorder="1"/>
    <xf numFmtId="0" fontId="12" fillId="0" borderId="15" xfId="0" applyFont="1" applyFill="1" applyBorder="1"/>
    <xf numFmtId="0" fontId="12" fillId="0" borderId="15" xfId="0" quotePrefix="1" applyFont="1" applyFill="1" applyBorder="1" applyAlignment="1">
      <alignment horizontal="left"/>
    </xf>
    <xf numFmtId="7" fontId="20" fillId="0" borderId="16" xfId="0" applyNumberFormat="1" applyFont="1" applyFill="1" applyBorder="1"/>
    <xf numFmtId="7" fontId="20" fillId="0" borderId="0" xfId="0" applyNumberFormat="1" applyFont="1" applyFill="1" applyBorder="1"/>
    <xf numFmtId="0" fontId="20" fillId="0" borderId="0" xfId="0" applyFont="1" applyFill="1" applyBorder="1"/>
    <xf numFmtId="0" fontId="12" fillId="0" borderId="16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25" fillId="0" borderId="0" xfId="0" applyFont="1" applyFill="1" applyProtection="1"/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6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77" fontId="20" fillId="0" borderId="16" xfId="0" applyNumberFormat="1" applyFont="1" applyFill="1" applyBorder="1"/>
    <xf numFmtId="44" fontId="20" fillId="0" borderId="16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5" fontId="12" fillId="0" borderId="0" xfId="0" applyNumberFormat="1" applyFont="1" applyFill="1" applyProtection="1"/>
    <xf numFmtId="0" fontId="30" fillId="0" borderId="0" xfId="0" applyFont="1" applyFill="1"/>
    <xf numFmtId="0" fontId="30" fillId="0" borderId="0" xfId="0" applyFont="1" applyFill="1" applyBorder="1"/>
    <xf numFmtId="0" fontId="30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19" fillId="0" borderId="18" xfId="0" applyNumberFormat="1" applyFont="1" applyFill="1" applyBorder="1"/>
    <xf numFmtId="168" fontId="19" fillId="0" borderId="4" xfId="0" applyNumberFormat="1" applyFont="1" applyFill="1" applyBorder="1"/>
    <xf numFmtId="0" fontId="12" fillId="0" borderId="17" xfId="0" applyFont="1" applyFill="1" applyBorder="1"/>
    <xf numFmtId="0" fontId="12" fillId="0" borderId="16" xfId="0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/>
    <xf numFmtId="0" fontId="12" fillId="0" borderId="12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31" fillId="0" borderId="0" xfId="0" applyFont="1" applyFill="1" applyAlignment="1">
      <alignment horizontal="centerContinuous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44" fontId="12" fillId="0" borderId="0" xfId="0" applyNumberFormat="1" applyFont="1" applyFill="1"/>
    <xf numFmtId="173" fontId="1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64" fontId="0" fillId="0" borderId="2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1" xfId="0" applyNumberFormat="1" applyFont="1" applyFill="1" applyBorder="1" applyProtection="1">
      <protection locked="0"/>
    </xf>
    <xf numFmtId="167" fontId="0" fillId="0" borderId="11" xfId="0" applyNumberFormat="1" applyFill="1" applyBorder="1" applyProtection="1"/>
    <xf numFmtId="10" fontId="5" fillId="0" borderId="3" xfId="0" applyNumberFormat="1" applyFont="1" applyFill="1" applyBorder="1"/>
    <xf numFmtId="0" fontId="12" fillId="0" borderId="0" xfId="0" quotePrefix="1" applyFont="1" applyFill="1" applyAlignment="1">
      <alignment horizontal="left"/>
    </xf>
    <xf numFmtId="44" fontId="19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5" fontId="2" fillId="0" borderId="0" xfId="0" applyNumberFormat="1" applyFont="1" applyBorder="1" applyAlignment="1">
      <alignment horizontal="center"/>
    </xf>
    <xf numFmtId="5" fontId="2" fillId="0" borderId="1" xfId="0" quotePrefix="1" applyNumberFormat="1" applyFont="1" applyBorder="1" applyAlignment="1">
      <alignment horizontal="center"/>
    </xf>
    <xf numFmtId="165" fontId="8" fillId="0" borderId="0" xfId="0" applyNumberFormat="1" applyFont="1" applyFill="1" applyProtection="1">
      <protection locked="0"/>
    </xf>
    <xf numFmtId="165" fontId="2" fillId="0" borderId="11" xfId="0" applyNumberFormat="1" applyFont="1" applyFill="1" applyBorder="1"/>
    <xf numFmtId="0" fontId="38" fillId="0" borderId="0" xfId="0" applyFont="1" applyBorder="1"/>
    <xf numFmtId="0" fontId="38" fillId="0" borderId="15" xfId="0" applyFont="1" applyBorder="1"/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/>
    <xf numFmtId="0" fontId="38" fillId="0" borderId="0" xfId="0" applyFont="1" applyBorder="1" applyAlignment="1">
      <alignment horizontal="center" wrapText="1"/>
    </xf>
    <xf numFmtId="0" fontId="37" fillId="0" borderId="22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3" xfId="0" quotePrefix="1" applyFont="1" applyFill="1" applyBorder="1" applyAlignment="1">
      <alignment horizontal="center" wrapText="1"/>
    </xf>
    <xf numFmtId="164" fontId="37" fillId="0" borderId="23" xfId="0" quotePrefix="1" applyNumberFormat="1" applyFont="1" applyFill="1" applyBorder="1" applyAlignment="1">
      <alignment horizontal="center" wrapText="1"/>
    </xf>
    <xf numFmtId="0" fontId="37" fillId="0" borderId="23" xfId="0" quotePrefix="1" applyFont="1" applyBorder="1" applyAlignment="1">
      <alignment horizontal="center" wrapText="1"/>
    </xf>
    <xf numFmtId="0" fontId="37" fillId="0" borderId="24" xfId="0" quotePrefix="1" applyFont="1" applyBorder="1" applyAlignment="1">
      <alignment horizontal="center" wrapText="1"/>
    </xf>
    <xf numFmtId="0" fontId="38" fillId="0" borderId="15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164" fontId="38" fillId="0" borderId="0" xfId="0" applyNumberFormat="1" applyFont="1" applyFill="1" applyBorder="1" applyAlignment="1">
      <alignment horizontal="center" vertical="top" wrapText="1"/>
    </xf>
    <xf numFmtId="164" fontId="38" fillId="0" borderId="0" xfId="0" quotePrefix="1" applyNumberFormat="1" applyFont="1" applyFill="1" applyBorder="1" applyAlignment="1">
      <alignment horizontal="center" vertical="top" wrapText="1"/>
    </xf>
    <xf numFmtId="0" fontId="38" fillId="0" borderId="0" xfId="0" quotePrefix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16" xfId="0" quotePrefix="1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horizontal="center" wrapText="1"/>
    </xf>
    <xf numFmtId="0" fontId="38" fillId="0" borderId="0" xfId="0" quotePrefix="1" applyFont="1" applyBorder="1" applyAlignment="1">
      <alignment horizontal="center" wrapText="1"/>
    </xf>
    <xf numFmtId="0" fontId="38" fillId="0" borderId="16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180" fontId="38" fillId="0" borderId="0" xfId="0" applyNumberFormat="1" applyFont="1" applyFill="1" applyBorder="1"/>
    <xf numFmtId="180" fontId="38" fillId="0" borderId="0" xfId="0" applyNumberFormat="1" applyFont="1" applyBorder="1"/>
    <xf numFmtId="165" fontId="38" fillId="0" borderId="0" xfId="0" applyNumberFormat="1" applyFont="1" applyBorder="1"/>
    <xf numFmtId="173" fontId="38" fillId="0" borderId="16" xfId="0" applyNumberFormat="1" applyFont="1" applyBorder="1" applyAlignment="1">
      <alignment horizontal="center"/>
    </xf>
    <xf numFmtId="44" fontId="38" fillId="0" borderId="0" xfId="2" applyFont="1" applyBorder="1"/>
    <xf numFmtId="173" fontId="38" fillId="0" borderId="16" xfId="0" applyNumberFormat="1" applyFont="1" applyBorder="1"/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Fill="1" applyBorder="1" applyAlignment="1">
      <alignment horizontal="center"/>
    </xf>
    <xf numFmtId="174" fontId="38" fillId="0" borderId="16" xfId="0" applyNumberFormat="1" applyFont="1" applyBorder="1" applyAlignment="1">
      <alignment horizontal="center"/>
    </xf>
    <xf numFmtId="0" fontId="38" fillId="0" borderId="0" xfId="0" quotePrefix="1" applyFont="1" applyBorder="1" applyAlignment="1">
      <alignment horizontal="left" indent="1"/>
    </xf>
    <xf numFmtId="0" fontId="38" fillId="0" borderId="0" xfId="0" quotePrefix="1" applyFont="1" applyBorder="1" applyAlignment="1"/>
    <xf numFmtId="165" fontId="38" fillId="0" borderId="0" xfId="2" applyNumberFormat="1" applyFont="1" applyBorder="1"/>
    <xf numFmtId="0" fontId="38" fillId="0" borderId="0" xfId="0" quotePrefix="1" applyFont="1" applyBorder="1" applyAlignment="1">
      <alignment horizontal="center"/>
    </xf>
    <xf numFmtId="165" fontId="38" fillId="0" borderId="16" xfId="0" applyNumberFormat="1" applyFont="1" applyBorder="1"/>
    <xf numFmtId="0" fontId="38" fillId="0" borderId="16" xfId="0" applyFont="1" applyBorder="1" applyAlignment="1">
      <alignment horizontal="center"/>
    </xf>
    <xf numFmtId="0" fontId="38" fillId="0" borderId="17" xfId="0" applyFont="1" applyBorder="1"/>
    <xf numFmtId="0" fontId="38" fillId="0" borderId="4" xfId="0" applyFont="1" applyBorder="1"/>
    <xf numFmtId="0" fontId="38" fillId="0" borderId="4" xfId="0" applyFont="1" applyBorder="1" applyAlignment="1">
      <alignment horizontal="center"/>
    </xf>
    <xf numFmtId="164" fontId="38" fillId="0" borderId="4" xfId="0" applyNumberFormat="1" applyFont="1" applyBorder="1"/>
    <xf numFmtId="0" fontId="38" fillId="0" borderId="18" xfId="0" applyFont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21" xfId="0" quotePrefix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right"/>
    </xf>
    <xf numFmtId="175" fontId="1" fillId="0" borderId="4" xfId="0" applyNumberFormat="1" applyFont="1" applyFill="1" applyBorder="1"/>
    <xf numFmtId="0" fontId="38" fillId="0" borderId="0" xfId="0" applyFont="1" applyFill="1" applyAlignment="1">
      <alignment horizontal="center" wrapText="1"/>
    </xf>
    <xf numFmtId="0" fontId="38" fillId="0" borderId="0" xfId="0" quotePrefix="1" applyFont="1" applyFill="1" applyAlignment="1">
      <alignment horizontal="center" wrapText="1"/>
    </xf>
    <xf numFmtId="0" fontId="38" fillId="0" borderId="1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quotePrefix="1" applyFont="1" applyFill="1" applyBorder="1" applyAlignment="1">
      <alignment horizontal="center" wrapText="1"/>
    </xf>
    <xf numFmtId="17" fontId="38" fillId="0" borderId="0" xfId="0" quotePrefix="1" applyNumberFormat="1" applyFont="1" applyFill="1" applyBorder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40" fillId="0" borderId="0" xfId="0" applyNumberFormat="1" applyFont="1" applyFill="1"/>
    <xf numFmtId="164" fontId="38" fillId="0" borderId="0" xfId="0" applyNumberFormat="1" applyFont="1" applyFill="1"/>
    <xf numFmtId="173" fontId="40" fillId="0" borderId="0" xfId="0" applyNumberFormat="1" applyFont="1" applyFill="1" applyBorder="1"/>
    <xf numFmtId="165" fontId="38" fillId="0" borderId="0" xfId="0" applyNumberFormat="1" applyFont="1" applyFill="1"/>
    <xf numFmtId="0" fontId="38" fillId="0" borderId="0" xfId="0" quotePrefix="1" applyFont="1" applyFill="1" applyAlignment="1">
      <alignment horizontal="center"/>
    </xf>
    <xf numFmtId="164" fontId="38" fillId="0" borderId="2" xfId="0" applyNumberFormat="1" applyFont="1" applyFill="1" applyBorder="1"/>
    <xf numFmtId="173" fontId="38" fillId="0" borderId="0" xfId="0" applyNumberFormat="1" applyFont="1" applyFill="1" applyBorder="1"/>
    <xf numFmtId="165" fontId="38" fillId="0" borderId="2" xfId="0" applyNumberFormat="1" applyFont="1" applyFill="1" applyBorder="1"/>
    <xf numFmtId="0" fontId="38" fillId="0" borderId="0" xfId="0" applyFont="1" applyFill="1" applyBorder="1"/>
    <xf numFmtId="44" fontId="40" fillId="0" borderId="0" xfId="0" applyNumberFormat="1" applyFont="1" applyFill="1" applyBorder="1"/>
    <xf numFmtId="44" fontId="38" fillId="0" borderId="0" xfId="0" applyNumberFormat="1" applyFont="1" applyFill="1" applyBorder="1"/>
    <xf numFmtId="0" fontId="38" fillId="0" borderId="0" xfId="0" quotePrefix="1" applyFont="1" applyFill="1" applyAlignment="1">
      <alignment horizontal="left"/>
    </xf>
    <xf numFmtId="0" fontId="40" fillId="0" borderId="0" xfId="0" applyFont="1" applyFill="1"/>
    <xf numFmtId="164" fontId="40" fillId="0" borderId="2" xfId="0" applyNumberFormat="1" applyFont="1" applyFill="1" applyBorder="1"/>
    <xf numFmtId="173" fontId="38" fillId="0" borderId="0" xfId="0" applyNumberFormat="1" applyFont="1" applyFill="1"/>
    <xf numFmtId="164" fontId="38" fillId="0" borderId="3" xfId="0" applyNumberFormat="1" applyFont="1" applyFill="1" applyBorder="1"/>
    <xf numFmtId="165" fontId="38" fillId="0" borderId="3" xfId="0" applyNumberFormat="1" applyFont="1" applyFill="1" applyBorder="1"/>
    <xf numFmtId="43" fontId="0" fillId="0" borderId="0" xfId="0" applyNumberFormat="1" applyFill="1"/>
    <xf numFmtId="165" fontId="0" fillId="0" borderId="0" xfId="2" applyNumberFormat="1" applyFont="1" applyFill="1"/>
    <xf numFmtId="43" fontId="0" fillId="0" borderId="0" xfId="0" applyNumberFormat="1"/>
    <xf numFmtId="0" fontId="0" fillId="0" borderId="12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165" fontId="0" fillId="0" borderId="0" xfId="0" applyNumberFormat="1" applyFill="1" applyBorder="1"/>
    <xf numFmtId="0" fontId="41" fillId="0" borderId="0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164" fontId="5" fillId="0" borderId="23" xfId="0" applyNumberFormat="1" applyFont="1" applyFill="1" applyBorder="1"/>
    <xf numFmtId="170" fontId="5" fillId="0" borderId="23" xfId="0" applyNumberFormat="1" applyFont="1" applyFill="1" applyBorder="1"/>
    <xf numFmtId="0" fontId="5" fillId="0" borderId="23" xfId="0" applyFont="1" applyFill="1" applyBorder="1"/>
    <xf numFmtId="164" fontId="1" fillId="0" borderId="23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173" fontId="0" fillId="0" borderId="0" xfId="2" applyNumberFormat="1" applyFont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4" fontId="19" fillId="0" borderId="0" xfId="2" applyFont="1" applyFill="1"/>
    <xf numFmtId="0" fontId="20" fillId="0" borderId="15" xfId="0" applyFont="1" applyFill="1" applyBorder="1"/>
    <xf numFmtId="177" fontId="19" fillId="0" borderId="0" xfId="2" applyNumberFormat="1" applyFont="1" applyFill="1"/>
    <xf numFmtId="44" fontId="12" fillId="0" borderId="0" xfId="2" applyFont="1" applyFill="1"/>
    <xf numFmtId="177" fontId="12" fillId="0" borderId="0" xfId="2" applyNumberFormat="1" applyFont="1" applyFill="1"/>
    <xf numFmtId="173" fontId="19" fillId="0" borderId="0" xfId="2" applyNumberFormat="1" applyFont="1" applyFill="1"/>
    <xf numFmtId="173" fontId="12" fillId="0" borderId="0" xfId="2" applyNumberFormat="1" applyFont="1" applyFill="1"/>
    <xf numFmtId="0" fontId="12" fillId="0" borderId="14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left"/>
    </xf>
    <xf numFmtId="164" fontId="0" fillId="0" borderId="7" xfId="0" applyNumberFormat="1" applyFont="1" applyFill="1" applyBorder="1"/>
    <xf numFmtId="165" fontId="0" fillId="0" borderId="7" xfId="0" applyNumberFormat="1" applyFont="1" applyFill="1" applyBorder="1"/>
    <xf numFmtId="173" fontId="19" fillId="2" borderId="0" xfId="0" applyNumberFormat="1" applyFont="1" applyFill="1"/>
    <xf numFmtId="17" fontId="1" fillId="0" borderId="10" xfId="0" quotePrefix="1" applyNumberFormat="1" applyFont="1" applyFill="1" applyBorder="1" applyAlignment="1">
      <alignment horizontal="center" wrapText="1"/>
    </xf>
    <xf numFmtId="0" fontId="4" fillId="0" borderId="0" xfId="4" applyFont="1" applyFill="1"/>
    <xf numFmtId="44" fontId="4" fillId="0" borderId="0" xfId="4" applyNumberFormat="1" applyFont="1" applyFill="1"/>
    <xf numFmtId="0" fontId="4" fillId="0" borderId="0" xfId="4" applyFont="1" applyFill="1" applyAlignment="1">
      <alignment horizontal="left" indent="2"/>
    </xf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indent="1"/>
    </xf>
    <xf numFmtId="0" fontId="4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center"/>
    </xf>
    <xf numFmtId="0" fontId="4" fillId="0" borderId="0" xfId="4" quotePrefix="1" applyFont="1" applyFill="1" applyAlignment="1">
      <alignment horizontal="left" indent="1"/>
    </xf>
    <xf numFmtId="173" fontId="4" fillId="0" borderId="0" xfId="4" applyNumberFormat="1" applyFont="1" applyFill="1"/>
    <xf numFmtId="0" fontId="4" fillId="0" borderId="0" xfId="4" applyFont="1" applyFill="1" applyAlignment="1">
      <alignment horizontal="left"/>
    </xf>
    <xf numFmtId="177" fontId="4" fillId="0" borderId="0" xfId="4" applyNumberFormat="1" applyFont="1" applyFill="1"/>
    <xf numFmtId="0" fontId="4" fillId="0" borderId="0" xfId="4" quotePrefix="1" applyFont="1" applyFill="1" applyAlignment="1">
      <alignment horizontal="left" indent="3"/>
    </xf>
    <xf numFmtId="0" fontId="4" fillId="0" borderId="0" xfId="4" applyFont="1" applyFill="1" applyAlignment="1">
      <alignment horizontal="left" indent="3"/>
    </xf>
    <xf numFmtId="10" fontId="4" fillId="0" borderId="0" xfId="4" applyNumberFormat="1" applyFont="1" applyFill="1"/>
    <xf numFmtId="0" fontId="4" fillId="0" borderId="0" xfId="4" quotePrefix="1" applyFont="1" applyFill="1" applyAlignment="1">
      <alignment horizontal="left" indent="2"/>
    </xf>
    <xf numFmtId="0" fontId="4" fillId="0" borderId="0" xfId="4" applyFont="1" applyFill="1" applyAlignment="1">
      <alignment horizontal="center" wrapText="1"/>
    </xf>
    <xf numFmtId="0" fontId="4" fillId="0" borderId="1" xfId="4" quotePrefix="1" applyFont="1" applyFill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0" fontId="4" fillId="0" borderId="0" xfId="4" applyFont="1" applyFill="1" applyAlignment="1">
      <alignment horizontal="centerContinuous"/>
    </xf>
    <xf numFmtId="10" fontId="0" fillId="0" borderId="0" xfId="3" applyNumberFormat="1" applyFont="1" applyFill="1"/>
    <xf numFmtId="10" fontId="0" fillId="0" borderId="2" xfId="3" applyNumberFormat="1" applyFont="1" applyFill="1" applyBorder="1"/>
    <xf numFmtId="10" fontId="0" fillId="0" borderId="7" xfId="3" applyNumberFormat="1" applyFont="1" applyFill="1" applyBorder="1"/>
    <xf numFmtId="10" fontId="0" fillId="0" borderId="3" xfId="3" applyNumberFormat="1" applyFont="1" applyFill="1" applyBorder="1"/>
    <xf numFmtId="10" fontId="0" fillId="0" borderId="0" xfId="3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164" fontId="0" fillId="0" borderId="0" xfId="9" applyNumberFormat="1" applyFont="1" applyFill="1"/>
    <xf numFmtId="10" fontId="0" fillId="0" borderId="0" xfId="0" applyNumberFormat="1" applyFont="1" applyFill="1"/>
    <xf numFmtId="0" fontId="1" fillId="0" borderId="0" xfId="1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7" fillId="0" borderId="0" xfId="0" applyFont="1" applyFill="1" applyAlignment="1"/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73" fontId="19" fillId="3" borderId="0" xfId="0" applyNumberFormat="1" applyFont="1" applyFill="1"/>
    <xf numFmtId="10" fontId="12" fillId="4" borderId="0" xfId="0" applyNumberFormat="1" applyFont="1" applyFill="1"/>
    <xf numFmtId="7" fontId="12" fillId="4" borderId="0" xfId="0" applyNumberFormat="1" applyFont="1" applyFill="1"/>
    <xf numFmtId="10" fontId="12" fillId="4" borderId="0" xfId="0" applyNumberFormat="1" applyFont="1" applyFill="1" applyProtection="1"/>
    <xf numFmtId="37" fontId="12" fillId="4" borderId="0" xfId="0" applyNumberFormat="1" applyFont="1" applyFill="1" applyProtection="1"/>
    <xf numFmtId="10" fontId="12" fillId="0" borderId="0" xfId="3" applyNumberFormat="1" applyFont="1" applyFill="1"/>
    <xf numFmtId="10" fontId="2" fillId="0" borderId="0" xfId="3" applyNumberFormat="1" applyFont="1" applyFill="1" applyProtection="1"/>
    <xf numFmtId="10" fontId="2" fillId="0" borderId="2" xfId="3" applyNumberFormat="1" applyFont="1" applyFill="1" applyBorder="1" applyProtection="1"/>
    <xf numFmtId="10" fontId="2" fillId="0" borderId="0" xfId="3" applyNumberFormat="1" applyFont="1" applyFill="1"/>
    <xf numFmtId="10" fontId="2" fillId="0" borderId="11" xfId="3" applyNumberFormat="1" applyFont="1" applyFill="1" applyBorder="1"/>
    <xf numFmtId="181" fontId="2" fillId="0" borderId="0" xfId="2" applyNumberFormat="1" applyFont="1" applyFill="1" applyProtection="1"/>
    <xf numFmtId="181" fontId="2" fillId="0" borderId="2" xfId="2" applyNumberFormat="1" applyFont="1" applyFill="1" applyBorder="1" applyProtection="1"/>
    <xf numFmtId="181" fontId="2" fillId="0" borderId="0" xfId="2" applyNumberFormat="1" applyFont="1" applyFill="1"/>
    <xf numFmtId="181" fontId="2" fillId="0" borderId="11" xfId="2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12" xfId="0" quotePrefix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wrapText="1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quotePrefix="1" applyFont="1" applyFill="1" applyBorder="1" applyAlignment="1">
      <alignment horizontal="center"/>
    </xf>
    <xf numFmtId="0" fontId="0" fillId="0" borderId="0" xfId="0" applyAlignment="1"/>
    <xf numFmtId="0" fontId="0" fillId="0" borderId="0" xfId="0" quotePrefix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4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quotePrefix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1647836169577E-2"/>
          <c:y val="5.1721231646318637E-2"/>
          <c:w val="0.9031406744850784"/>
          <c:h val="0.84243908113636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No.__(JAP-Sch 7 Imp)'!$N$48</c:f>
              <c:strCache>
                <c:ptCount val="1"/>
                <c:pt idx="0">
                  <c:v>% Change in Avg. Residential Bill (Staff)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'Exhibit No.__(JAP-Sch 7 Imp)'!$B$9:$B$27</c:f>
              <c:numCache>
                <c:formatCode>#,##0_);\(#,##0\)</c:formatCode>
                <c:ptCount val="1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  <c:pt idx="13">
                  <c:v>1100</c:v>
                </c:pt>
                <c:pt idx="14">
                  <c:v>1200</c:v>
                </c:pt>
                <c:pt idx="15">
                  <c:v>1300</c:v>
                </c:pt>
                <c:pt idx="16">
                  <c:v>1400</c:v>
                </c:pt>
                <c:pt idx="17">
                  <c:v>1600</c:v>
                </c:pt>
                <c:pt idx="18">
                  <c:v>2000</c:v>
                </c:pt>
              </c:numCache>
            </c:numRef>
          </c:cat>
          <c:val>
            <c:numRef>
              <c:f>'Exhibit No.__(JAP-Sch 7 Imp)'!$L$9:$L$27</c:f>
              <c:numCache>
                <c:formatCode>0.00%</c:formatCode>
                <c:ptCount val="19"/>
                <c:pt idx="0">
                  <c:v>0</c:v>
                </c:pt>
                <c:pt idx="1">
                  <c:v>5.1020408163265727E-3</c:v>
                </c:pt>
                <c:pt idx="2">
                  <c:v>6.8578553615959749E-3</c:v>
                </c:pt>
                <c:pt idx="3">
                  <c:v>8.3702609551945702E-3</c:v>
                </c:pt>
                <c:pt idx="4">
                  <c:v>9.7640358014646871E-3</c:v>
                </c:pt>
                <c:pt idx="5">
                  <c:v>1.0564443102927687E-2</c:v>
                </c:pt>
                <c:pt idx="6">
                  <c:v>1.1036468330134377E-2</c:v>
                </c:pt>
                <c:pt idx="7">
                  <c:v>1.1347800119450534E-2</c:v>
                </c:pt>
                <c:pt idx="8">
                  <c:v>1.1910838863365589E-2</c:v>
                </c:pt>
                <c:pt idx="9">
                  <c:v>1.1990754117307113E-2</c:v>
                </c:pt>
                <c:pt idx="10">
                  <c:v>1.2302284710017625E-2</c:v>
                </c:pt>
                <c:pt idx="11">
                  <c:v>1.2541620421753715E-2</c:v>
                </c:pt>
                <c:pt idx="12">
                  <c:v>1.2630532073595187E-2</c:v>
                </c:pt>
                <c:pt idx="13">
                  <c:v>1.2703847193440948E-2</c:v>
                </c:pt>
                <c:pt idx="14">
                  <c:v>1.2846907683438919E-2</c:v>
                </c:pt>
                <c:pt idx="15">
                  <c:v>1.2890506521079899E-2</c:v>
                </c:pt>
                <c:pt idx="16">
                  <c:v>1.2998875772906088E-2</c:v>
                </c:pt>
                <c:pt idx="17">
                  <c:v>1.305067091477235E-2</c:v>
                </c:pt>
                <c:pt idx="18">
                  <c:v>1.3220802029466329E-2</c:v>
                </c:pt>
              </c:numCache>
            </c:numRef>
          </c:val>
        </c:ser>
        <c:ser>
          <c:idx val="10"/>
          <c:order val="1"/>
          <c:tx>
            <c:strRef>
              <c:f>'Exhibit No.__(JAP-Sch 7 Imp)'!$AH$48</c:f>
              <c:strCache>
                <c:ptCount val="1"/>
                <c:pt idx="0">
                  <c:v>% Change in Avg. Residential Bill (PSE)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'Exhibit No.__(JAP-Sch 7 Imp)'!$B$9:$B$27</c:f>
              <c:numCache>
                <c:formatCode>#,##0_);\(#,##0\)</c:formatCode>
                <c:ptCount val="1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  <c:pt idx="13">
                  <c:v>1100</c:v>
                </c:pt>
                <c:pt idx="14">
                  <c:v>1200</c:v>
                </c:pt>
                <c:pt idx="15">
                  <c:v>1300</c:v>
                </c:pt>
                <c:pt idx="16">
                  <c:v>1400</c:v>
                </c:pt>
                <c:pt idx="17">
                  <c:v>1600</c:v>
                </c:pt>
                <c:pt idx="18">
                  <c:v>2000</c:v>
                </c:pt>
              </c:numCache>
            </c:numRef>
          </c:cat>
          <c:val>
            <c:numRef>
              <c:f>'Exhibit No.__(JAP-Sch 7 Imp)'!$AF$9:$AF$27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-1.2468827930174299E-3</c:v>
                </c:pt>
                <c:pt idx="3">
                  <c:v>-9.8473658296403615E-4</c:v>
                </c:pt>
                <c:pt idx="4">
                  <c:v>-1.2205044751829775E-3</c:v>
                </c:pt>
                <c:pt idx="5">
                  <c:v>-1.2073649260488724E-3</c:v>
                </c:pt>
                <c:pt idx="6">
                  <c:v>-1.4395393474088837E-3</c:v>
                </c:pt>
                <c:pt idx="7">
                  <c:v>-1.5926737009754788E-3</c:v>
                </c:pt>
                <c:pt idx="8">
                  <c:v>-1.5313935681470717E-3</c:v>
                </c:pt>
                <c:pt idx="9">
                  <c:v>2.5570644322450101E-2</c:v>
                </c:pt>
                <c:pt idx="10">
                  <c:v>4.5694200351493859E-2</c:v>
                </c:pt>
                <c:pt idx="11">
                  <c:v>6.1154273029966767E-2</c:v>
                </c:pt>
                <c:pt idx="12">
                  <c:v>7.3197414221780208E-2</c:v>
                </c:pt>
                <c:pt idx="13">
                  <c:v>8.3160645103162484E-2</c:v>
                </c:pt>
                <c:pt idx="14">
                  <c:v>9.1410689286008345E-2</c:v>
                </c:pt>
                <c:pt idx="15">
                  <c:v>9.8271155595996418E-2</c:v>
                </c:pt>
                <c:pt idx="16">
                  <c:v>0.1041315345699831</c:v>
                </c:pt>
                <c:pt idx="17">
                  <c:v>0.11365725139390957</c:v>
                </c:pt>
                <c:pt idx="18">
                  <c:v>0.12689042833447176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483913048"/>
        <c:axId val="483910304"/>
      </c:barChart>
      <c:catAx>
        <c:axId val="483913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aseline="0"/>
                  <a:t>kWh Energy Usage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354325099867677"/>
              <c:y val="0.96322726084028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3910304"/>
        <c:crosses val="autoZero"/>
        <c:auto val="1"/>
        <c:lblAlgn val="ctr"/>
        <c:lblOffset val="100"/>
        <c:tickLblSkip val="1"/>
        <c:noMultiLvlLbl val="0"/>
      </c:catAx>
      <c:valAx>
        <c:axId val="483910304"/>
        <c:scaling>
          <c:orientation val="minMax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Change in Total Bill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48627774594867E-3"/>
              <c:y val="0.3686703290728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3913048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145006837204633E-2"/>
          <c:y val="1.2954773390337713E-2"/>
          <c:w val="0.83750937430506589"/>
          <c:h val="3.0551068285711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32713505364691"/>
          <c:y val="0"/>
          <c:w val="0.6728300035525181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'Exhibit No.__(JAP-Sch 7 Imp)'!$N$51:$N$53</c:f>
              <c:strCache>
                <c:ptCount val="3"/>
                <c:pt idx="0">
                  <c:v>Low Usage</c:v>
                </c:pt>
                <c:pt idx="1">
                  <c:v>Middle Usage</c:v>
                </c:pt>
                <c:pt idx="2">
                  <c:v>High Usage</c:v>
                </c:pt>
              </c:strCache>
            </c:strRef>
          </c:cat>
          <c:val>
            <c:numRef>
              <c:f>'Exhibit No.__(JAP-Sch 7 Imp)'!$O$51:$O$53</c:f>
              <c:numCache>
                <c:formatCode>0.00%</c:formatCode>
                <c:ptCount val="3"/>
                <c:pt idx="0">
                  <c:v>6.2736109802095749E-2</c:v>
                </c:pt>
                <c:pt idx="1">
                  <c:v>0.7329714462939636</c:v>
                </c:pt>
                <c:pt idx="2">
                  <c:v>0.20429244390394075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cat>
            <c:strRef>
              <c:f>'Exhibit No.__(JAP-Sch 7 Imp)'!$N$56:$N$57</c:f>
              <c:strCache>
                <c:ptCount val="2"/>
                <c:pt idx="0">
                  <c:v>Basic Charge</c:v>
                </c:pt>
                <c:pt idx="1">
                  <c:v>Energy Charge</c:v>
                </c:pt>
              </c:strCache>
            </c:strRef>
          </c:cat>
          <c:val>
            <c:numRef>
              <c:f>'Exhibit No.__(JAP-Sch 7 Imp)'!$O$56:$O$57</c:f>
              <c:numCache>
                <c:formatCode>"$"#,##0.00_);\("$"#,##0.00\)</c:formatCode>
                <c:ptCount val="2"/>
                <c:pt idx="0" formatCode="_(&quot;$&quot;* #,##0.00_);_(&quot;$&quot;* \(#,##0.00\);_(&quot;$&quot;* &quot;-&quot;??_);_(@_)">
                  <c:v>7.49</c:v>
                </c:pt>
                <c:pt idx="1">
                  <c:v>82.61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</c:dPt>
          <c:cat>
            <c:strRef>
              <c:f>'Exhibit No.__(JAP-Sch 31 Imp)'!$V$32:$V$35</c:f>
              <c:strCache>
                <c:ptCount val="4"/>
                <c:pt idx="0">
                  <c:v>Basic Charge</c:v>
                </c:pt>
                <c:pt idx="1">
                  <c:v>Energy Charge</c:v>
                </c:pt>
                <c:pt idx="2">
                  <c:v>Demand Charge</c:v>
                </c:pt>
                <c:pt idx="3">
                  <c:v>Reactive Charge</c:v>
                </c:pt>
              </c:strCache>
            </c:strRef>
          </c:cat>
          <c:val>
            <c:numRef>
              <c:f>'Exhibit No.__(JAP-Sch 31 Imp)'!$W$32:$W$35</c:f>
              <c:numCache>
                <c:formatCode>"$"#,##0.00_);\("$"#,##0.00\)</c:formatCode>
                <c:ptCount val="4"/>
                <c:pt idx="0" formatCode="_(&quot;$&quot;* #,##0.00_);_(&quot;$&quot;* \(#,##0.00\);_(&quot;$&quot;* &quot;-&quot;??_);_(@_)">
                  <c:v>343.66</c:v>
                </c:pt>
                <c:pt idx="1">
                  <c:v>8745.0760937756877</c:v>
                </c:pt>
                <c:pt idx="2" formatCode="_(&quot;$&quot;* #,##0.00_);_(&quot;$&quot;* \(#,##0.00\);_(&quot;$&quot;* &quot;-&quot;??_);_(@_)">
                  <c:v>5808</c:v>
                </c:pt>
                <c:pt idx="3" formatCode="_(&quot;$&quot;* #,##0.00_);_(&quot;$&quot;* \(#,##0.00\);_(&quot;$&quot;* &quot;-&quot;??_);_(@_)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114859</xdr:colOff>
      <xdr:row>2</xdr:row>
      <xdr:rowOff>22414</xdr:rowOff>
    </xdr:from>
    <xdr:to>
      <xdr:col>51</xdr:col>
      <xdr:colOff>551088</xdr:colOff>
      <xdr:row>35</xdr:row>
      <xdr:rowOff>163286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389283</xdr:colOff>
      <xdr:row>3</xdr:row>
      <xdr:rowOff>204697</xdr:rowOff>
    </xdr:from>
    <xdr:to>
      <xdr:col>47</xdr:col>
      <xdr:colOff>556118</xdr:colOff>
      <xdr:row>12</xdr:row>
      <xdr:rowOff>136662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515297</xdr:colOff>
      <xdr:row>10</xdr:row>
      <xdr:rowOff>150273</xdr:rowOff>
    </xdr:from>
    <xdr:to>
      <xdr:col>48</xdr:col>
      <xdr:colOff>583333</xdr:colOff>
      <xdr:row>13</xdr:row>
      <xdr:rowOff>150270</xdr:rowOff>
    </xdr:to>
    <xdr:sp macro="" textlink="">
      <xdr:nvSpPr>
        <xdr:cNvPr id="6" name="TextBox 5"/>
        <xdr:cNvSpPr txBox="1"/>
      </xdr:nvSpPr>
      <xdr:spPr>
        <a:xfrm>
          <a:off x="26390167" y="2303751"/>
          <a:ext cx="2585949" cy="57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73% of all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residential customers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have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average monthly usage between 300 kWh's and 1200 kWh's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70348</xdr:colOff>
      <xdr:row>44</xdr:row>
      <xdr:rowOff>129365</xdr:rowOff>
    </xdr:from>
    <xdr:to>
      <xdr:col>11</xdr:col>
      <xdr:colOff>440142</xdr:colOff>
      <xdr:row>66</xdr:row>
      <xdr:rowOff>184274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123823</xdr:colOff>
      <xdr:row>48</xdr:row>
      <xdr:rowOff>20107</xdr:rowOff>
    </xdr:from>
    <xdr:to>
      <xdr:col>9</xdr:col>
      <xdr:colOff>480483</xdr:colOff>
      <xdr:row>63</xdr:row>
      <xdr:rowOff>124883</xdr:rowOff>
    </xdr:to>
    <xdr:sp macro="" textlink="">
      <xdr:nvSpPr>
        <xdr:cNvPr id="9" name="Oval 8"/>
        <xdr:cNvSpPr/>
      </xdr:nvSpPr>
      <xdr:spPr>
        <a:xfrm>
          <a:off x="1478490" y="9481607"/>
          <a:ext cx="2949576" cy="2962276"/>
        </a:xfrm>
        <a:prstGeom prst="ellipse">
          <a:avLst/>
        </a:prstGeom>
        <a:gradFill flip="none" rotWithShape="1">
          <a:gsLst>
            <a:gs pos="0">
              <a:schemeClr val="bg1"/>
            </a:gs>
            <a:gs pos="55000">
              <a:schemeClr val="bg1"/>
            </a:gs>
            <a:gs pos="56000">
              <a:schemeClr val="tx2"/>
            </a:gs>
          </a:gsLst>
          <a:path path="circle">
            <a:fillToRect l="50000" t="50000" r="50000" b="50000"/>
          </a:path>
          <a:tileRect/>
        </a:gra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294465</xdr:colOff>
      <xdr:row>51</xdr:row>
      <xdr:rowOff>109664</xdr:rowOff>
    </xdr:from>
    <xdr:to>
      <xdr:col>7</xdr:col>
      <xdr:colOff>191621</xdr:colOff>
      <xdr:row>55</xdr:row>
      <xdr:rowOff>54451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215" y="10142664"/>
          <a:ext cx="743823" cy="706787"/>
        </a:xfrm>
        <a:prstGeom prst="rect">
          <a:avLst/>
        </a:prstGeom>
      </xdr:spPr>
    </xdr:pic>
    <xdr:clientData/>
  </xdr:twoCellAnchor>
  <xdr:twoCellAnchor>
    <xdr:from>
      <xdr:col>4</xdr:col>
      <xdr:colOff>25525</xdr:colOff>
      <xdr:row>55</xdr:row>
      <xdr:rowOff>83421</xdr:rowOff>
    </xdr:from>
    <xdr:to>
      <xdr:col>7</xdr:col>
      <xdr:colOff>574612</xdr:colOff>
      <xdr:row>61</xdr:row>
      <xdr:rowOff>4980</xdr:rowOff>
    </xdr:to>
    <xdr:sp macro="" textlink="">
      <xdr:nvSpPr>
        <xdr:cNvPr id="8" name="TextBox 7"/>
        <xdr:cNvSpPr txBox="1"/>
      </xdr:nvSpPr>
      <xdr:spPr>
        <a:xfrm>
          <a:off x="2258608" y="10878421"/>
          <a:ext cx="1448671" cy="1064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Typical Residential Customer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</xdr:rowOff>
    </xdr:from>
    <xdr:ext cx="4754880" cy="1845633"/>
    <xdr:sp macro="" textlink="">
      <xdr:nvSpPr>
        <xdr:cNvPr id="2" name="Rectangle 1"/>
        <xdr:cNvSpPr/>
      </xdr:nvSpPr>
      <xdr:spPr>
        <a:xfrm>
          <a:off x="9265920" y="1"/>
          <a:ext cx="4754880" cy="184563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9875520" y="217932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8</xdr:row>
      <xdr:rowOff>33020</xdr:rowOff>
    </xdr:from>
    <xdr:ext cx="3530902" cy="2628220"/>
    <xdr:sp macro="" textlink="">
      <xdr:nvSpPr>
        <xdr:cNvPr id="2" name="Rectangle 1"/>
        <xdr:cNvSpPr/>
      </xdr:nvSpPr>
      <xdr:spPr>
        <a:xfrm>
          <a:off x="8365067" y="272542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141Y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110836</xdr:colOff>
      <xdr:row>12</xdr:row>
      <xdr:rowOff>152400</xdr:rowOff>
    </xdr:from>
    <xdr:ext cx="3740727" cy="2777836"/>
    <xdr:sp macro="" textlink="">
      <xdr:nvSpPr>
        <xdr:cNvPr id="2" name="Rectangle 1"/>
        <xdr:cNvSpPr/>
      </xdr:nvSpPr>
      <xdr:spPr>
        <a:xfrm>
          <a:off x="7432963" y="2736273"/>
          <a:ext cx="3740727" cy="2777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UE-190231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UE-170946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0.33372</cdr:x>
      <cdr:y>0.07442</cdr:y>
    </cdr:from>
    <cdr:to>
      <cdr:x>0.79347</cdr:x>
      <cdr:y>0.8947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456331" y="490035"/>
          <a:ext cx="3384006" cy="5401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476250</xdr:colOff>
      <xdr:row>8</xdr:row>
      <xdr:rowOff>23813</xdr:rowOff>
    </xdr:from>
    <xdr:to>
      <xdr:col>28</xdr:col>
      <xdr:colOff>0</xdr:colOff>
      <xdr:row>29</xdr:row>
      <xdr:rowOff>19190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928688</xdr:colOff>
      <xdr:row>11</xdr:row>
      <xdr:rowOff>47626</xdr:rowOff>
    </xdr:from>
    <xdr:to>
      <xdr:col>26</xdr:col>
      <xdr:colOff>220477</xdr:colOff>
      <xdr:row>25</xdr:row>
      <xdr:rowOff>176214</xdr:rowOff>
    </xdr:to>
    <xdr:sp macro="" textlink="">
      <xdr:nvSpPr>
        <xdr:cNvPr id="3" name="Oval 2"/>
        <xdr:cNvSpPr/>
      </xdr:nvSpPr>
      <xdr:spPr>
        <a:xfrm>
          <a:off x="15189912" y="2471574"/>
          <a:ext cx="2950703" cy="2894123"/>
        </a:xfrm>
        <a:prstGeom prst="ellipse">
          <a:avLst/>
        </a:prstGeom>
        <a:gradFill flip="none" rotWithShape="1">
          <a:gsLst>
            <a:gs pos="0">
              <a:schemeClr val="bg1"/>
            </a:gs>
            <a:gs pos="55000">
              <a:schemeClr val="bg1"/>
            </a:gs>
            <a:gs pos="56000">
              <a:schemeClr val="tx2"/>
            </a:gs>
          </a:gsLst>
          <a:path path="circle">
            <a:fillToRect l="50000" t="50000" r="50000" b="50000"/>
          </a:path>
          <a:tileRect/>
        </a:gra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23</xdr:col>
      <xdr:colOff>259140</xdr:colOff>
      <xdr:row>14</xdr:row>
      <xdr:rowOff>95441</xdr:rowOff>
    </xdr:from>
    <xdr:to>
      <xdr:col>24</xdr:col>
      <xdr:colOff>378327</xdr:colOff>
      <xdr:row>18</xdr:row>
      <xdr:rowOff>62737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1961" y="3143441"/>
          <a:ext cx="745116" cy="783725"/>
        </a:xfrm>
        <a:prstGeom prst="rect">
          <a:avLst/>
        </a:prstGeom>
      </xdr:spPr>
    </xdr:pic>
    <xdr:clientData/>
  </xdr:twoCellAnchor>
  <xdr:twoCellAnchor>
    <xdr:from>
      <xdr:col>22</xdr:col>
      <xdr:colOff>666416</xdr:colOff>
      <xdr:row>18</xdr:row>
      <xdr:rowOff>102010</xdr:rowOff>
    </xdr:from>
    <xdr:to>
      <xdr:col>25</xdr:col>
      <xdr:colOff>93370</xdr:colOff>
      <xdr:row>23</xdr:row>
      <xdr:rowOff>175124</xdr:rowOff>
    </xdr:to>
    <xdr:sp macro="" textlink="">
      <xdr:nvSpPr>
        <xdr:cNvPr id="7" name="TextBox 6"/>
        <xdr:cNvSpPr txBox="1"/>
      </xdr:nvSpPr>
      <xdr:spPr>
        <a:xfrm>
          <a:off x="15933630" y="3966439"/>
          <a:ext cx="1454419" cy="1093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  <a:t>Typical Industrial</a:t>
          </a:r>
          <a:b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  <a:t>Customer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662340</xdr:colOff>
      <xdr:row>32</xdr:row>
      <xdr:rowOff>47625</xdr:rowOff>
    </xdr:from>
    <xdr:ext cx="2663421" cy="1970732"/>
    <xdr:sp macro="" textlink="">
      <xdr:nvSpPr>
        <xdr:cNvPr id="2" name="Rectangle 1"/>
        <xdr:cNvSpPr/>
      </xdr:nvSpPr>
      <xdr:spPr>
        <a:xfrm>
          <a:off x="5034315" y="6153150"/>
          <a:ext cx="2663421" cy="19707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UE-190223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4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10810875" y="22098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UE-180887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0718800" y="18542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UE-190149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087100" y="28956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UE-180739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12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9982200" y="29051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UE-180978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7</xdr:row>
      <xdr:rowOff>114300</xdr:rowOff>
    </xdr:from>
    <xdr:ext cx="3530902" cy="2628220"/>
    <xdr:sp macro="" textlink="">
      <xdr:nvSpPr>
        <xdr:cNvPr id="2" name="Rectangle 1"/>
        <xdr:cNvSpPr/>
      </xdr:nvSpPr>
      <xdr:spPr>
        <a:xfrm>
          <a:off x="8867775" y="24860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selection activeCell="E47" sqref="E47"/>
    </sheetView>
  </sheetViews>
  <sheetFormatPr defaultColWidth="6.28515625" defaultRowHeight="12.75"/>
  <cols>
    <col min="1" max="1" width="4.42578125" style="1" bestFit="1" customWidth="1"/>
    <col min="2" max="2" width="25.28515625" style="1" customWidth="1"/>
    <col min="3" max="3" width="16.42578125" style="1" bestFit="1" customWidth="1"/>
    <col min="4" max="4" width="14.42578125" style="1" bestFit="1" customWidth="1"/>
    <col min="5" max="5" width="11.140625" style="1" bestFit="1" customWidth="1"/>
    <col min="6" max="6" width="13.28515625" style="1" bestFit="1" customWidth="1"/>
    <col min="7" max="7" width="14.140625" style="1" customWidth="1"/>
    <col min="8" max="8" width="11.85546875" style="1" bestFit="1" customWidth="1"/>
    <col min="9" max="9" width="11.85546875" style="1" customWidth="1"/>
    <col min="10" max="11" width="11.85546875" style="1" bestFit="1" customWidth="1"/>
    <col min="12" max="13" width="12.7109375" style="1" bestFit="1" customWidth="1"/>
    <col min="14" max="15" width="12.140625" style="1" bestFit="1" customWidth="1"/>
    <col min="16" max="16" width="9.5703125" style="1" bestFit="1" customWidth="1"/>
    <col min="17" max="17" width="15.28515625" style="1" bestFit="1" customWidth="1"/>
    <col min="18" max="18" width="1.7109375" style="1" customWidth="1"/>
    <col min="19" max="19" width="15" style="1" bestFit="1" customWidth="1"/>
    <col min="20" max="20" width="9.5703125" style="1" bestFit="1" customWidth="1"/>
    <col min="21" max="21" width="11.140625" style="1" bestFit="1" customWidth="1"/>
    <col min="22" max="22" width="12.140625" style="1" bestFit="1" customWidth="1"/>
    <col min="23" max="23" width="12.7109375" style="1" bestFit="1" customWidth="1"/>
    <col min="24" max="25" width="12.42578125" style="1" bestFit="1" customWidth="1"/>
    <col min="26" max="29" width="11" style="1" customWidth="1"/>
    <col min="30" max="30" width="6.28515625" style="1"/>
    <col min="31" max="31" width="11.28515625" style="1" bestFit="1" customWidth="1"/>
    <col min="32" max="32" width="12.28515625" style="1" bestFit="1" customWidth="1"/>
    <col min="33" max="16384" width="6.28515625" style="1"/>
  </cols>
  <sheetData>
    <row r="1" spans="1:35">
      <c r="A1" s="526" t="s">
        <v>0</v>
      </c>
      <c r="B1" s="526"/>
      <c r="C1" s="503"/>
      <c r="D1" s="503"/>
      <c r="E1" s="194"/>
      <c r="F1" s="194"/>
      <c r="G1" s="194"/>
      <c r="H1" s="194"/>
      <c r="I1" s="321"/>
      <c r="J1" s="194"/>
      <c r="K1" s="194"/>
      <c r="L1" s="321"/>
      <c r="M1" s="321"/>
      <c r="N1" s="194"/>
      <c r="O1" s="194"/>
      <c r="P1" s="194"/>
      <c r="Q1" s="194"/>
      <c r="R1" s="194"/>
      <c r="S1" s="194"/>
      <c r="T1" s="194"/>
      <c r="U1" s="194"/>
      <c r="V1" s="194"/>
      <c r="W1" s="321"/>
      <c r="X1" s="194"/>
      <c r="Y1" s="194"/>
      <c r="Z1" s="194"/>
      <c r="AA1" s="194"/>
      <c r="AB1" s="194"/>
    </row>
    <row r="2" spans="1:35">
      <c r="A2" s="526" t="s">
        <v>84</v>
      </c>
      <c r="B2" s="526"/>
      <c r="C2" s="503"/>
      <c r="D2" s="503"/>
      <c r="E2" s="194"/>
      <c r="F2" s="194"/>
      <c r="G2" s="194"/>
      <c r="H2" s="194"/>
      <c r="I2" s="321"/>
      <c r="J2" s="194"/>
      <c r="K2" s="194"/>
      <c r="L2" s="321"/>
      <c r="M2" s="321"/>
      <c r="N2" s="194"/>
      <c r="O2" s="194"/>
      <c r="P2" s="194"/>
      <c r="Q2" s="194"/>
      <c r="R2" s="194"/>
      <c r="S2" s="194"/>
      <c r="T2" s="194"/>
      <c r="U2" s="194"/>
      <c r="V2" s="194"/>
      <c r="W2" s="321"/>
      <c r="X2" s="194"/>
      <c r="Y2" s="194"/>
      <c r="Z2" s="194"/>
      <c r="AA2" s="194"/>
      <c r="AB2" s="194"/>
    </row>
    <row r="3" spans="1:35">
      <c r="A3" s="526" t="s">
        <v>372</v>
      </c>
      <c r="B3" s="526"/>
      <c r="C3" s="503"/>
      <c r="D3" s="503"/>
      <c r="E3" s="194"/>
      <c r="F3" s="194"/>
      <c r="G3" s="194"/>
      <c r="H3" s="194"/>
      <c r="I3" s="321"/>
      <c r="J3" s="194"/>
      <c r="K3" s="194"/>
      <c r="L3" s="321"/>
      <c r="M3" s="321"/>
      <c r="N3" s="194"/>
      <c r="O3" s="194"/>
      <c r="P3" s="194"/>
      <c r="Q3" s="194"/>
      <c r="R3" s="194"/>
      <c r="S3" s="194"/>
      <c r="T3" s="194"/>
      <c r="U3" s="194"/>
      <c r="V3" s="194"/>
      <c r="W3" s="321"/>
      <c r="X3" s="194"/>
      <c r="Y3" s="194"/>
      <c r="Z3" s="194"/>
      <c r="AA3" s="194"/>
      <c r="AB3" s="194"/>
    </row>
    <row r="4" spans="1:35">
      <c r="A4" s="526" t="s">
        <v>219</v>
      </c>
      <c r="B4" s="526"/>
      <c r="C4" s="503"/>
      <c r="D4" s="503"/>
      <c r="E4" s="194"/>
      <c r="F4" s="194"/>
      <c r="G4" s="194"/>
      <c r="H4" s="194"/>
      <c r="I4" s="321"/>
      <c r="J4" s="194"/>
      <c r="K4" s="194"/>
      <c r="L4" s="321"/>
      <c r="M4" s="321"/>
      <c r="N4" s="194"/>
      <c r="O4" s="194"/>
      <c r="P4" s="194"/>
      <c r="Q4" s="194"/>
      <c r="R4" s="194"/>
      <c r="S4" s="194"/>
      <c r="T4" s="194"/>
      <c r="U4" s="194"/>
      <c r="V4" s="194"/>
      <c r="W4" s="321"/>
      <c r="X4" s="194"/>
      <c r="Y4" s="194"/>
      <c r="Z4" s="194"/>
      <c r="AA4" s="194"/>
      <c r="AB4" s="194"/>
    </row>
    <row r="5" spans="1:35">
      <c r="A5" s="502"/>
      <c r="B5" s="501"/>
      <c r="C5" s="501"/>
      <c r="D5" s="501"/>
      <c r="E5" s="3"/>
      <c r="F5" s="3"/>
      <c r="G5" s="3"/>
      <c r="H5" s="3"/>
      <c r="I5" s="466"/>
      <c r="J5" s="3"/>
      <c r="K5" s="3"/>
      <c r="L5" s="340"/>
      <c r="M5" s="340"/>
      <c r="N5" s="318"/>
      <c r="O5" s="3"/>
      <c r="P5" s="3"/>
      <c r="Q5" s="4"/>
      <c r="R5" s="4"/>
      <c r="S5" s="4"/>
      <c r="T5" s="4"/>
      <c r="U5" s="4"/>
      <c r="V5" s="4"/>
      <c r="W5" s="320"/>
      <c r="X5" s="4"/>
      <c r="Y5" s="4"/>
      <c r="Z5" s="4"/>
      <c r="AA5" s="4"/>
      <c r="AB5" s="4"/>
    </row>
    <row r="6" spans="1:35">
      <c r="A6" s="2"/>
      <c r="B6" s="3"/>
      <c r="C6" s="3"/>
      <c r="D6" s="3"/>
      <c r="E6" s="3"/>
      <c r="F6" s="3"/>
      <c r="G6" s="3"/>
      <c r="H6" s="3"/>
      <c r="I6" s="466"/>
      <c r="J6" s="3"/>
      <c r="K6" s="3"/>
      <c r="L6" s="340"/>
      <c r="M6" s="340"/>
      <c r="N6" s="318"/>
      <c r="O6" s="3"/>
      <c r="P6" s="3"/>
      <c r="Q6" s="5"/>
      <c r="R6" s="5"/>
      <c r="S6" s="5"/>
      <c r="T6" s="5"/>
      <c r="U6" s="523" t="s">
        <v>1</v>
      </c>
      <c r="V6" s="524"/>
      <c r="W6" s="525"/>
      <c r="X6" s="333"/>
      <c r="Y6" s="4"/>
      <c r="Z6" s="4"/>
      <c r="AA6" s="4"/>
      <c r="AB6" s="4"/>
    </row>
    <row r="7" spans="1:35" ht="76.5">
      <c r="A7" s="6" t="s">
        <v>2</v>
      </c>
      <c r="B7" s="6" t="s">
        <v>3</v>
      </c>
      <c r="C7" s="315" t="s">
        <v>373</v>
      </c>
      <c r="D7" s="8" t="s">
        <v>576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510</v>
      </c>
      <c r="J7" s="8" t="s">
        <v>8</v>
      </c>
      <c r="K7" s="8" t="s">
        <v>9</v>
      </c>
      <c r="L7" s="8" t="s">
        <v>376</v>
      </c>
      <c r="M7" s="8" t="s">
        <v>377</v>
      </c>
      <c r="N7" s="8" t="s">
        <v>375</v>
      </c>
      <c r="O7" s="8" t="s">
        <v>10</v>
      </c>
      <c r="P7" s="8" t="s">
        <v>218</v>
      </c>
      <c r="Q7" s="8" t="s">
        <v>575</v>
      </c>
      <c r="R7" s="193"/>
      <c r="S7" s="8" t="s">
        <v>577</v>
      </c>
      <c r="T7" s="8" t="s">
        <v>218</v>
      </c>
      <c r="U7" s="190" t="str">
        <f>+E7</f>
        <v>Schedule 95
PCORC</v>
      </c>
      <c r="V7" s="8" t="str">
        <f>+K7</f>
        <v>Schedule 141
ERF</v>
      </c>
      <c r="W7" s="472" t="str">
        <f t="shared" ref="W7" si="0">+L7</f>
        <v>Schedule 141x
Tax</v>
      </c>
      <c r="X7" s="8" t="s">
        <v>511</v>
      </c>
      <c r="Y7" s="8" t="s">
        <v>580</v>
      </c>
      <c r="Z7" s="8" t="s">
        <v>579</v>
      </c>
      <c r="AA7" s="8" t="s">
        <v>578</v>
      </c>
      <c r="AB7" s="315" t="s">
        <v>581</v>
      </c>
      <c r="AC7" s="315" t="s">
        <v>582</v>
      </c>
    </row>
    <row r="8" spans="1:35" s="198" customFormat="1" ht="25.5">
      <c r="A8" s="195"/>
      <c r="B8" s="195"/>
      <c r="C8" s="196" t="s">
        <v>96</v>
      </c>
      <c r="D8" s="197" t="s">
        <v>97</v>
      </c>
      <c r="E8" s="197" t="s">
        <v>98</v>
      </c>
      <c r="F8" s="197" t="s">
        <v>99</v>
      </c>
      <c r="G8" s="197" t="s">
        <v>195</v>
      </c>
      <c r="H8" s="197" t="s">
        <v>196</v>
      </c>
      <c r="I8" s="197" t="s">
        <v>196</v>
      </c>
      <c r="J8" s="197" t="s">
        <v>197</v>
      </c>
      <c r="K8" s="197" t="s">
        <v>212</v>
      </c>
      <c r="L8" s="197" t="s">
        <v>213</v>
      </c>
      <c r="M8" s="197" t="s">
        <v>214</v>
      </c>
      <c r="N8" s="197" t="s">
        <v>215</v>
      </c>
      <c r="O8" s="197" t="s">
        <v>378</v>
      </c>
      <c r="P8" s="197" t="s">
        <v>379</v>
      </c>
      <c r="Q8" s="197" t="s">
        <v>380</v>
      </c>
      <c r="R8" s="197"/>
      <c r="S8" s="197" t="s">
        <v>381</v>
      </c>
      <c r="T8" s="197" t="s">
        <v>382</v>
      </c>
      <c r="U8" s="197" t="s">
        <v>383</v>
      </c>
      <c r="V8" s="197" t="s">
        <v>384</v>
      </c>
      <c r="W8" s="197" t="s">
        <v>385</v>
      </c>
      <c r="X8" s="197" t="s">
        <v>566</v>
      </c>
      <c r="Y8" s="197" t="s">
        <v>567</v>
      </c>
      <c r="Z8" s="197" t="s">
        <v>569</v>
      </c>
      <c r="AA8" s="197" t="s">
        <v>568</v>
      </c>
      <c r="AB8" s="197" t="s">
        <v>570</v>
      </c>
      <c r="AC8" s="196" t="s">
        <v>571</v>
      </c>
    </row>
    <row r="9" spans="1:35">
      <c r="A9" s="3">
        <v>1</v>
      </c>
      <c r="B9" s="3">
        <v>7</v>
      </c>
      <c r="C9" s="9">
        <f>+'Exhibit No.__(JAP-Prof-Prop)'!I17</f>
        <v>10658082.710537091</v>
      </c>
      <c r="D9" s="59">
        <f>+'Exhibit No.__(JAP-Prof-Prop)'!L17</f>
        <v>1109622.487</v>
      </c>
      <c r="E9" s="59">
        <f>+'Sch 95'!F7</f>
        <v>1586</v>
      </c>
      <c r="F9" s="59">
        <f>+'Sch 95a'!F7</f>
        <v>-20389</v>
      </c>
      <c r="G9" s="59">
        <f>+'Sch 120'!F7</f>
        <v>41620</v>
      </c>
      <c r="H9" s="59">
        <f>+'Sch 129'!F7</f>
        <v>9543</v>
      </c>
      <c r="I9" s="323">
        <f>+'Sch 137'!F7</f>
        <v>-778</v>
      </c>
      <c r="J9" s="59">
        <f>+'Sch 140'!F7</f>
        <v>34404</v>
      </c>
      <c r="K9" s="59">
        <f>+'Sch 141'!F7</f>
        <v>16584</v>
      </c>
      <c r="L9" s="323">
        <f>+'Sch 141x'!F7</f>
        <v>-16584</v>
      </c>
      <c r="M9" s="323">
        <f>+'Sch 141y'!F7</f>
        <v>-13546</v>
      </c>
      <c r="N9" s="59">
        <f>+'Sch 142'!H7</f>
        <v>6619</v>
      </c>
      <c r="O9" s="59">
        <f>+'Sch 194'!F7</f>
        <v>-77724</v>
      </c>
      <c r="P9" s="59">
        <f>SUM(E9:O9)</f>
        <v>-18665</v>
      </c>
      <c r="Q9" s="59">
        <f>SUM(P9,D9)</f>
        <v>1090957.487</v>
      </c>
      <c r="R9" s="62"/>
      <c r="S9" s="59">
        <f>+'Exhibit No.__(JAP-Prof-Prop)'!N17</f>
        <v>1141431</v>
      </c>
      <c r="T9" s="59">
        <f>+P9</f>
        <v>-18665</v>
      </c>
      <c r="U9" s="59">
        <f>-E9</f>
        <v>-1586</v>
      </c>
      <c r="V9" s="59">
        <f>-K9</f>
        <v>-16584</v>
      </c>
      <c r="W9" s="323">
        <f t="shared" ref="W9" si="1">-L9</f>
        <v>16584</v>
      </c>
      <c r="X9" s="323">
        <f>SUM(U9:W9)</f>
        <v>-1586</v>
      </c>
      <c r="Y9" s="59">
        <f>SUM(S9,T9,X9)</f>
        <v>1121180</v>
      </c>
      <c r="Z9" s="59">
        <f>+S9-D9</f>
        <v>31808.513000000035</v>
      </c>
      <c r="AA9" s="59">
        <f>+Y9-Q9</f>
        <v>30222.513000000035</v>
      </c>
      <c r="AB9" s="492">
        <f>+Z9/D9</f>
        <v>2.8666067399191086E-2</v>
      </c>
      <c r="AC9" s="492">
        <f>+AA9/Q9</f>
        <v>2.7702741270980467E-2</v>
      </c>
      <c r="AD9" s="11"/>
      <c r="AE9" s="11"/>
      <c r="AF9" s="11"/>
      <c r="AG9" s="11"/>
      <c r="AI9" s="201"/>
    </row>
    <row r="10" spans="1:35">
      <c r="A10" s="3">
        <f>+A9+1</f>
        <v>2</v>
      </c>
      <c r="B10" s="3" t="s">
        <v>12</v>
      </c>
      <c r="C10" s="13">
        <f t="shared" ref="C10:Q10" si="2">SUM(C9:C9)</f>
        <v>10658082.710537091</v>
      </c>
      <c r="D10" s="60">
        <f t="shared" si="2"/>
        <v>1109622.487</v>
      </c>
      <c r="E10" s="60">
        <f t="shared" si="2"/>
        <v>1586</v>
      </c>
      <c r="F10" s="60">
        <f t="shared" si="2"/>
        <v>-20389</v>
      </c>
      <c r="G10" s="60">
        <f t="shared" si="2"/>
        <v>41620</v>
      </c>
      <c r="H10" s="60">
        <f t="shared" si="2"/>
        <v>9543</v>
      </c>
      <c r="I10" s="324">
        <f t="shared" ref="I10" si="3">SUM(I9:I9)</f>
        <v>-778</v>
      </c>
      <c r="J10" s="60">
        <f t="shared" si="2"/>
        <v>34404</v>
      </c>
      <c r="K10" s="60">
        <f t="shared" si="2"/>
        <v>16584</v>
      </c>
      <c r="L10" s="324">
        <f t="shared" ref="L10:M10" si="4">SUM(L9:L9)</f>
        <v>-16584</v>
      </c>
      <c r="M10" s="324">
        <f t="shared" si="4"/>
        <v>-13546</v>
      </c>
      <c r="N10" s="60">
        <f t="shared" si="2"/>
        <v>6619</v>
      </c>
      <c r="O10" s="60">
        <f t="shared" si="2"/>
        <v>-77724</v>
      </c>
      <c r="P10" s="60">
        <f t="shared" si="2"/>
        <v>-18665</v>
      </c>
      <c r="Q10" s="60">
        <f t="shared" si="2"/>
        <v>1090957.487</v>
      </c>
      <c r="R10" s="62"/>
      <c r="S10" s="60">
        <f t="shared" ref="S10:AA10" si="5">SUM(S9:S9)</f>
        <v>1141431</v>
      </c>
      <c r="T10" s="60">
        <f t="shared" si="5"/>
        <v>-18665</v>
      </c>
      <c r="U10" s="60">
        <f t="shared" si="5"/>
        <v>-1586</v>
      </c>
      <c r="V10" s="60">
        <f t="shared" si="5"/>
        <v>-16584</v>
      </c>
      <c r="W10" s="324">
        <f t="shared" ref="W10" si="6">SUM(W9:W9)</f>
        <v>16584</v>
      </c>
      <c r="X10" s="324">
        <f t="shared" ref="X10" si="7">SUM(X9:X9)</f>
        <v>-1586</v>
      </c>
      <c r="Y10" s="60">
        <f t="shared" si="5"/>
        <v>1121180</v>
      </c>
      <c r="Z10" s="60">
        <f t="shared" si="5"/>
        <v>31808.513000000035</v>
      </c>
      <c r="AA10" s="60">
        <f t="shared" si="5"/>
        <v>30222.513000000035</v>
      </c>
      <c r="AB10" s="493">
        <f>+Z10/D10</f>
        <v>2.8666067399191086E-2</v>
      </c>
      <c r="AC10" s="493">
        <f>+AA10/Q10</f>
        <v>2.7702741270980467E-2</v>
      </c>
      <c r="AD10" s="11"/>
      <c r="AE10" s="11"/>
      <c r="AF10" s="11"/>
      <c r="AG10" s="11"/>
      <c r="AI10" s="201"/>
    </row>
    <row r="11" spans="1:35">
      <c r="A11" s="3">
        <f t="shared" ref="A11:A37" si="8">+A10+1</f>
        <v>3</v>
      </c>
      <c r="B11" s="3"/>
      <c r="C11" s="9"/>
      <c r="D11" s="59"/>
      <c r="E11" s="59"/>
      <c r="F11" s="59"/>
      <c r="G11" s="59"/>
      <c r="H11" s="59"/>
      <c r="I11" s="323"/>
      <c r="J11" s="59"/>
      <c r="K11" s="59"/>
      <c r="L11" s="323"/>
      <c r="M11" s="323"/>
      <c r="N11" s="59"/>
      <c r="O11" s="59"/>
      <c r="P11" s="59"/>
      <c r="Q11" s="59"/>
      <c r="R11" s="62"/>
      <c r="S11" s="59"/>
      <c r="T11" s="59"/>
      <c r="U11" s="59"/>
      <c r="V11" s="59"/>
      <c r="W11" s="323"/>
      <c r="X11" s="323"/>
      <c r="Y11" s="59"/>
      <c r="Z11" s="59"/>
      <c r="AA11" s="59"/>
      <c r="AB11" s="492"/>
      <c r="AC11" s="492"/>
      <c r="AI11" s="201"/>
    </row>
    <row r="12" spans="1:35">
      <c r="A12" s="3">
        <f t="shared" si="8"/>
        <v>4</v>
      </c>
      <c r="B12" s="2" t="s">
        <v>85</v>
      </c>
      <c r="C12" s="334">
        <f>+'Exhibit No.__(JAP-Prof-Prop)'!I21</f>
        <v>2700716.8408001168</v>
      </c>
      <c r="D12" s="323">
        <f>+'Exhibit No.__(JAP-Prof-Prop)'!L21</f>
        <v>263446.49300000002</v>
      </c>
      <c r="E12" s="59">
        <f>+'Sch 95'!F12</f>
        <v>343</v>
      </c>
      <c r="F12" s="59">
        <f>+'Sch 95a'!F12</f>
        <v>-4432</v>
      </c>
      <c r="G12" s="59">
        <f>+'Sch 120'!F12</f>
        <v>8988</v>
      </c>
      <c r="H12" s="59">
        <f>+'Sch 129'!F12</f>
        <v>2314</v>
      </c>
      <c r="I12" s="323">
        <f>+'Sch 137'!F12</f>
        <v>-170</v>
      </c>
      <c r="J12" s="59">
        <f>+'Sch 140'!F12</f>
        <v>6603</v>
      </c>
      <c r="K12" s="59">
        <f>+'Sch 141'!F12</f>
        <v>2946</v>
      </c>
      <c r="L12" s="323">
        <f>+'Sch 141x'!F12</f>
        <v>-2946</v>
      </c>
      <c r="M12" s="323">
        <f>+'Sch 141y'!F12</f>
        <v>-2547</v>
      </c>
      <c r="N12" s="59">
        <f>+'Sch 142'!H12</f>
        <v>7608</v>
      </c>
      <c r="O12" s="59">
        <f>+'Sch 194'!F12</f>
        <v>-1857</v>
      </c>
      <c r="P12" s="59">
        <f>SUM(E12:O12)</f>
        <v>16850</v>
      </c>
      <c r="Q12" s="59">
        <f>SUM(P12,D12)</f>
        <v>280296.49300000002</v>
      </c>
      <c r="R12" s="62"/>
      <c r="S12" s="59">
        <f>+'Exhibit No.__(JAP-Prof-Prop)'!N21</f>
        <v>271001</v>
      </c>
      <c r="T12" s="59">
        <f t="shared" ref="T12:T15" si="9">+P12</f>
        <v>16850</v>
      </c>
      <c r="U12" s="59">
        <f>-E12</f>
        <v>-343</v>
      </c>
      <c r="V12" s="59">
        <f>-K12</f>
        <v>-2946</v>
      </c>
      <c r="W12" s="323">
        <f t="shared" ref="W12:W15" si="10">-L12</f>
        <v>2946</v>
      </c>
      <c r="X12" s="323">
        <f>SUM(U12:W12)</f>
        <v>-343</v>
      </c>
      <c r="Y12" s="59">
        <f>SUM(S12,T12,X12)</f>
        <v>287508</v>
      </c>
      <c r="Z12" s="59">
        <f>+S12-D12</f>
        <v>7554.5069999999832</v>
      </c>
      <c r="AA12" s="59">
        <f>+Y12-Q12</f>
        <v>7211.5069999999832</v>
      </c>
      <c r="AB12" s="492">
        <f>+Z12/D12</f>
        <v>2.8675678745892368E-2</v>
      </c>
      <c r="AC12" s="492">
        <f>+AA12/Q12</f>
        <v>2.5728138525086659E-2</v>
      </c>
      <c r="AD12" s="11"/>
      <c r="AE12" s="11"/>
      <c r="AF12" s="11"/>
      <c r="AG12" s="11"/>
      <c r="AI12" s="201"/>
    </row>
    <row r="13" spans="1:35">
      <c r="A13" s="3">
        <f t="shared" si="8"/>
        <v>5</v>
      </c>
      <c r="B13" s="2" t="s">
        <v>208</v>
      </c>
      <c r="C13" s="334">
        <f>+'Exhibit No.__(JAP-Prof-Prop)'!I22</f>
        <v>2988049.5563074257</v>
      </c>
      <c r="D13" s="323">
        <f>+'Exhibit No.__(JAP-Prof-Prop)'!L22</f>
        <v>269302.29800000001</v>
      </c>
      <c r="E13" s="59">
        <f>+'Sch 95'!F14</f>
        <v>362</v>
      </c>
      <c r="F13" s="59">
        <f>+'Sch 95a'!F14</f>
        <v>-4685</v>
      </c>
      <c r="G13" s="59">
        <f>+'Sch 120'!F14</f>
        <v>9499</v>
      </c>
      <c r="H13" s="59">
        <f>+'Sch 129'!F14</f>
        <v>2379</v>
      </c>
      <c r="I13" s="323">
        <f>+'Sch 137'!F14</f>
        <v>-179</v>
      </c>
      <c r="J13" s="59">
        <f>+'Sch 140'!F14</f>
        <v>6382</v>
      </c>
      <c r="K13" s="59">
        <f>SUM('Sch 141'!F8,'Sch 141'!F14)</f>
        <v>2621</v>
      </c>
      <c r="L13" s="323">
        <f>SUM('Sch 141x'!F8,'Sch 141x'!F14)</f>
        <v>-2621</v>
      </c>
      <c r="M13" s="323">
        <f>SUM('Sch 141y'!F8,'Sch 141y'!F14)</f>
        <v>-2591</v>
      </c>
      <c r="N13" s="59">
        <f>+'Sch 142'!H14</f>
        <v>-1963</v>
      </c>
      <c r="O13" s="59">
        <f>+'Sch 194'!F14</f>
        <v>-1082</v>
      </c>
      <c r="P13" s="59">
        <f>SUM(E13:O13)</f>
        <v>8122</v>
      </c>
      <c r="Q13" s="59">
        <f>SUM(P13,D13)</f>
        <v>277424.29800000001</v>
      </c>
      <c r="R13" s="62"/>
      <c r="S13" s="323">
        <f>+'Exhibit No.__(JAP-Prof-Prop)'!N22</f>
        <v>275092</v>
      </c>
      <c r="T13" s="59">
        <f t="shared" si="9"/>
        <v>8122</v>
      </c>
      <c r="U13" s="59">
        <f>-E13</f>
        <v>-362</v>
      </c>
      <c r="V13" s="59">
        <f>-K13</f>
        <v>-2621</v>
      </c>
      <c r="W13" s="323">
        <f t="shared" si="10"/>
        <v>2621</v>
      </c>
      <c r="X13" s="323">
        <f>SUM(U13:W13)</f>
        <v>-362</v>
      </c>
      <c r="Y13" s="59">
        <f>SUM(S13,T13,X13)</f>
        <v>282852</v>
      </c>
      <c r="Z13" s="59">
        <f>+S13-D13</f>
        <v>5789.7019999999902</v>
      </c>
      <c r="AA13" s="59">
        <f>+Y13-Q13</f>
        <v>5427.7019999999902</v>
      </c>
      <c r="AB13" s="492">
        <f>+Z13/D13</f>
        <v>2.1498895638833317E-2</v>
      </c>
      <c r="AC13" s="492">
        <f>+AA13/Q13</f>
        <v>1.956462371583613E-2</v>
      </c>
      <c r="AD13" s="11"/>
      <c r="AE13" s="498">
        <f>+AA13+AA15</f>
        <v>5453.4359999999906</v>
      </c>
      <c r="AF13" s="498">
        <f>+Q13+Q15</f>
        <v>278637.842</v>
      </c>
      <c r="AG13" s="499">
        <f>+AE13/AF13</f>
        <v>1.9571770872385635E-2</v>
      </c>
      <c r="AI13" s="201"/>
    </row>
    <row r="14" spans="1:35">
      <c r="A14" s="3">
        <f t="shared" si="8"/>
        <v>6</v>
      </c>
      <c r="B14" s="2" t="s">
        <v>86</v>
      </c>
      <c r="C14" s="334">
        <f>+'Exhibit No.__(JAP-Prof-Prop)'!I23</f>
        <v>1939505.2741896487</v>
      </c>
      <c r="D14" s="323">
        <f>+'Exhibit No.__(JAP-Prof-Prop)'!L23</f>
        <v>160178.13800000001</v>
      </c>
      <c r="E14" s="59">
        <f>+'Sch 95'!F16</f>
        <v>258</v>
      </c>
      <c r="F14" s="59">
        <f>+'Sch 95a'!F16</f>
        <v>-3317</v>
      </c>
      <c r="G14" s="59">
        <f>+'Sch 120'!F16</f>
        <v>6767</v>
      </c>
      <c r="H14" s="59">
        <f>+'Sch 129'!F16</f>
        <v>1390</v>
      </c>
      <c r="I14" s="323">
        <f>+'Sch 137'!F16</f>
        <v>-126</v>
      </c>
      <c r="J14" s="59">
        <f>+'Sch 140'!F16</f>
        <v>4065</v>
      </c>
      <c r="K14" s="59">
        <f>+'Sch 141'!F16</f>
        <v>1561</v>
      </c>
      <c r="L14" s="323">
        <f>+'Sch 141x'!F16</f>
        <v>-1561</v>
      </c>
      <c r="M14" s="323">
        <f>+'Sch 141y'!F16</f>
        <v>-1662</v>
      </c>
      <c r="N14" s="59">
        <f>+'Sch 142'!H16</f>
        <v>1520</v>
      </c>
      <c r="O14" s="59">
        <f>+'Sch 194'!F16</f>
        <v>-124</v>
      </c>
      <c r="P14" s="59">
        <f>SUM(E14:O14)</f>
        <v>8771</v>
      </c>
      <c r="Q14" s="59">
        <f>SUM(P14,D14)</f>
        <v>168949.13800000001</v>
      </c>
      <c r="R14" s="62"/>
      <c r="S14" s="323">
        <f>+'Exhibit No.__(JAP-Prof-Prop)'!N23</f>
        <v>163621.68900000001</v>
      </c>
      <c r="T14" s="59">
        <f t="shared" si="9"/>
        <v>8771</v>
      </c>
      <c r="U14" s="59">
        <f>-E14</f>
        <v>-258</v>
      </c>
      <c r="V14" s="59">
        <f>-K14</f>
        <v>-1561</v>
      </c>
      <c r="W14" s="323">
        <f t="shared" si="10"/>
        <v>1561</v>
      </c>
      <c r="X14" s="323">
        <f>SUM(U14:W14)</f>
        <v>-258</v>
      </c>
      <c r="Y14" s="59">
        <f>SUM(S14,T14,X14)</f>
        <v>172134.68900000001</v>
      </c>
      <c r="Z14" s="59">
        <f>+S14-D14</f>
        <v>3443.5510000000068</v>
      </c>
      <c r="AA14" s="59">
        <f>+Y14-Q14</f>
        <v>3185.5510000000068</v>
      </c>
      <c r="AB14" s="492">
        <f>+Z14/D14</f>
        <v>2.1498258395287417E-2</v>
      </c>
      <c r="AC14" s="492">
        <f>+AA14/Q14</f>
        <v>1.8855088801932842E-2</v>
      </c>
      <c r="AD14" s="11"/>
      <c r="AE14" s="11"/>
      <c r="AF14" s="11"/>
      <c r="AG14" s="11"/>
      <c r="AI14" s="201"/>
    </row>
    <row r="15" spans="1:35">
      <c r="A15" s="3">
        <f t="shared" si="8"/>
        <v>7</v>
      </c>
      <c r="B15" s="3">
        <v>29</v>
      </c>
      <c r="C15" s="334">
        <f>+'Exhibit No.__(JAP-Prof-Prop)'!I24</f>
        <v>16475.530158172358</v>
      </c>
      <c r="D15" s="323">
        <f>+'Exhibit No.__(JAP-Prof-Prop)'!L24</f>
        <v>1290.5440000000001</v>
      </c>
      <c r="E15" s="59">
        <f>+'Sch 95'!F17</f>
        <v>2</v>
      </c>
      <c r="F15" s="59">
        <f>+'Sch 95a'!F17</f>
        <v>-21</v>
      </c>
      <c r="G15" s="59">
        <f>+'Sch 120'!F17</f>
        <v>43</v>
      </c>
      <c r="H15" s="59">
        <f>+'Sch 129'!F17</f>
        <v>12</v>
      </c>
      <c r="I15" s="323">
        <f>+'Sch 137'!F17</f>
        <v>-1</v>
      </c>
      <c r="J15" s="59">
        <f>+'Sch 140'!F17</f>
        <v>35</v>
      </c>
      <c r="K15" s="59">
        <f>+'Sch 141'!F17</f>
        <v>13</v>
      </c>
      <c r="L15" s="323">
        <f>+'Sch 141x'!F17</f>
        <v>-13</v>
      </c>
      <c r="M15" s="323">
        <f>+'Sch 141y'!F17</f>
        <v>-14</v>
      </c>
      <c r="N15" s="59">
        <f>+'Sch 142'!H17</f>
        <v>-11</v>
      </c>
      <c r="O15" s="59">
        <f>+'Sch 194'!F17</f>
        <v>-122</v>
      </c>
      <c r="P15" s="59">
        <f>SUM(E15:O15)</f>
        <v>-77</v>
      </c>
      <c r="Q15" s="59">
        <f>SUM(P15,D15)</f>
        <v>1213.5440000000001</v>
      </c>
      <c r="R15" s="62"/>
      <c r="S15" s="323">
        <f>+'Exhibit No.__(JAP-Prof-Prop)'!N24</f>
        <v>1318.278</v>
      </c>
      <c r="T15" s="59">
        <f t="shared" si="9"/>
        <v>-77</v>
      </c>
      <c r="U15" s="59">
        <f>-E15</f>
        <v>-2</v>
      </c>
      <c r="V15" s="59">
        <f>-K15</f>
        <v>-13</v>
      </c>
      <c r="W15" s="323">
        <f t="shared" si="10"/>
        <v>13</v>
      </c>
      <c r="X15" s="323">
        <f>SUM(U15:W15)</f>
        <v>-2</v>
      </c>
      <c r="Y15" s="59">
        <f>SUM(S15,T15,X15)</f>
        <v>1239.278</v>
      </c>
      <c r="Z15" s="59">
        <f>+S15-D15</f>
        <v>27.733999999999924</v>
      </c>
      <c r="AA15" s="59">
        <f>+Y15-Q15</f>
        <v>25.733999999999924</v>
      </c>
      <c r="AB15" s="492">
        <f>+Z15/D15</f>
        <v>2.1490162288151291E-2</v>
      </c>
      <c r="AC15" s="492">
        <f>+AA15/Q15</f>
        <v>2.120565879770319E-2</v>
      </c>
      <c r="AD15" s="11"/>
      <c r="AE15" s="11"/>
      <c r="AF15" s="11"/>
      <c r="AG15" s="11"/>
      <c r="AI15" s="201"/>
    </row>
    <row r="16" spans="1:35">
      <c r="A16" s="3">
        <f t="shared" si="8"/>
        <v>8</v>
      </c>
      <c r="B16" s="2" t="s">
        <v>216</v>
      </c>
      <c r="C16" s="13">
        <f t="shared" ref="C16:Q16" si="11">SUM(C12:C15)</f>
        <v>7644747.2014553631</v>
      </c>
      <c r="D16" s="60">
        <f t="shared" si="11"/>
        <v>694217.473</v>
      </c>
      <c r="E16" s="60">
        <f t="shared" si="11"/>
        <v>965</v>
      </c>
      <c r="F16" s="60">
        <f t="shared" si="11"/>
        <v>-12455</v>
      </c>
      <c r="G16" s="60">
        <f t="shared" si="11"/>
        <v>25297</v>
      </c>
      <c r="H16" s="60">
        <f t="shared" si="11"/>
        <v>6095</v>
      </c>
      <c r="I16" s="324">
        <f t="shared" ref="I16" si="12">SUM(I12:I15)</f>
        <v>-476</v>
      </c>
      <c r="J16" s="60">
        <f t="shared" si="11"/>
        <v>17085</v>
      </c>
      <c r="K16" s="60">
        <f t="shared" si="11"/>
        <v>7141</v>
      </c>
      <c r="L16" s="324">
        <f t="shared" ref="L16:M16" si="13">SUM(L12:L15)</f>
        <v>-7141</v>
      </c>
      <c r="M16" s="324">
        <f t="shared" si="13"/>
        <v>-6814</v>
      </c>
      <c r="N16" s="60">
        <f t="shared" si="11"/>
        <v>7154</v>
      </c>
      <c r="O16" s="60">
        <f t="shared" si="11"/>
        <v>-3185</v>
      </c>
      <c r="P16" s="60">
        <f t="shared" si="11"/>
        <v>33666</v>
      </c>
      <c r="Q16" s="60">
        <f t="shared" si="11"/>
        <v>727883.473</v>
      </c>
      <c r="R16" s="62"/>
      <c r="S16" s="60">
        <f t="shared" ref="S16:AA16" si="14">SUM(S12:S15)</f>
        <v>711032.96700000006</v>
      </c>
      <c r="T16" s="60">
        <f t="shared" si="14"/>
        <v>33666</v>
      </c>
      <c r="U16" s="60">
        <f t="shared" si="14"/>
        <v>-965</v>
      </c>
      <c r="V16" s="60">
        <f t="shared" si="14"/>
        <v>-7141</v>
      </c>
      <c r="W16" s="324">
        <f t="shared" ref="W16" si="15">SUM(W12:W15)</f>
        <v>7141</v>
      </c>
      <c r="X16" s="324">
        <f t="shared" ref="X16" si="16">SUM(X12:X15)</f>
        <v>-965</v>
      </c>
      <c r="Y16" s="60">
        <f t="shared" si="14"/>
        <v>743733.96700000006</v>
      </c>
      <c r="Z16" s="60">
        <f t="shared" si="14"/>
        <v>16815.493999999981</v>
      </c>
      <c r="AA16" s="60">
        <f t="shared" si="14"/>
        <v>15850.493999999981</v>
      </c>
      <c r="AB16" s="493">
        <f>+Z16/D16</f>
        <v>2.4222228125911748E-2</v>
      </c>
      <c r="AC16" s="493">
        <f>+AA16/Q16</f>
        <v>2.1776142182033002E-2</v>
      </c>
      <c r="AD16" s="11"/>
      <c r="AE16" s="11"/>
      <c r="AF16" s="11"/>
      <c r="AG16" s="11"/>
      <c r="AI16" s="201"/>
    </row>
    <row r="17" spans="1:35">
      <c r="A17" s="3">
        <f t="shared" si="8"/>
        <v>9</v>
      </c>
      <c r="B17" s="3"/>
      <c r="C17" s="9"/>
      <c r="D17" s="59"/>
      <c r="E17" s="59"/>
      <c r="F17" s="59"/>
      <c r="G17" s="59"/>
      <c r="H17" s="59"/>
      <c r="I17" s="323"/>
      <c r="J17" s="59"/>
      <c r="K17" s="59"/>
      <c r="L17" s="323"/>
      <c r="M17" s="323"/>
      <c r="N17" s="59"/>
      <c r="O17" s="59"/>
      <c r="P17" s="59"/>
      <c r="Q17" s="59"/>
      <c r="R17" s="62"/>
      <c r="S17" s="59"/>
      <c r="T17" s="59"/>
      <c r="U17" s="59"/>
      <c r="V17" s="59"/>
      <c r="W17" s="323"/>
      <c r="X17" s="323"/>
      <c r="Y17" s="59"/>
      <c r="Z17" s="59"/>
      <c r="AA17" s="59"/>
      <c r="AB17" s="492"/>
      <c r="AC17" s="492"/>
      <c r="AE17" s="11"/>
      <c r="AF17" s="11"/>
      <c r="AI17" s="201"/>
    </row>
    <row r="18" spans="1:35">
      <c r="A18" s="3">
        <f t="shared" si="8"/>
        <v>10</v>
      </c>
      <c r="B18" s="3" t="s">
        <v>87</v>
      </c>
      <c r="C18" s="334">
        <f>+'Exhibit No.__(JAP-Prof-Prop)'!I28</f>
        <v>1407595.349170306</v>
      </c>
      <c r="D18" s="323">
        <f>+'Exhibit No.__(JAP-Prof-Prop)'!L28</f>
        <v>113234.14599999999</v>
      </c>
      <c r="E18" s="59">
        <f>+'Sch 95'!F21</f>
        <v>169</v>
      </c>
      <c r="F18" s="59">
        <f>+'Sch 95a'!F21</f>
        <v>-2172</v>
      </c>
      <c r="G18" s="59">
        <f>+'Sch 120'!F21</f>
        <v>4437</v>
      </c>
      <c r="H18" s="59">
        <f>+'Sch 129'!F21</f>
        <v>991</v>
      </c>
      <c r="I18" s="323">
        <f>+'Sch 137'!F21</f>
        <v>-83</v>
      </c>
      <c r="J18" s="59">
        <f>+'Sch 140'!F21</f>
        <v>2784</v>
      </c>
      <c r="K18" s="59">
        <f>+'Sch 141'!F21</f>
        <v>1109</v>
      </c>
      <c r="L18" s="323">
        <f>+'Sch 141x'!F21</f>
        <v>-1109</v>
      </c>
      <c r="M18" s="323">
        <f>+'Sch 141y'!F21</f>
        <v>-1143</v>
      </c>
      <c r="N18" s="59">
        <f>+'Sch 142'!H21</f>
        <v>197</v>
      </c>
      <c r="O18" s="59">
        <f>+'Sch 194'!F21</f>
        <v>-227</v>
      </c>
      <c r="P18" s="59">
        <f>SUM(E18:O18)</f>
        <v>4953</v>
      </c>
      <c r="Q18" s="59">
        <f>SUM(P18,D18)</f>
        <v>118187.14599999999</v>
      </c>
      <c r="R18" s="62"/>
      <c r="S18" s="59">
        <f>+'Exhibit No.__(JAP-Prof-Prop)'!N28</f>
        <v>116481.027</v>
      </c>
      <c r="T18" s="59">
        <f t="shared" ref="T18:T20" si="17">+P18</f>
        <v>4953</v>
      </c>
      <c r="U18" s="59">
        <f>-E18</f>
        <v>-169</v>
      </c>
      <c r="V18" s="59">
        <f>-K18</f>
        <v>-1109</v>
      </c>
      <c r="W18" s="323">
        <f t="shared" ref="W18:W20" si="18">-L18</f>
        <v>1109</v>
      </c>
      <c r="X18" s="323">
        <f>SUM(U18:W18)</f>
        <v>-169</v>
      </c>
      <c r="Y18" s="59">
        <f>SUM(S18,T18,X18)</f>
        <v>121265.027</v>
      </c>
      <c r="Z18" s="59">
        <f>+S18-D18</f>
        <v>3246.8810000000085</v>
      </c>
      <c r="AA18" s="59">
        <f>+Y18-Q18</f>
        <v>3077.8810000000085</v>
      </c>
      <c r="AB18" s="492">
        <f>+Z18/D18</f>
        <v>2.8674045018187436E-2</v>
      </c>
      <c r="AC18" s="492">
        <f>+AA18/Q18</f>
        <v>2.6042434428529212E-2</v>
      </c>
      <c r="AD18" s="11"/>
      <c r="AE18" s="498">
        <f>+AA18+AA19</f>
        <v>3089.3760000000084</v>
      </c>
      <c r="AF18" s="498">
        <f>+Q18+Q19</f>
        <v>118432.16099999999</v>
      </c>
      <c r="AG18" s="499">
        <f>+AE18/AF18</f>
        <v>2.6085617064776929E-2</v>
      </c>
      <c r="AI18" s="201"/>
    </row>
    <row r="19" spans="1:35">
      <c r="A19" s="3">
        <f t="shared" si="8"/>
        <v>11</v>
      </c>
      <c r="B19" s="3">
        <v>35</v>
      </c>
      <c r="C19" s="334">
        <f>+'Exhibit No.__(JAP-Prof-Prop)'!I29</f>
        <v>4443.66</v>
      </c>
      <c r="D19" s="323">
        <f>+'Exhibit No.__(JAP-Prof-Prop)'!L29</f>
        <v>268.01499999999999</v>
      </c>
      <c r="E19" s="59">
        <f>+'Sch 95'!F22</f>
        <v>0</v>
      </c>
      <c r="F19" s="59">
        <f>+'Sch 95a'!F22</f>
        <v>-5</v>
      </c>
      <c r="G19" s="59">
        <f>+'Sch 120'!F22</f>
        <v>11</v>
      </c>
      <c r="H19" s="59">
        <f>+'Sch 129'!F22</f>
        <v>2</v>
      </c>
      <c r="I19" s="323">
        <f>+'Sch 137'!F22</f>
        <v>0</v>
      </c>
      <c r="J19" s="59">
        <f>+'Sch 140'!F22</f>
        <v>9</v>
      </c>
      <c r="K19" s="59">
        <f>+'Sch 141'!F22</f>
        <v>6</v>
      </c>
      <c r="L19" s="323">
        <f>+'Sch 141x'!F22</f>
        <v>-6</v>
      </c>
      <c r="M19" s="323">
        <f>+'Sch 141y'!F22</f>
        <v>-4</v>
      </c>
      <c r="N19" s="59">
        <f>+'Sch 142'!H22</f>
        <v>-3</v>
      </c>
      <c r="O19" s="59">
        <f>+'Sch 194'!F22</f>
        <v>-33</v>
      </c>
      <c r="P19" s="59">
        <f>SUM(E19:O19)</f>
        <v>-23</v>
      </c>
      <c r="Q19" s="59">
        <f>SUM(P19,D19)</f>
        <v>245.01499999999999</v>
      </c>
      <c r="R19" s="62"/>
      <c r="S19" s="323">
        <f>+'Exhibit No.__(JAP-Prof-Prop)'!N29</f>
        <v>279.51</v>
      </c>
      <c r="T19" s="59">
        <f t="shared" si="17"/>
        <v>-23</v>
      </c>
      <c r="U19" s="59">
        <f>-E19</f>
        <v>0</v>
      </c>
      <c r="V19" s="59">
        <f>-K19</f>
        <v>-6</v>
      </c>
      <c r="W19" s="323">
        <f t="shared" si="18"/>
        <v>6</v>
      </c>
      <c r="X19" s="323">
        <f>SUM(U19:W19)</f>
        <v>0</v>
      </c>
      <c r="Y19" s="59">
        <f>SUM(S19,T19,X19)</f>
        <v>256.51</v>
      </c>
      <c r="Z19" s="59">
        <f>+S19-D19</f>
        <v>11.495000000000005</v>
      </c>
      <c r="AA19" s="59">
        <f>+Y19-Q19</f>
        <v>11.495000000000005</v>
      </c>
      <c r="AB19" s="492">
        <f>+Z19/D19</f>
        <v>4.288939051918738E-2</v>
      </c>
      <c r="AC19" s="492">
        <f>+AA19/Q19</f>
        <v>4.6915494969695756E-2</v>
      </c>
      <c r="AD19" s="11"/>
      <c r="AE19" s="11"/>
      <c r="AF19" s="11"/>
      <c r="AG19" s="11"/>
      <c r="AI19" s="201"/>
    </row>
    <row r="20" spans="1:35">
      <c r="A20" s="3">
        <f t="shared" si="8"/>
        <v>12</v>
      </c>
      <c r="B20" s="3">
        <v>43</v>
      </c>
      <c r="C20" s="334">
        <f>+'Exhibit No.__(JAP-Prof-Prop)'!I30</f>
        <v>123102.08801083639</v>
      </c>
      <c r="D20" s="323">
        <f>+'Exhibit No.__(JAP-Prof-Prop)'!L30</f>
        <v>10721.509</v>
      </c>
      <c r="E20" s="59">
        <f>+'Sch 95'!F23</f>
        <v>12</v>
      </c>
      <c r="F20" s="59">
        <f>+'Sch 95a'!F23</f>
        <v>-159</v>
      </c>
      <c r="G20" s="59">
        <f>+'Sch 120'!F23</f>
        <v>322</v>
      </c>
      <c r="H20" s="59">
        <f>+'Sch 129'!F23</f>
        <v>96</v>
      </c>
      <c r="I20" s="323">
        <f>+'Sch 137'!F23</f>
        <v>-6</v>
      </c>
      <c r="J20" s="59">
        <f>+'Sch 140'!F23</f>
        <v>347</v>
      </c>
      <c r="K20" s="59">
        <f>+'Sch 141'!F23</f>
        <v>162</v>
      </c>
      <c r="L20" s="323">
        <f>+'Sch 141x'!F23</f>
        <v>-162</v>
      </c>
      <c r="M20" s="323">
        <f>+'Sch 141y'!F23</f>
        <v>-140</v>
      </c>
      <c r="N20" s="323">
        <f>+'Sch 142'!H23</f>
        <v>-81</v>
      </c>
      <c r="O20" s="59">
        <f>+'Sch 194'!F23</f>
        <v>0</v>
      </c>
      <c r="P20" s="59">
        <f>SUM(E20:O20)</f>
        <v>391</v>
      </c>
      <c r="Q20" s="59">
        <f>SUM(P20,D20)</f>
        <v>11112.509</v>
      </c>
      <c r="R20" s="62"/>
      <c r="S20" s="323">
        <f>+'Exhibit No.__(JAP-Prof-Prop)'!N30</f>
        <v>11182.475</v>
      </c>
      <c r="T20" s="59">
        <f t="shared" si="17"/>
        <v>391</v>
      </c>
      <c r="U20" s="59">
        <f>-E20</f>
        <v>-12</v>
      </c>
      <c r="V20" s="59">
        <f>-K20</f>
        <v>-162</v>
      </c>
      <c r="W20" s="323">
        <f t="shared" si="18"/>
        <v>162</v>
      </c>
      <c r="X20" s="323">
        <f>SUM(U20:W20)</f>
        <v>-12</v>
      </c>
      <c r="Y20" s="59">
        <f>SUM(S20,T20,X20)</f>
        <v>11561.475</v>
      </c>
      <c r="Z20" s="59">
        <f>+S20-D20</f>
        <v>460.96600000000035</v>
      </c>
      <c r="AA20" s="59">
        <f>+Y20-Q20</f>
        <v>448.96600000000035</v>
      </c>
      <c r="AB20" s="492">
        <f>+Z20/D20</f>
        <v>4.2994507582841214E-2</v>
      </c>
      <c r="AC20" s="492">
        <f>+AA20/Q20</f>
        <v>4.0401857042365534E-2</v>
      </c>
      <c r="AD20" s="11"/>
      <c r="AE20" s="11"/>
      <c r="AF20" s="11"/>
      <c r="AG20" s="11"/>
      <c r="AI20" s="201"/>
    </row>
    <row r="21" spans="1:35">
      <c r="A21" s="340">
        <f t="shared" si="8"/>
        <v>13</v>
      </c>
      <c r="B21" s="2" t="s">
        <v>217</v>
      </c>
      <c r="C21" s="13">
        <f t="shared" ref="C21:Q21" si="19">SUM(C18:C20)</f>
        <v>1535141.0971811423</v>
      </c>
      <c r="D21" s="60">
        <f t="shared" si="19"/>
        <v>124223.67</v>
      </c>
      <c r="E21" s="60">
        <f t="shared" si="19"/>
        <v>181</v>
      </c>
      <c r="F21" s="60">
        <f t="shared" si="19"/>
        <v>-2336</v>
      </c>
      <c r="G21" s="60">
        <f t="shared" si="19"/>
        <v>4770</v>
      </c>
      <c r="H21" s="60">
        <f t="shared" si="19"/>
        <v>1089</v>
      </c>
      <c r="I21" s="324">
        <f t="shared" ref="I21" si="20">SUM(I18:I20)</f>
        <v>-89</v>
      </c>
      <c r="J21" s="60">
        <f t="shared" si="19"/>
        <v>3140</v>
      </c>
      <c r="K21" s="60">
        <f t="shared" si="19"/>
        <v>1277</v>
      </c>
      <c r="L21" s="324">
        <f t="shared" ref="L21:M21" si="21">SUM(L18:L20)</f>
        <v>-1277</v>
      </c>
      <c r="M21" s="324">
        <f t="shared" si="21"/>
        <v>-1287</v>
      </c>
      <c r="N21" s="60">
        <f t="shared" si="19"/>
        <v>113</v>
      </c>
      <c r="O21" s="60">
        <f t="shared" si="19"/>
        <v>-260</v>
      </c>
      <c r="P21" s="60">
        <f t="shared" si="19"/>
        <v>5321</v>
      </c>
      <c r="Q21" s="60">
        <f t="shared" si="19"/>
        <v>129544.67</v>
      </c>
      <c r="R21" s="62"/>
      <c r="S21" s="60">
        <f t="shared" ref="S21:AA21" si="22">SUM(S18:S20)</f>
        <v>127943.012</v>
      </c>
      <c r="T21" s="60">
        <f t="shared" si="22"/>
        <v>5321</v>
      </c>
      <c r="U21" s="60">
        <f t="shared" si="22"/>
        <v>-181</v>
      </c>
      <c r="V21" s="60">
        <f t="shared" si="22"/>
        <v>-1277</v>
      </c>
      <c r="W21" s="324">
        <f t="shared" ref="W21" si="23">SUM(W18:W20)</f>
        <v>1277</v>
      </c>
      <c r="X21" s="324">
        <f t="shared" ref="X21" si="24">SUM(X18:X20)</f>
        <v>-181</v>
      </c>
      <c r="Y21" s="60">
        <f t="shared" si="22"/>
        <v>133083.01199999999</v>
      </c>
      <c r="Z21" s="60">
        <f t="shared" si="22"/>
        <v>3719.3420000000087</v>
      </c>
      <c r="AA21" s="60">
        <f t="shared" si="22"/>
        <v>3538.3420000000087</v>
      </c>
      <c r="AB21" s="493">
        <f>+Z21/D21</f>
        <v>2.994068682723678E-2</v>
      </c>
      <c r="AC21" s="493">
        <f>+AA21/Q21</f>
        <v>2.7313682608477899E-2</v>
      </c>
      <c r="AD21" s="11"/>
      <c r="AE21" s="11"/>
      <c r="AF21" s="11"/>
      <c r="AG21" s="11"/>
      <c r="AI21" s="201"/>
    </row>
    <row r="22" spans="1:35">
      <c r="A22" s="340">
        <f t="shared" si="8"/>
        <v>14</v>
      </c>
      <c r="B22" s="3"/>
      <c r="C22" s="9"/>
      <c r="D22" s="59"/>
      <c r="E22" s="59"/>
      <c r="F22" s="59"/>
      <c r="G22" s="59"/>
      <c r="H22" s="59"/>
      <c r="I22" s="323"/>
      <c r="J22" s="59"/>
      <c r="K22" s="59"/>
      <c r="L22" s="323"/>
      <c r="M22" s="323"/>
      <c r="N22" s="59"/>
      <c r="O22" s="59"/>
      <c r="P22" s="59"/>
      <c r="Q22" s="59"/>
      <c r="R22" s="62"/>
      <c r="S22" s="59"/>
      <c r="T22" s="59"/>
      <c r="U22" s="59"/>
      <c r="V22" s="59"/>
      <c r="W22" s="323"/>
      <c r="X22" s="323"/>
      <c r="Y22" s="59"/>
      <c r="Z22" s="59"/>
      <c r="AA22" s="59"/>
      <c r="AB22" s="492"/>
      <c r="AC22" s="492"/>
      <c r="AI22" s="201"/>
    </row>
    <row r="23" spans="1:35">
      <c r="A23" s="340">
        <f t="shared" si="8"/>
        <v>15</v>
      </c>
      <c r="B23" s="3">
        <v>46</v>
      </c>
      <c r="C23" s="334">
        <f>+'Exhibit No.__(JAP-Prof-Prop)'!I34</f>
        <v>78351.491999999998</v>
      </c>
      <c r="D23" s="323">
        <f>+'Exhibit No.__(JAP-Prof-Prop)'!L34</f>
        <v>5190.4359999999997</v>
      </c>
      <c r="E23" s="59">
        <f>+'Sch 95'!F26</f>
        <v>41</v>
      </c>
      <c r="F23" s="59">
        <f>+'Sch 95a'!F26</f>
        <v>-78</v>
      </c>
      <c r="G23" s="59">
        <f>+'Sch 120'!F26</f>
        <v>161</v>
      </c>
      <c r="H23" s="59">
        <f>+'Sch 129'!F26</f>
        <v>46</v>
      </c>
      <c r="I23" s="323">
        <f>+'Sch 137'!F26</f>
        <v>-3</v>
      </c>
      <c r="J23" s="59">
        <f>+'Sch 140'!F26</f>
        <v>122</v>
      </c>
      <c r="K23" s="59">
        <f>+'Sch 141'!F26</f>
        <v>52</v>
      </c>
      <c r="L23" s="323">
        <f>+'Sch 141x'!F26</f>
        <v>-52</v>
      </c>
      <c r="M23" s="323">
        <f>+'Sch 141y'!F26</f>
        <v>-51</v>
      </c>
      <c r="N23" s="59">
        <f>+'Sch 142'!H26</f>
        <v>14</v>
      </c>
      <c r="O23" s="59">
        <f>+'Sch 194'!F28</f>
        <v>0</v>
      </c>
      <c r="P23" s="59">
        <f>SUM(E23:O23)</f>
        <v>252</v>
      </c>
      <c r="Q23" s="59">
        <f>SUM(P23,D23)</f>
        <v>5442.4359999999997</v>
      </c>
      <c r="R23" s="62"/>
      <c r="S23" s="59">
        <f>+'Exhibit No.__(JAP-Prof-Prop)'!N34</f>
        <v>5299.2759999999998</v>
      </c>
      <c r="T23" s="59">
        <f t="shared" ref="T23:T24" si="25">+P23</f>
        <v>252</v>
      </c>
      <c r="U23" s="59">
        <f>-E23</f>
        <v>-41</v>
      </c>
      <c r="V23" s="59">
        <f>-K23</f>
        <v>-52</v>
      </c>
      <c r="W23" s="323">
        <f t="shared" ref="W23:W24" si="26">-L23</f>
        <v>52</v>
      </c>
      <c r="X23" s="323">
        <f>SUM(U23:W23)</f>
        <v>-41</v>
      </c>
      <c r="Y23" s="59">
        <f>SUM(S23,T23,X23)</f>
        <v>5510.2759999999998</v>
      </c>
      <c r="Z23" s="59">
        <f>+S23-D23</f>
        <v>108.84000000000015</v>
      </c>
      <c r="AA23" s="59">
        <f>+Y23-Q23</f>
        <v>67.840000000000146</v>
      </c>
      <c r="AB23" s="492">
        <f>+Z23/D23</f>
        <v>2.0969336680001477E-2</v>
      </c>
      <c r="AC23" s="492">
        <f>+AA23/Q23</f>
        <v>1.2465006478716543E-2</v>
      </c>
      <c r="AD23" s="11"/>
      <c r="AE23" s="11"/>
      <c r="AF23" s="11"/>
      <c r="AG23" s="11"/>
      <c r="AI23" s="201"/>
    </row>
    <row r="24" spans="1:35">
      <c r="A24" s="3">
        <f t="shared" si="8"/>
        <v>16</v>
      </c>
      <c r="B24" s="3">
        <v>49</v>
      </c>
      <c r="C24" s="334">
        <f>+'Exhibit No.__(JAP-Prof-Prop)'!I35</f>
        <v>542259.32140199991</v>
      </c>
      <c r="D24" s="323">
        <f>+'Exhibit No.__(JAP-Prof-Prop)'!L35</f>
        <v>34937.811999999998</v>
      </c>
      <c r="E24" s="59">
        <f>+'Sch 95'!F27</f>
        <v>302</v>
      </c>
      <c r="F24" s="59">
        <f>+'Sch 95a'!F27</f>
        <v>-820</v>
      </c>
      <c r="G24" s="59">
        <f>+'Sch 120'!F27</f>
        <v>1670</v>
      </c>
      <c r="H24" s="59">
        <f>+'Sch 129'!F27</f>
        <v>311</v>
      </c>
      <c r="I24" s="323">
        <f>+'Sch 137'!F27</f>
        <v>-31</v>
      </c>
      <c r="J24" s="59">
        <f>+'Sch 140'!F27</f>
        <v>845</v>
      </c>
      <c r="K24" s="59">
        <f>+'Sch 141'!F27</f>
        <v>342</v>
      </c>
      <c r="L24" s="323">
        <f>+'Sch 141x'!F27</f>
        <v>-342</v>
      </c>
      <c r="M24" s="323">
        <f>+'Sch 141y'!F27</f>
        <v>-354</v>
      </c>
      <c r="N24" s="323">
        <f>+'Sch 142'!H27</f>
        <v>100</v>
      </c>
      <c r="O24" s="59">
        <f>+'Sch 194'!F29</f>
        <v>0</v>
      </c>
      <c r="P24" s="59">
        <f>SUM(E24:O24)</f>
        <v>2023</v>
      </c>
      <c r="Q24" s="59">
        <f>SUM(P24,D24)</f>
        <v>36960.811999999998</v>
      </c>
      <c r="R24" s="62"/>
      <c r="S24" s="323">
        <f>+'Exhibit No.__(JAP-Prof-Prop)'!N35</f>
        <v>35682.247000000003</v>
      </c>
      <c r="T24" s="59">
        <f t="shared" si="25"/>
        <v>2023</v>
      </c>
      <c r="U24" s="59">
        <f>-E24</f>
        <v>-302</v>
      </c>
      <c r="V24" s="59">
        <f>-K24</f>
        <v>-342</v>
      </c>
      <c r="W24" s="323">
        <f t="shared" si="26"/>
        <v>342</v>
      </c>
      <c r="X24" s="323">
        <f>SUM(U24:W24)</f>
        <v>-302</v>
      </c>
      <c r="Y24" s="59">
        <f>SUM(S24,T24,X24)</f>
        <v>37403.247000000003</v>
      </c>
      <c r="Z24" s="59">
        <f>+S24-D24</f>
        <v>744.43500000000495</v>
      </c>
      <c r="AA24" s="59">
        <f>+Y24-Q24</f>
        <v>442.43500000000495</v>
      </c>
      <c r="AB24" s="492">
        <f>+Z24/D24</f>
        <v>2.13074304710325E-2</v>
      </c>
      <c r="AC24" s="492">
        <f>+AA24/Q24</f>
        <v>1.1970380953751908E-2</v>
      </c>
      <c r="AD24" s="11"/>
      <c r="AE24" s="11"/>
      <c r="AF24" s="11"/>
      <c r="AG24" s="11"/>
      <c r="AI24" s="201"/>
    </row>
    <row r="25" spans="1:35">
      <c r="A25" s="3">
        <f t="shared" si="8"/>
        <v>17</v>
      </c>
      <c r="B25" s="3" t="s">
        <v>16</v>
      </c>
      <c r="C25" s="13">
        <f>SUM(C23:C24)</f>
        <v>620610.81340199988</v>
      </c>
      <c r="D25" s="60">
        <f>SUM(D23:D24)</f>
        <v>40128.248</v>
      </c>
      <c r="E25" s="60">
        <f t="shared" ref="E25:H25" si="27">SUM(E23:E24)</f>
        <v>343</v>
      </c>
      <c r="F25" s="60">
        <f t="shared" si="27"/>
        <v>-898</v>
      </c>
      <c r="G25" s="60">
        <f>SUM(G23:G24)</f>
        <v>1831</v>
      </c>
      <c r="H25" s="60">
        <f t="shared" si="27"/>
        <v>357</v>
      </c>
      <c r="I25" s="324">
        <f t="shared" ref="I25" si="28">SUM(I23:I24)</f>
        <v>-34</v>
      </c>
      <c r="J25" s="60">
        <f>SUM(J23:J24)</f>
        <v>967</v>
      </c>
      <c r="K25" s="60">
        <f t="shared" ref="K25:N25" si="29">SUM(K23:K24)</f>
        <v>394</v>
      </c>
      <c r="L25" s="324">
        <f t="shared" ref="L25:M25" si="30">SUM(L23:L24)</f>
        <v>-394</v>
      </c>
      <c r="M25" s="324">
        <f t="shared" si="30"/>
        <v>-405</v>
      </c>
      <c r="N25" s="60">
        <f t="shared" si="29"/>
        <v>114</v>
      </c>
      <c r="O25" s="60">
        <f t="shared" ref="O25:Y25" si="31">SUM(O23:O24)</f>
        <v>0</v>
      </c>
      <c r="P25" s="60">
        <f t="shared" ref="P25" si="32">SUM(P23:P24)</f>
        <v>2275</v>
      </c>
      <c r="Q25" s="60">
        <f t="shared" si="31"/>
        <v>42403.248</v>
      </c>
      <c r="R25" s="62"/>
      <c r="S25" s="60">
        <f>SUM(S23:S24)</f>
        <v>40981.523000000001</v>
      </c>
      <c r="T25" s="60">
        <f t="shared" ref="T25" si="33">SUM(T23:T24)</f>
        <v>2275</v>
      </c>
      <c r="U25" s="60">
        <f t="shared" si="31"/>
        <v>-343</v>
      </c>
      <c r="V25" s="60">
        <f t="shared" si="31"/>
        <v>-394</v>
      </c>
      <c r="W25" s="324">
        <f t="shared" ref="W25" si="34">SUM(W23:W24)</f>
        <v>394</v>
      </c>
      <c r="X25" s="324">
        <f t="shared" ref="X25" si="35">SUM(X23:X24)</f>
        <v>-343</v>
      </c>
      <c r="Y25" s="60">
        <f t="shared" si="31"/>
        <v>42913.523000000001</v>
      </c>
      <c r="Z25" s="60">
        <f t="shared" ref="Z25:AA25" si="36">SUM(Z23:Z24)</f>
        <v>853.27500000000509</v>
      </c>
      <c r="AA25" s="60">
        <f t="shared" si="36"/>
        <v>510.27500000000509</v>
      </c>
      <c r="AB25" s="493">
        <f>+Z25/D25</f>
        <v>2.1263699327217205E-2</v>
      </c>
      <c r="AC25" s="493">
        <f>+AA25/Q25</f>
        <v>1.2033865896310704E-2</v>
      </c>
      <c r="AD25" s="11"/>
      <c r="AE25" s="11"/>
      <c r="AF25" s="11"/>
      <c r="AG25" s="11"/>
      <c r="AI25" s="201"/>
    </row>
    <row r="26" spans="1:35">
      <c r="A26" s="3">
        <f t="shared" si="8"/>
        <v>18</v>
      </c>
      <c r="B26" s="3"/>
      <c r="C26" s="9"/>
      <c r="D26" s="59"/>
      <c r="E26" s="59"/>
      <c r="F26" s="59"/>
      <c r="G26" s="59"/>
      <c r="H26" s="59"/>
      <c r="I26" s="323"/>
      <c r="J26" s="59"/>
      <c r="K26" s="59"/>
      <c r="L26" s="323"/>
      <c r="M26" s="323"/>
      <c r="N26" s="59"/>
      <c r="O26" s="59"/>
      <c r="P26" s="59"/>
      <c r="Q26" s="59"/>
      <c r="R26" s="62"/>
      <c r="S26" s="59"/>
      <c r="T26" s="59"/>
      <c r="U26" s="59"/>
      <c r="V26" s="59"/>
      <c r="W26" s="323"/>
      <c r="X26" s="323"/>
      <c r="Y26" s="59"/>
      <c r="Z26" s="59"/>
      <c r="AA26" s="59"/>
      <c r="AB26" s="492"/>
      <c r="AC26" s="492"/>
      <c r="AI26" s="201"/>
    </row>
    <row r="27" spans="1:35">
      <c r="A27" s="3">
        <f t="shared" si="8"/>
        <v>19</v>
      </c>
      <c r="B27" s="3" t="s">
        <v>17</v>
      </c>
      <c r="C27" s="13">
        <f>+'Exhibit No.__(JAP-Prof-Prop)'!I43</f>
        <v>69969.105296000009</v>
      </c>
      <c r="D27" s="60">
        <f>+'Exhibit No.__(JAP-Prof-Prop)'!L43</f>
        <v>16457.504000000001</v>
      </c>
      <c r="E27" s="60">
        <f>+'Sch 95'!F30</f>
        <v>49</v>
      </c>
      <c r="F27" s="60">
        <f>+'Sch 95a'!F30</f>
        <v>-138</v>
      </c>
      <c r="G27" s="60">
        <f>+'Sch 120'!F30</f>
        <v>281</v>
      </c>
      <c r="H27" s="60">
        <f>+'Sch 129'!F30</f>
        <v>137</v>
      </c>
      <c r="I27" s="324">
        <f>+'Sch 137'!F30</f>
        <v>-5</v>
      </c>
      <c r="J27" s="60">
        <f>+'Sch 140'!F30</f>
        <v>641</v>
      </c>
      <c r="K27" s="60">
        <f>+'Sch 141'!F30</f>
        <v>245</v>
      </c>
      <c r="L27" s="324">
        <f>+'Sch 141x'!F30</f>
        <v>-245</v>
      </c>
      <c r="M27" s="324">
        <f>+'Sch 141y'!F30</f>
        <v>-251</v>
      </c>
      <c r="N27" s="60">
        <f>+'Sch 142'!H30</f>
        <v>0</v>
      </c>
      <c r="O27" s="60">
        <f>+'Sch 194'!F32</f>
        <v>-44</v>
      </c>
      <c r="P27" s="60">
        <f>SUM(E27:O27)</f>
        <v>670</v>
      </c>
      <c r="Q27" s="60">
        <f>SUM(P27,D27)</f>
        <v>17127.504000000001</v>
      </c>
      <c r="R27" s="62"/>
      <c r="S27" s="60">
        <f>+'Exhibit No.__(JAP-Prof-Prop)'!N43</f>
        <v>18043.696</v>
      </c>
      <c r="T27" s="60">
        <f>+P27</f>
        <v>670</v>
      </c>
      <c r="U27" s="60">
        <f>-E27</f>
        <v>-49</v>
      </c>
      <c r="V27" s="60">
        <f>-K27</f>
        <v>-245</v>
      </c>
      <c r="W27" s="324">
        <f t="shared" ref="W27" si="37">-L27</f>
        <v>245</v>
      </c>
      <c r="X27" s="324">
        <f>SUM(U27:W27)</f>
        <v>-49</v>
      </c>
      <c r="Y27" s="60">
        <f>SUM(S27,T27,X27)</f>
        <v>18664.696</v>
      </c>
      <c r="Z27" s="60">
        <f>+S27-D27</f>
        <v>1586.1919999999991</v>
      </c>
      <c r="AA27" s="60">
        <f>+Y27-Q27</f>
        <v>1537.1919999999991</v>
      </c>
      <c r="AB27" s="493">
        <f>+Z27/D27</f>
        <v>9.6381079415201659E-2</v>
      </c>
      <c r="AC27" s="493">
        <f>+AA27/Q27</f>
        <v>8.9749913355734678E-2</v>
      </c>
      <c r="AD27" s="11"/>
      <c r="AE27" s="11"/>
      <c r="AF27" s="11"/>
      <c r="AG27" s="11"/>
      <c r="AI27" s="201"/>
    </row>
    <row r="28" spans="1:35">
      <c r="A28" s="3">
        <f t="shared" si="8"/>
        <v>20</v>
      </c>
      <c r="B28" s="3"/>
      <c r="C28" s="9"/>
      <c r="D28" s="59"/>
      <c r="E28" s="59"/>
      <c r="F28" s="59"/>
      <c r="G28" s="59"/>
      <c r="H28" s="59"/>
      <c r="I28" s="323"/>
      <c r="J28" s="59"/>
      <c r="K28" s="59"/>
      <c r="L28" s="323"/>
      <c r="M28" s="323"/>
      <c r="N28" s="59"/>
      <c r="O28" s="59"/>
      <c r="P28" s="59"/>
      <c r="Q28" s="59"/>
      <c r="R28" s="62"/>
      <c r="S28" s="59"/>
      <c r="T28" s="59"/>
      <c r="U28" s="59"/>
      <c r="V28" s="59"/>
      <c r="W28" s="323"/>
      <c r="X28" s="323"/>
      <c r="Y28" s="59"/>
      <c r="Z28" s="59"/>
      <c r="AA28" s="59"/>
      <c r="AB28" s="492"/>
      <c r="AC28" s="492"/>
      <c r="AI28" s="201"/>
    </row>
    <row r="29" spans="1:35">
      <c r="A29" s="466">
        <f t="shared" si="8"/>
        <v>21</v>
      </c>
      <c r="B29" s="467" t="s">
        <v>18</v>
      </c>
      <c r="C29" s="334">
        <f>+'Exhibit No.__(JAP-Prof-Prop)'!I39</f>
        <v>2028727.0061700002</v>
      </c>
      <c r="D29" s="323">
        <f>+'Exhibit No.__(JAP-Prof-Prop)'!L39</f>
        <v>10114.356</v>
      </c>
      <c r="E29" s="323">
        <f>+'Sch 95'!F32</f>
        <v>0</v>
      </c>
      <c r="F29" s="323">
        <f>+'Sch 95a'!F32</f>
        <v>0</v>
      </c>
      <c r="G29" s="323">
        <f>+'Sch 120'!F32</f>
        <v>2124</v>
      </c>
      <c r="H29" s="323">
        <f>+'Sch 129'!F32</f>
        <v>67</v>
      </c>
      <c r="I29" s="323">
        <f>+'Sch 137'!F32</f>
        <v>0</v>
      </c>
      <c r="J29" s="323">
        <f>+'Sch 140'!F32</f>
        <v>51</v>
      </c>
      <c r="K29" s="323">
        <f>+'Sch 141'!F32</f>
        <v>8</v>
      </c>
      <c r="L29" s="323">
        <f>+'Sch 141x'!F32</f>
        <v>-8</v>
      </c>
      <c r="M29" s="323">
        <f>+'Sch 141y'!F32</f>
        <v>-296</v>
      </c>
      <c r="N29" s="323">
        <f>+'Sch 142'!H32</f>
        <v>0</v>
      </c>
      <c r="O29" s="323">
        <f>+'Sch 194'!F34</f>
        <v>0</v>
      </c>
      <c r="P29" s="323">
        <f>SUM(E29:O29)</f>
        <v>1946</v>
      </c>
      <c r="Q29" s="323">
        <f>SUM(P29,D29)</f>
        <v>12060.356</v>
      </c>
      <c r="R29" s="200"/>
      <c r="S29" s="323">
        <f>+'Exhibit No.__(JAP-Prof-Prop)'!N39</f>
        <v>10188.757</v>
      </c>
      <c r="T29" s="323">
        <f t="shared" ref="T29:T30" si="38">+P29</f>
        <v>1946</v>
      </c>
      <c r="U29" s="323">
        <f>-E29</f>
        <v>0</v>
      </c>
      <c r="V29" s="323">
        <f>-K29</f>
        <v>-8</v>
      </c>
      <c r="W29" s="323">
        <f t="shared" ref="W29:W30" si="39">-L29</f>
        <v>8</v>
      </c>
      <c r="X29" s="323">
        <f>SUM(U29:W29)</f>
        <v>0</v>
      </c>
      <c r="Y29" s="323">
        <f>SUM(S29,T29,X29)</f>
        <v>12134.757</v>
      </c>
      <c r="Z29" s="323">
        <f>+S29-D29</f>
        <v>74.40099999999984</v>
      </c>
      <c r="AA29" s="323">
        <f>+Y29-Q29</f>
        <v>74.40099999999984</v>
      </c>
      <c r="AB29" s="492">
        <f>+Z29/D29</f>
        <v>7.3559799556195014E-3</v>
      </c>
      <c r="AC29" s="492">
        <f>+AA29/Q29</f>
        <v>6.1690550428196182E-3</v>
      </c>
      <c r="AE29" s="498"/>
      <c r="AF29" s="498"/>
      <c r="AG29" s="499"/>
      <c r="AI29" s="201"/>
    </row>
    <row r="30" spans="1:35">
      <c r="A30" s="466">
        <f t="shared" si="8"/>
        <v>22</v>
      </c>
      <c r="B30" s="467" t="s">
        <v>508</v>
      </c>
      <c r="C30" s="334">
        <f>+'Exhibit No.__(JAP-Prof-Prop)'!I40</f>
        <v>335987.76400000002</v>
      </c>
      <c r="D30" s="323">
        <f>+'Exhibit No.__(JAP-Prof-Prop)'!L40</f>
        <v>5493.9070000000002</v>
      </c>
      <c r="E30" s="323">
        <f>+'Sch 95'!F33</f>
        <v>0</v>
      </c>
      <c r="F30" s="323">
        <f>+'Sch 95a'!F33</f>
        <v>0</v>
      </c>
      <c r="G30" s="323">
        <f>+'Sch 120'!F33</f>
        <v>1207</v>
      </c>
      <c r="H30" s="323">
        <f>+'Sch 129'!F33</f>
        <v>218</v>
      </c>
      <c r="I30" s="323">
        <f>+'Sch 137'!F33</f>
        <v>0</v>
      </c>
      <c r="J30" s="323">
        <f>+'Sch 140'!F33</f>
        <v>734</v>
      </c>
      <c r="K30" s="323">
        <f>+'Sch 141'!F33</f>
        <v>204</v>
      </c>
      <c r="L30" s="323">
        <f>+'Sch 141x'!F33</f>
        <v>-204</v>
      </c>
      <c r="M30" s="323">
        <f>+'Sch 141y'!F33</f>
        <v>-288</v>
      </c>
      <c r="N30" s="323">
        <f>+'Sch 142'!H33</f>
        <v>1405</v>
      </c>
      <c r="O30" s="323">
        <f>+'Sch 194'!F35</f>
        <v>0</v>
      </c>
      <c r="P30" s="323">
        <f>SUM(E30:O30)</f>
        <v>3276</v>
      </c>
      <c r="Q30" s="323">
        <f>SUM(P30,D30)</f>
        <v>8769.9069999999992</v>
      </c>
      <c r="R30" s="200"/>
      <c r="S30" s="323">
        <f>+'Exhibit No.__(JAP-Prof-Prop)'!N40</f>
        <v>4408.4449400000003</v>
      </c>
      <c r="T30" s="323">
        <f t="shared" si="38"/>
        <v>3276</v>
      </c>
      <c r="U30" s="323">
        <f>-E30</f>
        <v>0</v>
      </c>
      <c r="V30" s="323">
        <f>-K30</f>
        <v>-204</v>
      </c>
      <c r="W30" s="323">
        <f t="shared" si="39"/>
        <v>204</v>
      </c>
      <c r="X30" s="323">
        <f>SUM(U30:W30)</f>
        <v>0</v>
      </c>
      <c r="Y30" s="323">
        <f>SUM(S30,T30,X30)</f>
        <v>7684.4449400000003</v>
      </c>
      <c r="Z30" s="323">
        <f>+S30-D30</f>
        <v>-1085.4620599999998</v>
      </c>
      <c r="AA30" s="323">
        <f>+Y30-Q30</f>
        <v>-1085.4620599999989</v>
      </c>
      <c r="AB30" s="492">
        <f>+Z30/D30</f>
        <v>-0.19757561604155291</v>
      </c>
      <c r="AC30" s="492">
        <f>+AA30/Q30</f>
        <v>-0.12377121673012029</v>
      </c>
      <c r="AI30" s="201"/>
    </row>
    <row r="31" spans="1:35">
      <c r="A31" s="466">
        <f t="shared" si="8"/>
        <v>23</v>
      </c>
      <c r="B31" s="500" t="s">
        <v>509</v>
      </c>
      <c r="C31" s="322">
        <f>SUM(C29:C30)</f>
        <v>2364714.7701700004</v>
      </c>
      <c r="D31" s="324">
        <f>SUM(D29:D30)</f>
        <v>15608.262999999999</v>
      </c>
      <c r="E31" s="324">
        <f t="shared" ref="E31:H31" si="40">SUM(E29:E30)</f>
        <v>0</v>
      </c>
      <c r="F31" s="324">
        <f t="shared" si="40"/>
        <v>0</v>
      </c>
      <c r="G31" s="324">
        <f>SUM(G29:G30)</f>
        <v>3331</v>
      </c>
      <c r="H31" s="324">
        <f t="shared" si="40"/>
        <v>285</v>
      </c>
      <c r="I31" s="324">
        <f t="shared" ref="I31" si="41">SUM(I29:I30)</f>
        <v>0</v>
      </c>
      <c r="J31" s="324">
        <f>SUM(J29:J30)</f>
        <v>785</v>
      </c>
      <c r="K31" s="324">
        <f t="shared" ref="K31:Q31" si="42">SUM(K29:K30)</f>
        <v>212</v>
      </c>
      <c r="L31" s="324">
        <f t="shared" si="42"/>
        <v>-212</v>
      </c>
      <c r="M31" s="324">
        <f t="shared" si="42"/>
        <v>-584</v>
      </c>
      <c r="N31" s="324">
        <f t="shared" si="42"/>
        <v>1405</v>
      </c>
      <c r="O31" s="324">
        <f t="shared" si="42"/>
        <v>0</v>
      </c>
      <c r="P31" s="324">
        <f t="shared" si="42"/>
        <v>5222</v>
      </c>
      <c r="Q31" s="324">
        <f t="shared" si="42"/>
        <v>20830.262999999999</v>
      </c>
      <c r="R31" s="62"/>
      <c r="S31" s="324">
        <f>SUM(S29:S30)</f>
        <v>14597.201939999999</v>
      </c>
      <c r="T31" s="324">
        <f t="shared" ref="T31:W31" si="43">SUM(T29:T30)</f>
        <v>5222</v>
      </c>
      <c r="U31" s="324">
        <f t="shared" si="43"/>
        <v>0</v>
      </c>
      <c r="V31" s="324">
        <f t="shared" si="43"/>
        <v>-212</v>
      </c>
      <c r="W31" s="324">
        <f t="shared" si="43"/>
        <v>212</v>
      </c>
      <c r="X31" s="324">
        <f t="shared" ref="X31:AA31" si="44">SUM(X29:X30)</f>
        <v>0</v>
      </c>
      <c r="Y31" s="324">
        <f t="shared" si="44"/>
        <v>19819.201939999999</v>
      </c>
      <c r="Z31" s="324">
        <f t="shared" si="44"/>
        <v>-1011.06106</v>
      </c>
      <c r="AA31" s="324">
        <f t="shared" si="44"/>
        <v>-1011.0610599999991</v>
      </c>
      <c r="AB31" s="493">
        <f>+Z31/D31</f>
        <v>-6.4777295205750957E-2</v>
      </c>
      <c r="AC31" s="493">
        <f>+AA31/Q31</f>
        <v>-4.8538084228701248E-2</v>
      </c>
      <c r="AD31" s="11"/>
      <c r="AE31" s="11"/>
      <c r="AF31" s="11"/>
      <c r="AG31" s="11"/>
      <c r="AI31" s="201"/>
    </row>
    <row r="32" spans="1:35">
      <c r="A32" s="466">
        <f t="shared" si="8"/>
        <v>24</v>
      </c>
      <c r="B32" s="467"/>
      <c r="C32" s="469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200"/>
      <c r="S32" s="470"/>
      <c r="T32" s="470"/>
      <c r="U32" s="470"/>
      <c r="V32" s="470"/>
      <c r="W32" s="470"/>
      <c r="X32" s="470"/>
      <c r="Y32" s="470"/>
      <c r="Z32" s="470"/>
      <c r="AA32" s="470"/>
      <c r="AB32" s="494"/>
      <c r="AC32" s="494"/>
      <c r="AD32" s="11"/>
      <c r="AE32" s="11"/>
      <c r="AF32" s="11"/>
      <c r="AG32" s="11"/>
      <c r="AI32" s="201"/>
    </row>
    <row r="33" spans="1:35" ht="13.5" thickBot="1">
      <c r="A33" s="466">
        <f t="shared" si="8"/>
        <v>25</v>
      </c>
      <c r="B33" s="3" t="s">
        <v>19</v>
      </c>
      <c r="C33" s="14">
        <f t="shared" ref="C33:Q33" si="45">SUM(C10,C16,C21,C25,C27,C31)</f>
        <v>22893265.698041596</v>
      </c>
      <c r="D33" s="61">
        <f t="shared" si="45"/>
        <v>2000257.6449999998</v>
      </c>
      <c r="E33" s="151">
        <f t="shared" si="45"/>
        <v>3124</v>
      </c>
      <c r="F33" s="151">
        <f t="shared" si="45"/>
        <v>-36216</v>
      </c>
      <c r="G33" s="151">
        <f t="shared" si="45"/>
        <v>77130</v>
      </c>
      <c r="H33" s="151">
        <f t="shared" si="45"/>
        <v>17506</v>
      </c>
      <c r="I33" s="151">
        <f t="shared" si="45"/>
        <v>-1382</v>
      </c>
      <c r="J33" s="151">
        <f t="shared" si="45"/>
        <v>57022</v>
      </c>
      <c r="K33" s="151">
        <f t="shared" si="45"/>
        <v>25853</v>
      </c>
      <c r="L33" s="151">
        <f t="shared" si="45"/>
        <v>-25853</v>
      </c>
      <c r="M33" s="151">
        <f t="shared" si="45"/>
        <v>-22887</v>
      </c>
      <c r="N33" s="151">
        <f t="shared" si="45"/>
        <v>15405</v>
      </c>
      <c r="O33" s="151">
        <f t="shared" si="45"/>
        <v>-81213</v>
      </c>
      <c r="P33" s="151">
        <f t="shared" si="45"/>
        <v>28489</v>
      </c>
      <c r="Q33" s="151">
        <f t="shared" si="45"/>
        <v>2028746.6449999998</v>
      </c>
      <c r="R33" s="62"/>
      <c r="S33" s="151">
        <f t="shared" ref="S33:AA33" si="46">SUM(S10,S16,S21,S25,S27,S31)</f>
        <v>2054029.3999400004</v>
      </c>
      <c r="T33" s="151">
        <f t="shared" si="46"/>
        <v>28489</v>
      </c>
      <c r="U33" s="151">
        <f t="shared" si="46"/>
        <v>-3124</v>
      </c>
      <c r="V33" s="151">
        <f t="shared" si="46"/>
        <v>-25853</v>
      </c>
      <c r="W33" s="151">
        <f t="shared" si="46"/>
        <v>25853</v>
      </c>
      <c r="X33" s="151">
        <f t="shared" si="46"/>
        <v>-3124</v>
      </c>
      <c r="Y33" s="151">
        <f t="shared" si="46"/>
        <v>2079394.3999400004</v>
      </c>
      <c r="Z33" s="151">
        <f t="shared" si="46"/>
        <v>53771.754940000021</v>
      </c>
      <c r="AA33" s="151">
        <f t="shared" si="46"/>
        <v>50647.754940000021</v>
      </c>
      <c r="AB33" s="495">
        <f>+Z33/D33</f>
        <v>2.6882414410169659E-2</v>
      </c>
      <c r="AC33" s="495">
        <f>+AA33/Q33</f>
        <v>2.4965046801100205E-2</v>
      </c>
      <c r="AD33" s="10"/>
      <c r="AE33" s="10"/>
      <c r="AF33" s="10"/>
      <c r="AG33" s="11"/>
      <c r="AI33" s="201"/>
    </row>
    <row r="34" spans="1:35" ht="13.5" thickTop="1">
      <c r="A34" s="466">
        <f t="shared" si="8"/>
        <v>26</v>
      </c>
      <c r="B34" s="3"/>
      <c r="C34" s="15"/>
      <c r="D34" s="62"/>
      <c r="E34" s="62"/>
      <c r="F34" s="62"/>
      <c r="G34" s="62"/>
      <c r="H34" s="62"/>
      <c r="I34" s="200"/>
      <c r="J34" s="62"/>
      <c r="K34" s="62"/>
      <c r="L34" s="200"/>
      <c r="M34" s="200"/>
      <c r="N34" s="62"/>
      <c r="O34" s="62"/>
      <c r="P34" s="62"/>
      <c r="Q34" s="62"/>
      <c r="R34" s="62"/>
      <c r="S34" s="62"/>
      <c r="T34" s="62"/>
      <c r="U34" s="62"/>
      <c r="V34" s="62"/>
      <c r="W34" s="200"/>
      <c r="X34" s="200"/>
      <c r="Y34" s="62"/>
      <c r="Z34" s="62"/>
      <c r="AA34" s="62"/>
      <c r="AB34" s="496"/>
      <c r="AC34" s="496"/>
      <c r="AD34" s="10"/>
      <c r="AE34" s="10"/>
      <c r="AF34" s="10"/>
      <c r="AG34" s="11"/>
      <c r="AI34" s="201"/>
    </row>
    <row r="35" spans="1:35">
      <c r="A35" s="3">
        <f t="shared" si="8"/>
        <v>27</v>
      </c>
      <c r="B35" s="3">
        <v>5</v>
      </c>
      <c r="C35" s="13">
        <f>+'Exhibit No.__(JAP-Prof-Prop)'!I47</f>
        <v>7197.5754843382783</v>
      </c>
      <c r="D35" s="60">
        <f>+'Exhibit No.__(JAP-Prof-Prop)'!L47</f>
        <v>328.327</v>
      </c>
      <c r="E35" s="60">
        <v>0</v>
      </c>
      <c r="F35" s="324">
        <v>0</v>
      </c>
      <c r="G35" s="324">
        <v>0</v>
      </c>
      <c r="H35" s="324">
        <v>0</v>
      </c>
      <c r="I35" s="324">
        <v>0</v>
      </c>
      <c r="J35" s="324">
        <v>0</v>
      </c>
      <c r="K35" s="324">
        <v>0</v>
      </c>
      <c r="L35" s="324">
        <v>0</v>
      </c>
      <c r="M35" s="324">
        <v>0</v>
      </c>
      <c r="N35" s="324">
        <v>0</v>
      </c>
      <c r="O35" s="324">
        <v>0</v>
      </c>
      <c r="P35" s="60">
        <f>SUM(E35:O35)</f>
        <v>0</v>
      </c>
      <c r="Q35" s="60">
        <f>SUM(P35,D35)</f>
        <v>328.327</v>
      </c>
      <c r="R35" s="62"/>
      <c r="S35" s="60">
        <f>+'Exhibit No.__(JAP-Prof-Prop)'!N47</f>
        <v>662.55273095638631</v>
      </c>
      <c r="T35" s="60">
        <f>+P35</f>
        <v>0</v>
      </c>
      <c r="U35" s="60">
        <f>-E35</f>
        <v>0</v>
      </c>
      <c r="V35" s="60">
        <f>-K35</f>
        <v>0</v>
      </c>
      <c r="W35" s="324">
        <f t="shared" ref="W35" si="47">-L35</f>
        <v>0</v>
      </c>
      <c r="X35" s="324">
        <f>SUM(U35:W35)</f>
        <v>0</v>
      </c>
      <c r="Y35" s="60">
        <f>SUM(S35,T35,X35)</f>
        <v>662.55273095638631</v>
      </c>
      <c r="Z35" s="60">
        <f>+S35-D35</f>
        <v>334.22573095638631</v>
      </c>
      <c r="AA35" s="60">
        <f>+Y35-Q35</f>
        <v>334.22573095638631</v>
      </c>
      <c r="AB35" s="493">
        <f>+Z35/D35</f>
        <v>1.017966024592514</v>
      </c>
      <c r="AC35" s="493">
        <f>+AA35/Q35</f>
        <v>1.017966024592514</v>
      </c>
      <c r="AD35" s="10"/>
      <c r="AE35" s="10"/>
      <c r="AF35" s="10"/>
      <c r="AG35" s="11"/>
      <c r="AI35" s="201"/>
    </row>
    <row r="36" spans="1:35">
      <c r="A36" s="3">
        <f t="shared" si="8"/>
        <v>28</v>
      </c>
      <c r="B36" s="3"/>
      <c r="C36" s="15"/>
      <c r="D36" s="62"/>
      <c r="E36" s="62"/>
      <c r="F36" s="62"/>
      <c r="G36" s="62"/>
      <c r="H36" s="62"/>
      <c r="I36" s="200"/>
      <c r="J36" s="62"/>
      <c r="K36" s="62"/>
      <c r="L36" s="200"/>
      <c r="M36" s="200"/>
      <c r="N36" s="62"/>
      <c r="O36" s="62"/>
      <c r="P36" s="62"/>
      <c r="Q36" s="62"/>
      <c r="R36" s="62"/>
      <c r="S36" s="62"/>
      <c r="T36" s="62"/>
      <c r="U36" s="62"/>
      <c r="V36" s="62"/>
      <c r="W36" s="200"/>
      <c r="X36" s="200"/>
      <c r="Y36" s="62"/>
      <c r="Z36" s="62"/>
      <c r="AA36" s="62"/>
      <c r="AB36" s="496"/>
      <c r="AC36" s="496"/>
      <c r="AD36" s="10"/>
      <c r="AE36" s="10"/>
      <c r="AF36" s="10"/>
      <c r="AG36" s="11"/>
      <c r="AI36" s="201"/>
    </row>
    <row r="37" spans="1:35" ht="13.5" thickBot="1">
      <c r="A37" s="3">
        <f t="shared" si="8"/>
        <v>29</v>
      </c>
      <c r="B37" s="3" t="s">
        <v>20</v>
      </c>
      <c r="C37" s="14">
        <f>+C35+C33</f>
        <v>22900463.273525935</v>
      </c>
      <c r="D37" s="61">
        <f>+D35+D33</f>
        <v>2000585.9719999998</v>
      </c>
      <c r="E37" s="61">
        <f t="shared" ref="E37:H37" si="48">+E35+E33</f>
        <v>3124</v>
      </c>
      <c r="F37" s="61">
        <f t="shared" si="48"/>
        <v>-36216</v>
      </c>
      <c r="G37" s="61">
        <f>+G35+G33</f>
        <v>77130</v>
      </c>
      <c r="H37" s="61">
        <f t="shared" si="48"/>
        <v>17506</v>
      </c>
      <c r="I37" s="151">
        <f t="shared" ref="I37" si="49">+I35+I33</f>
        <v>-1382</v>
      </c>
      <c r="J37" s="61">
        <f>+J35+J33</f>
        <v>57022</v>
      </c>
      <c r="K37" s="61">
        <f t="shared" ref="K37:N37" si="50">+K35+K33</f>
        <v>25853</v>
      </c>
      <c r="L37" s="151">
        <f t="shared" ref="L37:M37" si="51">+L35+L33</f>
        <v>-25853</v>
      </c>
      <c r="M37" s="151">
        <f t="shared" si="51"/>
        <v>-22887</v>
      </c>
      <c r="N37" s="61">
        <f t="shared" si="50"/>
        <v>15405</v>
      </c>
      <c r="O37" s="61">
        <f t="shared" ref="O37:Y37" si="52">+O35+O33</f>
        <v>-81213</v>
      </c>
      <c r="P37" s="61">
        <f t="shared" ref="P37" si="53">+P35+P33</f>
        <v>28489</v>
      </c>
      <c r="Q37" s="61">
        <f t="shared" si="52"/>
        <v>2029074.9719999998</v>
      </c>
      <c r="R37" s="62"/>
      <c r="S37" s="61">
        <f>+S35+S33</f>
        <v>2054691.9526709567</v>
      </c>
      <c r="T37" s="61">
        <f t="shared" ref="T37" si="54">+T35+T33</f>
        <v>28489</v>
      </c>
      <c r="U37" s="61">
        <f t="shared" si="52"/>
        <v>-3124</v>
      </c>
      <c r="V37" s="61">
        <f t="shared" si="52"/>
        <v>-25853</v>
      </c>
      <c r="W37" s="151">
        <f t="shared" ref="W37" si="55">+W35+W33</f>
        <v>25853</v>
      </c>
      <c r="X37" s="151">
        <f t="shared" ref="X37" si="56">+X35+X33</f>
        <v>-3124</v>
      </c>
      <c r="Y37" s="61">
        <f t="shared" si="52"/>
        <v>2080056.9526709567</v>
      </c>
      <c r="Z37" s="61">
        <f t="shared" ref="Z37:AA37" si="57">+Z35+Z33</f>
        <v>54105.980670956407</v>
      </c>
      <c r="AA37" s="61">
        <f t="shared" si="57"/>
        <v>50981.980670956407</v>
      </c>
      <c r="AB37" s="495">
        <f>+Z37/D37</f>
        <v>2.7045066509621817E-2</v>
      </c>
      <c r="AC37" s="495">
        <f>+AA37/Q37</f>
        <v>2.5125725453458706E-2</v>
      </c>
      <c r="AD37" s="10"/>
      <c r="AE37" s="10"/>
      <c r="AF37" s="10"/>
      <c r="AG37" s="11"/>
      <c r="AI37" s="201"/>
    </row>
    <row r="38" spans="1:35" ht="13.5" thickTop="1">
      <c r="D38" s="59"/>
      <c r="E38" s="59"/>
      <c r="F38" s="59"/>
      <c r="G38" s="59"/>
      <c r="H38" s="59"/>
      <c r="I38" s="323"/>
      <c r="J38" s="59"/>
      <c r="K38" s="59"/>
      <c r="L38" s="323"/>
      <c r="M38" s="323"/>
      <c r="N38" s="59"/>
      <c r="O38" s="59"/>
      <c r="P38" s="59"/>
      <c r="Q38" s="59"/>
      <c r="R38" s="62"/>
      <c r="S38" s="59"/>
      <c r="T38" s="59"/>
      <c r="U38" s="59"/>
      <c r="V38" s="59"/>
      <c r="W38" s="323"/>
      <c r="X38" s="59"/>
      <c r="Y38" s="59"/>
      <c r="Z38" s="59"/>
      <c r="AA38" s="59"/>
      <c r="AI38" s="201"/>
    </row>
    <row r="39" spans="1:35">
      <c r="C39" s="334">
        <f>+'Exhibit No.__(JAP-Prof-Prop)'!I49</f>
        <v>22900463.273525935</v>
      </c>
      <c r="D39" s="59">
        <f>+'Exhibit No.__(JAP-Prof-Prop)'!L49</f>
        <v>2000585.9720000001</v>
      </c>
      <c r="E39" s="59"/>
      <c r="F39" s="59"/>
      <c r="G39" s="59"/>
      <c r="H39" s="59"/>
      <c r="I39" s="323"/>
      <c r="J39" s="59"/>
      <c r="K39" s="59"/>
      <c r="L39" s="323"/>
      <c r="M39" s="323"/>
      <c r="N39" s="59"/>
      <c r="O39" s="59"/>
      <c r="P39" s="59"/>
      <c r="Q39" s="59"/>
      <c r="R39" s="59"/>
      <c r="S39" s="59">
        <f>+'Exhibit No.__(JAP-Prof-Prop)'!N49</f>
        <v>2054691.9526709563</v>
      </c>
      <c r="T39" s="59"/>
      <c r="U39" s="59"/>
      <c r="V39" s="59"/>
      <c r="W39" s="323"/>
      <c r="X39" s="59"/>
      <c r="Y39" s="59"/>
      <c r="Z39" s="59"/>
      <c r="AA39" s="59"/>
      <c r="AI39" s="201"/>
    </row>
    <row r="40" spans="1:35">
      <c r="C40" s="334">
        <f>+C39-C37</f>
        <v>0</v>
      </c>
      <c r="D40" s="59"/>
      <c r="E40" s="59"/>
      <c r="F40" s="59"/>
      <c r="G40" s="59"/>
      <c r="H40" s="59"/>
      <c r="I40" s="323"/>
      <c r="J40" s="59"/>
      <c r="K40" s="59"/>
      <c r="L40" s="323"/>
      <c r="M40" s="323"/>
      <c r="N40" s="59"/>
      <c r="O40" s="59"/>
      <c r="P40" s="59"/>
      <c r="Q40" s="59"/>
      <c r="R40" s="59"/>
      <c r="S40" s="59"/>
      <c r="T40" s="59"/>
      <c r="U40" s="59"/>
      <c r="V40" s="59"/>
      <c r="W40" s="323"/>
      <c r="Y40" s="59"/>
      <c r="Z40" s="59"/>
      <c r="AA40" s="59"/>
      <c r="AB40" s="59"/>
      <c r="AI40" s="201"/>
    </row>
    <row r="41" spans="1:35">
      <c r="AI41" s="201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workbookViewId="0"/>
  </sheetViews>
  <sheetFormatPr defaultColWidth="9.42578125" defaultRowHeight="15"/>
  <cols>
    <col min="1" max="1" width="2.28515625" style="203" customWidth="1"/>
    <col min="2" max="2" width="12.42578125" style="203" customWidth="1"/>
    <col min="3" max="3" width="13.140625" style="203" bestFit="1" customWidth="1"/>
    <col min="4" max="4" width="3.5703125" style="203" customWidth="1"/>
    <col min="5" max="5" width="10.5703125" style="203" bestFit="1" customWidth="1"/>
    <col min="6" max="6" width="4.140625" style="203" customWidth="1"/>
    <col min="7" max="7" width="13.28515625" style="203" bestFit="1" customWidth="1"/>
    <col min="8" max="8" width="3.85546875" style="203" customWidth="1"/>
    <col min="9" max="9" width="13.28515625" style="203" bestFit="1" customWidth="1"/>
    <col min="10" max="10" width="3.28515625" style="203" customWidth="1"/>
    <col min="11" max="11" width="10.28515625" style="203" bestFit="1" customWidth="1"/>
    <col min="12" max="12" width="3.85546875" style="301" customWidth="1"/>
    <col min="13" max="13" width="35.7109375" style="203" bestFit="1" customWidth="1"/>
    <col min="14" max="14" width="16.28515625" style="203" bestFit="1" customWidth="1"/>
    <col min="15" max="15" width="2.42578125" style="203" customWidth="1"/>
    <col min="16" max="16" width="18" style="203" bestFit="1" customWidth="1"/>
    <col min="17" max="17" width="3.42578125" style="203" customWidth="1"/>
    <col min="18" max="18" width="5.5703125" style="203" bestFit="1" customWidth="1"/>
    <col min="19" max="16384" width="9.42578125" style="203"/>
  </cols>
  <sheetData>
    <row r="1" spans="1:18" ht="18.75"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</row>
    <row r="2" spans="1:18" ht="18.75">
      <c r="B2" s="300" t="s">
        <v>244</v>
      </c>
      <c r="C2" s="300"/>
      <c r="D2" s="300"/>
      <c r="E2" s="300"/>
      <c r="F2" s="300"/>
      <c r="G2" s="300"/>
      <c r="H2" s="300"/>
      <c r="I2" s="300"/>
      <c r="J2" s="300"/>
      <c r="K2" s="300"/>
    </row>
    <row r="3" spans="1:18" ht="18.75">
      <c r="B3" s="300" t="s">
        <v>319</v>
      </c>
      <c r="C3" s="300"/>
      <c r="D3" s="300"/>
      <c r="E3" s="300"/>
      <c r="F3" s="300"/>
      <c r="G3" s="300"/>
      <c r="H3" s="300"/>
      <c r="I3" s="300"/>
      <c r="J3" s="300"/>
      <c r="K3" s="300"/>
    </row>
    <row r="4" spans="1:18" ht="18.75"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8" ht="18.75">
      <c r="B5" s="300"/>
      <c r="C5" s="300"/>
      <c r="D5" s="300"/>
      <c r="E5" s="300"/>
      <c r="F5" s="300"/>
      <c r="G5" s="300"/>
      <c r="H5" s="300"/>
      <c r="I5" s="300"/>
      <c r="J5" s="300"/>
      <c r="K5" s="300"/>
    </row>
    <row r="6" spans="1:18" ht="18.75">
      <c r="A6" s="313"/>
      <c r="B6" s="247"/>
      <c r="C6" s="247"/>
      <c r="D6" s="247"/>
      <c r="E6" s="247"/>
      <c r="F6" s="247"/>
      <c r="G6" s="247"/>
      <c r="H6" s="247"/>
      <c r="I6" s="247"/>
      <c r="J6" s="247"/>
    </row>
    <row r="7" spans="1:18" ht="18.75">
      <c r="A7" s="313"/>
      <c r="B7" s="247"/>
      <c r="C7" s="247"/>
      <c r="D7" s="247"/>
      <c r="E7" s="247"/>
      <c r="F7" s="247"/>
      <c r="G7" s="247"/>
      <c r="H7" s="247"/>
      <c r="I7" s="247"/>
      <c r="J7" s="247"/>
    </row>
    <row r="9" spans="1:18" ht="15.75">
      <c r="B9" s="312" t="s">
        <v>317</v>
      </c>
      <c r="G9" s="538" t="s">
        <v>316</v>
      </c>
      <c r="H9" s="539"/>
      <c r="I9" s="539"/>
    </row>
    <row r="10" spans="1:18" ht="15.75" thickBot="1">
      <c r="B10" s="298" t="s">
        <v>283</v>
      </c>
      <c r="C10" s="311" t="s">
        <v>315</v>
      </c>
      <c r="G10" s="247" t="s">
        <v>25</v>
      </c>
      <c r="I10" s="247" t="s">
        <v>314</v>
      </c>
      <c r="K10" s="247" t="s">
        <v>260</v>
      </c>
    </row>
    <row r="11" spans="1:18" ht="16.5">
      <c r="B11" s="297" t="s">
        <v>280</v>
      </c>
      <c r="C11" s="296" t="s">
        <v>279</v>
      </c>
      <c r="D11" s="294"/>
      <c r="E11" s="240" t="s">
        <v>241</v>
      </c>
      <c r="F11" s="294"/>
      <c r="G11" s="285" t="s">
        <v>359</v>
      </c>
      <c r="H11" s="285"/>
      <c r="I11" s="285" t="s">
        <v>360</v>
      </c>
      <c r="K11" s="310" t="s">
        <v>30</v>
      </c>
      <c r="M11" s="309"/>
      <c r="N11" s="308" t="s">
        <v>257</v>
      </c>
      <c r="O11" s="307"/>
      <c r="P11" s="463" t="s">
        <v>256</v>
      </c>
    </row>
    <row r="12" spans="1:18">
      <c r="G12" s="296"/>
      <c r="H12" s="294"/>
      <c r="I12" s="296"/>
      <c r="M12" s="263"/>
      <c r="N12" s="227"/>
      <c r="O12" s="227"/>
      <c r="P12" s="306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3">
        <f>ROUND(IF($B$13&gt;4400,$B$13*N$13,4400*$N$13)+$E13*N$14,0)</f>
        <v>40452</v>
      </c>
      <c r="H13" s="293"/>
      <c r="I13" s="293">
        <f>ROUND(IF($B$13&gt;4400,$B$13*P$13,4400*$N$13)+$E13*P$14,0)</f>
        <v>40607</v>
      </c>
      <c r="K13" s="210">
        <f>(I13-G13)/G13</f>
        <v>3.831701769999011E-3</v>
      </c>
      <c r="M13" s="264" t="s">
        <v>313</v>
      </c>
      <c r="N13" s="234">
        <f>SUM(N17,N27,N29)</f>
        <v>5.48</v>
      </c>
      <c r="O13" s="267"/>
      <c r="P13" s="284">
        <f>SUM(P17,P27,P29)</f>
        <v>5.6</v>
      </c>
      <c r="R13" s="226">
        <f>(P13-N13)/N13</f>
        <v>2.1897810218977957E-2</v>
      </c>
    </row>
    <row r="14" spans="1:18">
      <c r="C14" s="203">
        <v>500</v>
      </c>
      <c r="E14" s="214">
        <f>ROUND((B$13*C14),0)</f>
        <v>500000</v>
      </c>
      <c r="F14" s="214"/>
      <c r="G14" s="293">
        <f>ROUND(IF($B$13&gt;4400,$B$13*N$13,4400*$N$13)+$E14*N$14,0)</f>
        <v>51346</v>
      </c>
      <c r="H14" s="293"/>
      <c r="I14" s="293">
        <f>ROUND(IF($B$13&gt;4400,$B$13*P$13,4400*$N$13)+$E14*P$14,0)</f>
        <v>51604</v>
      </c>
      <c r="K14" s="210">
        <f>(I14-G14)/G14</f>
        <v>5.0247341565068356E-3</v>
      </c>
      <c r="M14" s="264" t="s">
        <v>312</v>
      </c>
      <c r="N14" s="230">
        <f>SUM(N18,N20:N26,N28,N30,N31)</f>
        <v>5.4468191191541324E-2</v>
      </c>
      <c r="O14" s="267"/>
      <c r="P14" s="228">
        <f>SUM(P18,P20:P26,P28,P30,P31)</f>
        <v>5.4983829632471275E-2</v>
      </c>
      <c r="R14" s="226">
        <f>(P14-N14)/N14</f>
        <v>9.466781063403984E-3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3">
        <f>ROUND(IF($B$13&gt;4400,$B$13*N$13,4400*$N$13)+$E15*N$14,0)</f>
        <v>62240</v>
      </c>
      <c r="H15" s="293"/>
      <c r="I15" s="293">
        <f>ROUND(IF($B$13&gt;4400,$B$13*P$13,4400*$N$13)+$E15*P$14,0)</f>
        <v>62601</v>
      </c>
      <c r="K15" s="210">
        <f>(I15-G15)/G15</f>
        <v>5.8001285347043701E-3</v>
      </c>
      <c r="M15" s="305" t="s">
        <v>21</v>
      </c>
      <c r="N15" s="304" t="s">
        <v>21</v>
      </c>
      <c r="O15" s="223"/>
      <c r="P15" s="303" t="s">
        <v>21</v>
      </c>
    </row>
    <row r="16" spans="1:18">
      <c r="G16" s="293"/>
      <c r="H16" s="293"/>
      <c r="I16" s="293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3">
        <f>ROUND(IF($B$17&gt;4400,$B$17*N$13,4400*$N$13)+$E17*N$14,0)</f>
        <v>56793</v>
      </c>
      <c r="H17" s="293"/>
      <c r="I17" s="293">
        <f>ROUND(IF($B$17&gt;4400,$B$17*P$13,4400*$N$13)+$E17*P$14,0)</f>
        <v>57102</v>
      </c>
      <c r="K17" s="210">
        <f>(I17-G17)/G17</f>
        <v>5.4408113675981197E-3</v>
      </c>
      <c r="M17" s="203" t="str">
        <f>+M13</f>
        <v>Demand ($ per kVa)</v>
      </c>
      <c r="N17" s="316">
        <v>5.48</v>
      </c>
      <c r="P17" s="248">
        <v>5.6</v>
      </c>
    </row>
    <row r="18" spans="2:16">
      <c r="C18" s="203">
        <v>500</v>
      </c>
      <c r="E18" s="214">
        <f>ROUND((B$17*C18),0)</f>
        <v>1000000</v>
      </c>
      <c r="F18" s="214"/>
      <c r="G18" s="293">
        <f>ROUND(IF($B$17&gt;4400,$B$17*N$13,4400*$N$13)+$E18*N$14,0)</f>
        <v>78580</v>
      </c>
      <c r="H18" s="293"/>
      <c r="I18" s="293">
        <f>ROUND(IF($B$17&gt;4400,$B$17*P$13,4400*$N$13)+$E18*P$14,0)</f>
        <v>79096</v>
      </c>
      <c r="K18" s="210">
        <f>(I18-G18)/G18</f>
        <v>6.5665563756681089E-3</v>
      </c>
      <c r="M18" s="203" t="str">
        <f>+M14</f>
        <v>Energy ($ per kWh)</v>
      </c>
      <c r="N18" s="219">
        <v>5.0738999999999999E-2</v>
      </c>
      <c r="P18" s="219">
        <v>5.1811999999999997E-2</v>
      </c>
    </row>
    <row r="19" spans="2:16">
      <c r="C19" s="203">
        <v>700</v>
      </c>
      <c r="E19" s="214">
        <f>ROUND((B$17*C19),0)</f>
        <v>1400000</v>
      </c>
      <c r="F19" s="214"/>
      <c r="G19" s="293">
        <f>ROUND(IF($B$17&gt;4400,$B$17*N$13,4400*$N$13)+$E19*N$14,0)</f>
        <v>100367</v>
      </c>
      <c r="H19" s="293"/>
      <c r="I19" s="293">
        <f>ROUND(IF($B$17&gt;4400,$B$17*P$13,4400*$N$13)+$E19*P$14,0)</f>
        <v>101089</v>
      </c>
      <c r="K19" s="210">
        <f>(I19-G19)/G19</f>
        <v>7.193599489872169E-3</v>
      </c>
    </row>
    <row r="20" spans="2:16">
      <c r="G20" s="293"/>
      <c r="H20" s="293"/>
      <c r="I20" s="293"/>
      <c r="K20" s="210"/>
      <c r="M20" s="218" t="s">
        <v>233</v>
      </c>
      <c r="N20" s="219">
        <f>+'Sch 95'!E27</f>
        <v>5.5736155907004864E-4</v>
      </c>
      <c r="O20" s="246"/>
      <c r="P20" s="471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3">
        <f>ROUND(IF($B$21&gt;4400,$B$21*N$13,4400*$N$13)+$E21*N$14,0)</f>
        <v>89474</v>
      </c>
      <c r="H21" s="293"/>
      <c r="I21" s="293">
        <f>ROUND(IF($B$21&gt;4400,$B$21*P$13,4400*$N$13)+$E21*P$14,0)</f>
        <v>90093</v>
      </c>
      <c r="K21" s="210">
        <f>(I21-G21)/G21</f>
        <v>6.9182108769027875E-3</v>
      </c>
      <c r="M21" s="218" t="s">
        <v>232</v>
      </c>
      <c r="N21" s="219">
        <f>+'Sch 95a'!E27</f>
        <v>-1.5120000000000001E-3</v>
      </c>
      <c r="O21" s="246"/>
      <c r="P21" s="219">
        <f t="shared" ref="P21:P30" si="0">+N21</f>
        <v>-1.5120000000000001E-3</v>
      </c>
    </row>
    <row r="22" spans="2:16">
      <c r="C22" s="203">
        <v>500</v>
      </c>
      <c r="E22" s="214">
        <f>ROUND((B$21*C22),0)</f>
        <v>2000000</v>
      </c>
      <c r="F22" s="214"/>
      <c r="G22" s="293">
        <f>ROUND(IF($B$21&gt;4400,$B$21*N$13,4400*$N$13)+$E22*N$14,0)</f>
        <v>133048</v>
      </c>
      <c r="H22" s="293"/>
      <c r="I22" s="293">
        <f>ROUND(IF($B$21&gt;4400,$B$21*P$13,4400*$N$13)+$E22*P$14,0)</f>
        <v>134080</v>
      </c>
      <c r="K22" s="210">
        <f>(I22-G22)/G22</f>
        <v>7.7565991221213394E-3</v>
      </c>
      <c r="M22" s="218" t="s">
        <v>231</v>
      </c>
      <c r="N22" s="219">
        <f>+'Sch 120'!E27</f>
        <v>3.0799999999999998E-3</v>
      </c>
      <c r="O22" s="246"/>
      <c r="P22" s="219">
        <f t="shared" si="0"/>
        <v>3.0799999999999998E-3</v>
      </c>
    </row>
    <row r="23" spans="2:16">
      <c r="C23" s="203">
        <v>700</v>
      </c>
      <c r="E23" s="214">
        <f>ROUND((B$21*C23),0)</f>
        <v>2800000</v>
      </c>
      <c r="F23" s="214"/>
      <c r="G23" s="293">
        <f>ROUND(IF($B$21&gt;4400,$B$21*N$13,4400*$N$13)+$E23*N$14,0)</f>
        <v>176623</v>
      </c>
      <c r="H23" s="293"/>
      <c r="I23" s="293">
        <f>ROUND(IF($B$21&gt;4400,$B$21*P$13,4400*$N$13)+$E23*P$14,0)</f>
        <v>178067</v>
      </c>
      <c r="K23" s="210">
        <f>(I23-G23)/G23</f>
        <v>8.1756056685709112E-3</v>
      </c>
      <c r="M23" s="218" t="s">
        <v>193</v>
      </c>
      <c r="N23" s="219">
        <f>+'Sch 129'!E27</f>
        <v>5.7282963247128971E-4</v>
      </c>
      <c r="O23" s="246"/>
      <c r="P23" s="219">
        <f t="shared" si="0"/>
        <v>5.7282963247128971E-4</v>
      </c>
    </row>
    <row r="24" spans="2:16">
      <c r="G24" s="293"/>
      <c r="H24" s="293"/>
      <c r="I24" s="293"/>
      <c r="K24" s="210"/>
      <c r="M24" s="220" t="s">
        <v>229</v>
      </c>
      <c r="N24" s="317">
        <f>+'Sch 137'!E27</f>
        <v>-5.8E-5</v>
      </c>
      <c r="O24" s="246"/>
      <c r="P24" s="219">
        <f t="shared" si="0"/>
        <v>-5.8E-5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3">
        <f>ROUND(IF($B$25&gt;4400,$B$25*N$13,4400*$N$13)+$E25*N$14,0)</f>
        <v>130923</v>
      </c>
      <c r="H25" s="293"/>
      <c r="I25" s="293">
        <f>ROUND(IF($B$25&gt;4400,$B$25*P$13,4400*$N$13)+$E25*P$14,0)</f>
        <v>132571</v>
      </c>
      <c r="K25" s="210">
        <f>(I25-G25)/G25</f>
        <v>1.2587551461546099E-2</v>
      </c>
      <c r="M25" s="220" t="s">
        <v>205</v>
      </c>
      <c r="N25" s="317">
        <f>+'Sch 140'!E27</f>
        <v>1.5579999999999999E-3</v>
      </c>
      <c r="O25" s="246"/>
      <c r="P25" s="219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3">
        <f>ROUND(IF($B$25&gt;4400,$B$25*N$13,4400*$N$13)+$E26*N$14,0)</f>
        <v>196285</v>
      </c>
      <c r="H26" s="293"/>
      <c r="I26" s="293">
        <f>ROUND(IF($B$25&gt;4400,$B$25*P$13,4400*$N$13)+$E26*P$14,0)</f>
        <v>198551</v>
      </c>
      <c r="K26" s="210">
        <f>(I26-G26)/G26</f>
        <v>1.1544437934635861E-2</v>
      </c>
      <c r="M26" s="218" t="s">
        <v>311</v>
      </c>
      <c r="N26" s="462">
        <f>+'UE-180899 Sch 141&amp;141x Rates'!$F$88</f>
        <v>5.0000000000000044E-4</v>
      </c>
      <c r="O26" s="246"/>
      <c r="P26" s="471">
        <v>0</v>
      </c>
    </row>
    <row r="27" spans="2:16">
      <c r="C27" s="203">
        <v>700</v>
      </c>
      <c r="E27" s="214">
        <f>ROUND((B$25*C27),0)</f>
        <v>4200000</v>
      </c>
      <c r="F27" s="214"/>
      <c r="G27" s="293">
        <f>ROUND(IF($B$25&gt;4400,$B$25*N$13,4400*$N$13)+$E27*N$14,0)</f>
        <v>261646</v>
      </c>
      <c r="H27" s="293"/>
      <c r="I27" s="293">
        <f>ROUND(IF($B$25&gt;4400,$B$25*P$13,4400*$N$13)+$E27*P$14,0)</f>
        <v>264532</v>
      </c>
      <c r="K27" s="210">
        <f>(I27-G27)/G27</f>
        <v>1.103017053576206E-2</v>
      </c>
      <c r="M27" s="218" t="s">
        <v>506</v>
      </c>
      <c r="N27" s="459">
        <f>+'UE-180899 Sch 141&amp;141x Rates'!$F$90</f>
        <v>4.9999999999999822E-2</v>
      </c>
      <c r="O27" s="246"/>
      <c r="P27" s="471">
        <v>0</v>
      </c>
    </row>
    <row r="28" spans="2:16">
      <c r="E28" s="214"/>
      <c r="F28" s="214"/>
      <c r="G28" s="293"/>
      <c r="H28" s="293"/>
      <c r="I28" s="293"/>
      <c r="K28" s="210"/>
      <c r="M28" s="218" t="s">
        <v>497</v>
      </c>
      <c r="N28" s="462">
        <f>+'UE-180899 Sch 141&amp;141x Rates'!$G$88</f>
        <v>-5.0000000000000044E-4</v>
      </c>
      <c r="O28" s="246"/>
      <c r="P28" s="471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3">
        <f>ROUND(IF($B$29&gt;4400,$B$29*N$13,4400*$N$13)+$E29*N$14,0)</f>
        <v>174564</v>
      </c>
      <c r="H29" s="293"/>
      <c r="I29" s="293">
        <f>ROUND(IF($B$29&gt;4400,$B$29*P$13,4400*$N$13)+$E29*P$14,0)</f>
        <v>176761</v>
      </c>
      <c r="K29" s="210">
        <f>(I29-G29)/G29</f>
        <v>1.2585641942210306E-2</v>
      </c>
      <c r="M29" s="218" t="s">
        <v>507</v>
      </c>
      <c r="N29" s="459">
        <f>+'UE-180899 Sch 141&amp;141x Rates'!$G$90</f>
        <v>-4.9999999999999822E-2</v>
      </c>
      <c r="O29" s="246"/>
      <c r="P29" s="471">
        <v>0</v>
      </c>
    </row>
    <row r="30" spans="2:16">
      <c r="C30" s="203">
        <v>500</v>
      </c>
      <c r="E30" s="214">
        <f>ROUND((B$29*C30),0)</f>
        <v>4000000</v>
      </c>
      <c r="F30" s="214"/>
      <c r="G30" s="293">
        <f>ROUND(IF($B$29&gt;4400,$B$29*N$13,4400*$N$13)+$E30*N$14,0)</f>
        <v>261713</v>
      </c>
      <c r="H30" s="293"/>
      <c r="I30" s="293">
        <f>ROUND(IF($B$29&gt;4400,$B$29*P$13,4400*$N$13)+$E30*P$14,0)</f>
        <v>264735</v>
      </c>
      <c r="K30" s="210">
        <f>(I30-G30)/G30</f>
        <v>1.1546999957969225E-2</v>
      </c>
      <c r="M30" s="218" t="s">
        <v>477</v>
      </c>
      <c r="N30" s="462">
        <f>+'Sch 141y'!E27</f>
        <v>-6.5300000000000004E-4</v>
      </c>
      <c r="O30" s="246"/>
      <c r="P30" s="219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3">
        <f>ROUND(IF($B$29&gt;4400,$B$29*N$13,4400*$N$13)+$E31*N$14,0)</f>
        <v>348862</v>
      </c>
      <c r="H31" s="293"/>
      <c r="I31" s="293">
        <f>ROUND(IF($B$29&gt;4400,$B$29*P$13,4400*$N$13)+$E31*P$14,0)</f>
        <v>352709</v>
      </c>
      <c r="K31" s="210">
        <f>(I31-G31)/G31</f>
        <v>1.1027282994421864E-2</v>
      </c>
      <c r="M31" s="220" t="s">
        <v>310</v>
      </c>
      <c r="N31" s="219">
        <f>+'Sch 142'!F27</f>
        <v>1.84E-4</v>
      </c>
      <c r="O31" s="246"/>
      <c r="P31" s="219">
        <f>+N31</f>
        <v>1.84E-4</v>
      </c>
    </row>
    <row r="32" spans="2:16">
      <c r="E32" s="214"/>
      <c r="F32" s="214"/>
      <c r="G32" s="293"/>
      <c r="H32" s="293"/>
      <c r="I32" s="293"/>
      <c r="K32" s="210"/>
    </row>
    <row r="33" spans="2:16">
      <c r="B33" s="214">
        <v>10000</v>
      </c>
      <c r="C33" s="203">
        <v>300</v>
      </c>
      <c r="E33" s="214">
        <f>ROUND((B$33*C33),0)</f>
        <v>3000000</v>
      </c>
      <c r="F33" s="214"/>
      <c r="G33" s="293">
        <f>ROUND(IF($B$33&gt;4400,$B$33*N$13,4400*$N$13)+$E33*N$14,0)</f>
        <v>218205</v>
      </c>
      <c r="H33" s="293"/>
      <c r="I33" s="293">
        <f>ROUND(IF($B$33&gt;4400,$B$33*P$13,4400*$N$13)+$E33*P$14,0)</f>
        <v>220951</v>
      </c>
      <c r="K33" s="210">
        <f>(I33-G33)/G33</f>
        <v>1.2584496230608831E-2</v>
      </c>
      <c r="P33" s="219"/>
    </row>
    <row r="34" spans="2:16">
      <c r="C34" s="203">
        <v>500</v>
      </c>
      <c r="E34" s="214">
        <f>ROUND((B$33*C34),0)</f>
        <v>5000000</v>
      </c>
      <c r="F34" s="214"/>
      <c r="G34" s="293">
        <f>ROUND(IF($B$33&gt;4400,$B$33*N$13,4400*$N$13)+$E34*N$14,0)</f>
        <v>327141</v>
      </c>
      <c r="H34" s="293"/>
      <c r="I34" s="293">
        <f>ROUND(IF($B$33&gt;4400,$B$33*P$13,4400*$N$13)+$E34*P$14,0)</f>
        <v>330919</v>
      </c>
      <c r="K34" s="210">
        <f>(I34-G34)/G34</f>
        <v>1.1548537175101868E-2</v>
      </c>
      <c r="P34" s="219"/>
    </row>
    <row r="35" spans="2:16">
      <c r="C35" s="203">
        <v>700</v>
      </c>
      <c r="E35" s="214">
        <f>ROUND((B$33*C35),0)</f>
        <v>7000000</v>
      </c>
      <c r="F35" s="214"/>
      <c r="G35" s="293">
        <f>ROUND(IF($B$33&gt;4400,$B$33*N$13,4400*$N$13)+$E35*N$14,0)</f>
        <v>436077</v>
      </c>
      <c r="H35" s="293"/>
      <c r="I35" s="293">
        <f>ROUND(IF($B$33&gt;4400,$B$33*P$13,4400*$N$13)+$E35*P$14,0)</f>
        <v>440887</v>
      </c>
      <c r="K35" s="210">
        <f>(I35-G35)/G35</f>
        <v>1.1030162104398994E-2</v>
      </c>
      <c r="M35" s="216" t="s">
        <v>337</v>
      </c>
      <c r="N35" s="215">
        <f>+'Exhibit No.__(JAP-Prof-Prop)'!Q35</f>
        <v>2.13074304710325E-2</v>
      </c>
      <c r="P35" s="219"/>
    </row>
    <row r="36" spans="2:16">
      <c r="B36" s="207"/>
      <c r="C36" s="207"/>
      <c r="D36" s="207"/>
      <c r="E36" s="207"/>
      <c r="F36" s="207"/>
      <c r="G36" s="207"/>
      <c r="H36" s="207"/>
      <c r="I36" s="207"/>
      <c r="J36" s="207"/>
      <c r="K36" s="207"/>
    </row>
    <row r="39" spans="2:16" ht="16.5">
      <c r="B39" s="336" t="s">
        <v>347</v>
      </c>
    </row>
    <row r="40" spans="2:16" ht="16.5">
      <c r="B40" s="336" t="s">
        <v>357</v>
      </c>
    </row>
    <row r="41" spans="2:16" ht="16.5">
      <c r="B41" s="336" t="s">
        <v>358</v>
      </c>
    </row>
    <row r="42" spans="2:16">
      <c r="B42" s="205"/>
    </row>
    <row r="43" spans="2:16">
      <c r="B43" s="205"/>
    </row>
    <row r="44" spans="2:16">
      <c r="B44" s="205"/>
    </row>
    <row r="45" spans="2:16">
      <c r="B45" s="205"/>
    </row>
    <row r="46" spans="2:16">
      <c r="B46" s="205"/>
    </row>
    <row r="47" spans="2:16">
      <c r="B47" s="205"/>
    </row>
    <row r="48" spans="2:16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A1:V52"/>
  <sheetViews>
    <sheetView workbookViewId="0"/>
  </sheetViews>
  <sheetFormatPr defaultColWidth="4.5703125" defaultRowHeight="15.75"/>
  <cols>
    <col min="1" max="1" width="4.85546875" style="16" bestFit="1" customWidth="1"/>
    <col min="2" max="2" width="2.28515625" style="16" bestFit="1" customWidth="1"/>
    <col min="3" max="3" width="37.28515625" style="16" bestFit="1" customWidth="1"/>
    <col min="4" max="4" width="2.28515625" style="16" bestFit="1" customWidth="1"/>
    <col min="5" max="5" width="11.140625" style="16" bestFit="1" customWidth="1"/>
    <col min="6" max="6" width="2.28515625" style="16" bestFit="1" customWidth="1"/>
    <col min="7" max="7" width="14" style="16" bestFit="1" customWidth="1"/>
    <col min="8" max="8" width="2.28515625" style="16" bestFit="1" customWidth="1"/>
    <col min="9" max="10" width="15.140625" style="16" bestFit="1" customWidth="1"/>
    <col min="11" max="11" width="2.28515625" style="16" bestFit="1" customWidth="1"/>
    <col min="12" max="12" width="14" style="16" bestFit="1" customWidth="1"/>
    <col min="13" max="13" width="2.28515625" style="16" bestFit="1" customWidth="1"/>
    <col min="14" max="14" width="14" style="16" bestFit="1" customWidth="1"/>
    <col min="15" max="15" width="2.28515625" style="16" bestFit="1" customWidth="1"/>
    <col min="16" max="16" width="11.85546875" style="16" bestFit="1" customWidth="1"/>
    <col min="17" max="17" width="14.140625" style="16" bestFit="1" customWidth="1"/>
    <col min="18" max="18" width="2.28515625" style="16" bestFit="1" customWidth="1"/>
    <col min="19" max="19" width="14.7109375" style="16" bestFit="1" customWidth="1"/>
    <col min="20" max="20" width="2.28515625" style="16" bestFit="1" customWidth="1"/>
    <col min="21" max="21" width="13.28515625" style="16" bestFit="1" customWidth="1"/>
    <col min="22" max="22" width="13" style="16" bestFit="1" customWidth="1"/>
    <col min="23" max="16384" width="4.5703125" style="16"/>
  </cols>
  <sheetData>
    <row r="1" spans="1:22" ht="18.75">
      <c r="A1" s="250"/>
      <c r="B1" s="17"/>
      <c r="C1" s="18"/>
      <c r="D1" s="19"/>
      <c r="E1" s="19"/>
      <c r="F1" s="1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>
      <c r="A2" s="541" t="s">
        <v>22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20"/>
      <c r="T2" s="250"/>
      <c r="U2" s="250"/>
      <c r="V2" s="250"/>
    </row>
    <row r="3" spans="1:22">
      <c r="A3" s="542" t="s">
        <v>23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21"/>
      <c r="T3" s="21"/>
      <c r="U3" s="250"/>
      <c r="V3" s="250"/>
    </row>
    <row r="4" spans="1:22">
      <c r="A4" s="542" t="s">
        <v>591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21"/>
      <c r="T4" s="21"/>
      <c r="U4" s="250"/>
      <c r="V4" s="250"/>
    </row>
    <row r="5" spans="1:22">
      <c r="A5" s="541" t="s">
        <v>24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21"/>
      <c r="T5" s="21"/>
      <c r="U5" s="250"/>
      <c r="V5" s="250"/>
    </row>
    <row r="6" spans="1:22">
      <c r="A6" s="541" t="s">
        <v>592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21"/>
      <c r="T6" s="21"/>
      <c r="U6" s="250"/>
      <c r="V6" s="250"/>
    </row>
    <row r="7" spans="1:22">
      <c r="A7" s="541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20"/>
      <c r="T7" s="20"/>
      <c r="U7" s="250"/>
      <c r="V7" s="250"/>
    </row>
    <row r="8" spans="1:22">
      <c r="A8" s="464"/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20"/>
      <c r="S8" s="20"/>
      <c r="T8" s="20"/>
      <c r="U8" s="250"/>
      <c r="V8" s="250"/>
    </row>
    <row r="9" spans="1:22">
      <c r="A9" s="250"/>
      <c r="B9" s="250"/>
      <c r="C9" s="19"/>
      <c r="D9" s="19"/>
      <c r="E9" s="19"/>
      <c r="F9" s="19"/>
      <c r="G9" s="250"/>
      <c r="H9" s="250"/>
      <c r="I9" s="250"/>
      <c r="J9" s="250"/>
      <c r="K9" s="257"/>
      <c r="L9" s="22"/>
      <c r="M9" s="23"/>
      <c r="N9" s="544" t="s">
        <v>593</v>
      </c>
      <c r="O9" s="545"/>
      <c r="P9" s="545"/>
      <c r="Q9" s="546"/>
      <c r="R9" s="23"/>
      <c r="S9" s="24"/>
      <c r="T9" s="23"/>
      <c r="U9" s="250"/>
      <c r="V9" s="250"/>
    </row>
    <row r="10" spans="1:22">
      <c r="A10" s="250"/>
      <c r="B10" s="250"/>
      <c r="C10" s="19"/>
      <c r="D10" s="19"/>
      <c r="E10" s="19"/>
      <c r="F10" s="19"/>
      <c r="G10" s="250"/>
      <c r="H10" s="250"/>
      <c r="I10" s="250"/>
      <c r="J10" s="250"/>
      <c r="K10" s="250"/>
      <c r="L10" s="287" t="s">
        <v>25</v>
      </c>
      <c r="M10" s="25"/>
      <c r="N10" s="547" t="s">
        <v>26</v>
      </c>
      <c r="O10" s="548"/>
      <c r="P10" s="548"/>
      <c r="Q10" s="549"/>
      <c r="R10" s="25"/>
      <c r="S10" s="31"/>
      <c r="T10" s="25"/>
      <c r="U10" s="250"/>
      <c r="V10" s="250"/>
    </row>
    <row r="11" spans="1:22" ht="15.6" customHeight="1">
      <c r="A11" s="250"/>
      <c r="B11" s="250"/>
      <c r="C11" s="19"/>
      <c r="D11" s="19"/>
      <c r="E11" s="26" t="s">
        <v>27</v>
      </c>
      <c r="F11" s="27"/>
      <c r="G11" s="250"/>
      <c r="H11" s="250"/>
      <c r="I11" s="250"/>
      <c r="J11" s="250"/>
      <c r="K11" s="250"/>
      <c r="L11" s="31" t="s">
        <v>28</v>
      </c>
      <c r="M11" s="28"/>
      <c r="N11" s="31" t="s">
        <v>28</v>
      </c>
      <c r="O11" s="31"/>
      <c r="P11" s="29" t="s">
        <v>21</v>
      </c>
      <c r="Q11" s="29"/>
      <c r="R11" s="29"/>
      <c r="S11" s="31" t="s">
        <v>26</v>
      </c>
      <c r="T11" s="287"/>
      <c r="U11" s="543" t="s">
        <v>594</v>
      </c>
      <c r="V11" s="540" t="s">
        <v>30</v>
      </c>
    </row>
    <row r="12" spans="1:22">
      <c r="A12" s="287" t="s">
        <v>31</v>
      </c>
      <c r="B12" s="250"/>
      <c r="C12" s="19"/>
      <c r="D12" s="19"/>
      <c r="E12" s="27" t="s">
        <v>32</v>
      </c>
      <c r="F12" s="27"/>
      <c r="G12" s="30" t="s">
        <v>598</v>
      </c>
      <c r="H12" s="250"/>
      <c r="I12" s="287" t="s">
        <v>599</v>
      </c>
      <c r="J12" s="287" t="s">
        <v>280</v>
      </c>
      <c r="K12" s="250"/>
      <c r="L12" s="287" t="s">
        <v>34</v>
      </c>
      <c r="M12" s="287"/>
      <c r="N12" s="348" t="s">
        <v>34</v>
      </c>
      <c r="O12" s="287"/>
      <c r="P12" s="30" t="s">
        <v>35</v>
      </c>
      <c r="Q12" s="287" t="s">
        <v>28</v>
      </c>
      <c r="R12" s="287"/>
      <c r="S12" s="287" t="s">
        <v>36</v>
      </c>
      <c r="T12" s="31"/>
      <c r="U12" s="540"/>
      <c r="V12" s="540"/>
    </row>
    <row r="13" spans="1:22">
      <c r="A13" s="32" t="s">
        <v>37</v>
      </c>
      <c r="B13" s="250"/>
      <c r="C13" s="33" t="s">
        <v>38</v>
      </c>
      <c r="D13" s="19"/>
      <c r="E13" s="33" t="s">
        <v>37</v>
      </c>
      <c r="F13" s="34"/>
      <c r="G13" s="37" t="s">
        <v>600</v>
      </c>
      <c r="H13" s="250"/>
      <c r="I13" s="37" t="s">
        <v>601</v>
      </c>
      <c r="J13" s="37" t="s">
        <v>602</v>
      </c>
      <c r="K13" s="250"/>
      <c r="L13" s="35" t="s">
        <v>41</v>
      </c>
      <c r="M13" s="31"/>
      <c r="N13" s="349" t="s">
        <v>41</v>
      </c>
      <c r="O13" s="36"/>
      <c r="P13" s="37" t="s">
        <v>41</v>
      </c>
      <c r="Q13" s="465" t="s">
        <v>42</v>
      </c>
      <c r="R13" s="31"/>
      <c r="S13" s="35" t="s">
        <v>43</v>
      </c>
      <c r="T13" s="31"/>
      <c r="U13" s="540"/>
      <c r="V13" s="540"/>
    </row>
    <row r="14" spans="1:22">
      <c r="A14" s="38"/>
      <c r="B14" s="250"/>
      <c r="C14" s="30" t="s">
        <v>44</v>
      </c>
      <c r="D14" s="19"/>
      <c r="E14" s="30" t="s">
        <v>45</v>
      </c>
      <c r="F14" s="27"/>
      <c r="G14" s="30" t="s">
        <v>46</v>
      </c>
      <c r="H14" s="250"/>
      <c r="I14" s="30" t="s">
        <v>47</v>
      </c>
      <c r="J14" s="30" t="s">
        <v>47</v>
      </c>
      <c r="K14" s="250"/>
      <c r="L14" s="30" t="s">
        <v>48</v>
      </c>
      <c r="M14" s="30"/>
      <c r="N14" s="30" t="s">
        <v>49</v>
      </c>
      <c r="O14" s="30"/>
      <c r="P14" s="30" t="s">
        <v>50</v>
      </c>
      <c r="Q14" s="30" t="s">
        <v>51</v>
      </c>
      <c r="R14" s="30"/>
      <c r="S14" s="30" t="s">
        <v>52</v>
      </c>
      <c r="T14" s="28"/>
      <c r="U14" s="30" t="s">
        <v>595</v>
      </c>
      <c r="V14" s="30" t="s">
        <v>596</v>
      </c>
    </row>
    <row r="15" spans="1:22">
      <c r="A15" s="250"/>
      <c r="B15" s="250"/>
      <c r="C15" s="19"/>
      <c r="D15" s="19"/>
      <c r="E15" s="19"/>
      <c r="F15" s="19"/>
      <c r="G15" s="250"/>
      <c r="H15" s="250"/>
      <c r="I15" s="250"/>
      <c r="J15" s="250"/>
      <c r="K15" s="250"/>
      <c r="L15" s="250"/>
      <c r="M15" s="30"/>
      <c r="N15" s="30"/>
      <c r="O15" s="250"/>
      <c r="P15" s="30" t="s">
        <v>53</v>
      </c>
      <c r="Q15" s="30" t="s">
        <v>54</v>
      </c>
      <c r="R15" s="250"/>
      <c r="S15" s="30" t="s">
        <v>55</v>
      </c>
      <c r="T15" s="257"/>
      <c r="U15" s="250"/>
      <c r="V15" s="30" t="s">
        <v>597</v>
      </c>
    </row>
    <row r="16" spans="1:22">
      <c r="A16" s="250"/>
      <c r="B16" s="250"/>
      <c r="C16" s="39" t="s">
        <v>56</v>
      </c>
      <c r="D16" s="19"/>
      <c r="E16" s="19"/>
      <c r="F16" s="19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7"/>
      <c r="U16" s="250"/>
      <c r="V16" s="250"/>
    </row>
    <row r="17" spans="1:22">
      <c r="A17" s="287">
        <v>1</v>
      </c>
      <c r="B17" s="250"/>
      <c r="C17" s="19" t="s">
        <v>56</v>
      </c>
      <c r="D17" s="19"/>
      <c r="E17" s="26">
        <v>7</v>
      </c>
      <c r="F17" s="26"/>
      <c r="G17" s="256">
        <v>1030110</v>
      </c>
      <c r="H17" s="250"/>
      <c r="I17" s="256">
        <v>10658082.710537091</v>
      </c>
      <c r="J17" s="256"/>
      <c r="K17" s="250"/>
      <c r="L17" s="256">
        <v>1109622.487</v>
      </c>
      <c r="M17" s="40"/>
      <c r="N17" s="256">
        <v>1141431</v>
      </c>
      <c r="O17" s="40"/>
      <c r="P17" s="256">
        <v>31808.513000000035</v>
      </c>
      <c r="Q17" s="512">
        <v>2.8666067399191086E-2</v>
      </c>
      <c r="R17" s="41"/>
      <c r="S17" s="516">
        <v>10.709534078502944</v>
      </c>
      <c r="T17" s="43"/>
      <c r="U17" s="40"/>
      <c r="V17" s="40"/>
    </row>
    <row r="18" spans="1:22">
      <c r="A18" s="245">
        <v>2</v>
      </c>
      <c r="B18" s="250"/>
      <c r="C18" s="44" t="s">
        <v>57</v>
      </c>
      <c r="D18" s="19"/>
      <c r="E18" s="19"/>
      <c r="F18" s="19"/>
      <c r="G18" s="45">
        <v>1030110</v>
      </c>
      <c r="H18" s="250"/>
      <c r="I18" s="45">
        <v>10658082.710537091</v>
      </c>
      <c r="J18" s="256"/>
      <c r="K18" s="250"/>
      <c r="L18" s="45">
        <v>1109622.487</v>
      </c>
      <c r="M18" s="40"/>
      <c r="N18" s="45">
        <v>1141431</v>
      </c>
      <c r="O18" s="40"/>
      <c r="P18" s="45">
        <v>31808.513000000035</v>
      </c>
      <c r="Q18" s="513">
        <v>2.8666067399191086E-2</v>
      </c>
      <c r="R18" s="41"/>
      <c r="S18" s="517">
        <v>10.709534078502944</v>
      </c>
      <c r="T18" s="43"/>
      <c r="U18" s="327">
        <v>31806.680180993128</v>
      </c>
      <c r="V18" s="327">
        <v>-1.8328190069078119</v>
      </c>
    </row>
    <row r="19" spans="1:22">
      <c r="A19" s="250"/>
      <c r="B19" s="250"/>
      <c r="C19" s="19"/>
      <c r="D19" s="19"/>
      <c r="E19" s="19"/>
      <c r="F19" s="19"/>
      <c r="G19" s="250"/>
      <c r="H19" s="250"/>
      <c r="I19" s="250"/>
      <c r="J19" s="250"/>
      <c r="K19" s="250"/>
      <c r="L19" s="250"/>
      <c r="M19" s="48"/>
      <c r="N19" s="250"/>
      <c r="O19" s="48"/>
      <c r="P19" s="250"/>
      <c r="Q19" s="514"/>
      <c r="R19" s="250"/>
      <c r="S19" s="518"/>
      <c r="T19" s="257"/>
      <c r="U19" s="57"/>
      <c r="V19" s="57"/>
    </row>
    <row r="20" spans="1:22">
      <c r="A20" s="250"/>
      <c r="B20" s="250"/>
      <c r="C20" s="49" t="s">
        <v>58</v>
      </c>
      <c r="D20" s="19"/>
      <c r="E20" s="19"/>
      <c r="F20" s="19"/>
      <c r="G20" s="250"/>
      <c r="H20" s="250"/>
      <c r="I20" s="250"/>
      <c r="J20" s="250"/>
      <c r="K20" s="250"/>
      <c r="L20" s="250"/>
      <c r="M20" s="48"/>
      <c r="N20" s="250"/>
      <c r="O20" s="48"/>
      <c r="P20" s="250"/>
      <c r="Q20" s="514"/>
      <c r="R20" s="250"/>
      <c r="S20" s="518"/>
      <c r="T20" s="257"/>
      <c r="U20" s="57"/>
      <c r="V20" s="57"/>
    </row>
    <row r="21" spans="1:22">
      <c r="A21" s="245">
        <v>3</v>
      </c>
      <c r="B21" s="250"/>
      <c r="C21" s="51" t="s">
        <v>59</v>
      </c>
      <c r="D21" s="19"/>
      <c r="E21" s="26" t="s">
        <v>60</v>
      </c>
      <c r="F21" s="27"/>
      <c r="G21" s="256">
        <v>130674.58333333333</v>
      </c>
      <c r="H21" s="250"/>
      <c r="I21" s="256">
        <v>2700716.8408001168</v>
      </c>
      <c r="J21" s="256"/>
      <c r="K21" s="250"/>
      <c r="L21" s="256">
        <v>263446.49300000002</v>
      </c>
      <c r="M21" s="40"/>
      <c r="N21" s="256">
        <v>271001</v>
      </c>
      <c r="O21" s="40"/>
      <c r="P21" s="256">
        <v>7554.5069999999832</v>
      </c>
      <c r="Q21" s="512">
        <v>2.8675678745892368E-2</v>
      </c>
      <c r="R21" s="41"/>
      <c r="S21" s="516">
        <v>10.034409972417286</v>
      </c>
      <c r="T21" s="43"/>
      <c r="U21" s="350"/>
      <c r="V21" s="350"/>
    </row>
    <row r="22" spans="1:22">
      <c r="A22" s="245">
        <v>4</v>
      </c>
      <c r="B22" s="250"/>
      <c r="C22" s="51" t="s">
        <v>61</v>
      </c>
      <c r="D22" s="246"/>
      <c r="E22" s="26" t="s">
        <v>62</v>
      </c>
      <c r="F22" s="27"/>
      <c r="G22" s="256">
        <v>7793.666666666667</v>
      </c>
      <c r="H22" s="250"/>
      <c r="I22" s="256">
        <v>2988049.5563074257</v>
      </c>
      <c r="J22" s="256">
        <v>4639.3969999999999</v>
      </c>
      <c r="K22" s="250"/>
      <c r="L22" s="256">
        <v>269302.29800000001</v>
      </c>
      <c r="M22" s="40"/>
      <c r="N22" s="256">
        <v>275092</v>
      </c>
      <c r="O22" s="40"/>
      <c r="P22" s="256">
        <v>5789.7019999999902</v>
      </c>
      <c r="Q22" s="512">
        <v>2.1498895638833317E-2</v>
      </c>
      <c r="R22" s="41"/>
      <c r="S22" s="516">
        <v>9.2064068823528284</v>
      </c>
      <c r="T22" s="43"/>
      <c r="U22" s="350"/>
      <c r="V22" s="350"/>
    </row>
    <row r="23" spans="1:22">
      <c r="A23" s="245">
        <v>5</v>
      </c>
      <c r="B23" s="250"/>
      <c r="C23" s="51" t="s">
        <v>63</v>
      </c>
      <c r="D23" s="19"/>
      <c r="E23" s="26" t="s">
        <v>64</v>
      </c>
      <c r="F23" s="27"/>
      <c r="G23" s="256">
        <v>10394</v>
      </c>
      <c r="H23" s="250"/>
      <c r="I23" s="256">
        <v>1939505.2741896487</v>
      </c>
      <c r="J23" s="256">
        <v>4774.6639999999998</v>
      </c>
      <c r="K23" s="250"/>
      <c r="L23" s="256">
        <v>160178.13800000001</v>
      </c>
      <c r="M23" s="40"/>
      <c r="N23" s="256">
        <v>163621.68900000001</v>
      </c>
      <c r="O23" s="40"/>
      <c r="P23" s="256">
        <v>3443.5510000000068</v>
      </c>
      <c r="Q23" s="512">
        <v>2.1498258395287417E-2</v>
      </c>
      <c r="R23" s="41"/>
      <c r="S23" s="516">
        <v>8.4362590387058045</v>
      </c>
      <c r="T23" s="43"/>
      <c r="U23" s="350"/>
      <c r="V23" s="350"/>
    </row>
    <row r="24" spans="1:22">
      <c r="A24" s="245">
        <v>6</v>
      </c>
      <c r="B24" s="250"/>
      <c r="C24" s="51" t="s">
        <v>65</v>
      </c>
      <c r="D24" s="19"/>
      <c r="E24" s="27">
        <v>29</v>
      </c>
      <c r="F24" s="27"/>
      <c r="G24" s="256">
        <v>658.83333333333337</v>
      </c>
      <c r="H24" s="250"/>
      <c r="I24" s="256">
        <v>16475.530158172358</v>
      </c>
      <c r="J24" s="256"/>
      <c r="K24" s="250"/>
      <c r="L24" s="256">
        <v>1290.5440000000001</v>
      </c>
      <c r="M24" s="40"/>
      <c r="N24" s="256">
        <v>1318.278</v>
      </c>
      <c r="O24" s="40"/>
      <c r="P24" s="256">
        <v>27.733999999999924</v>
      </c>
      <c r="Q24" s="512">
        <v>2.1490162288151291E-2</v>
      </c>
      <c r="R24" s="41"/>
      <c r="S24" s="516">
        <v>8.0014299227032435</v>
      </c>
      <c r="T24" s="43"/>
      <c r="U24" s="350"/>
      <c r="V24" s="350"/>
    </row>
    <row r="25" spans="1:22">
      <c r="A25" s="245">
        <v>7</v>
      </c>
      <c r="B25" s="250"/>
      <c r="C25" s="44" t="s">
        <v>66</v>
      </c>
      <c r="D25" s="19"/>
      <c r="E25" s="27"/>
      <c r="F25" s="27"/>
      <c r="G25" s="45">
        <v>149521.08333333334</v>
      </c>
      <c r="H25" s="250"/>
      <c r="I25" s="45">
        <v>7644747.2014553631</v>
      </c>
      <c r="J25" s="256"/>
      <c r="K25" s="250"/>
      <c r="L25" s="45">
        <v>694217.473</v>
      </c>
      <c r="M25" s="40"/>
      <c r="N25" s="45">
        <v>711032.96700000006</v>
      </c>
      <c r="O25" s="40"/>
      <c r="P25" s="45">
        <v>16815.493999999981</v>
      </c>
      <c r="Q25" s="513">
        <v>2.4222228125911748E-2</v>
      </c>
      <c r="R25" s="41"/>
      <c r="S25" s="517">
        <v>9.3009349853274106</v>
      </c>
      <c r="T25" s="43"/>
      <c r="U25" s="327">
        <v>16812.388591886913</v>
      </c>
      <c r="V25" s="327">
        <v>-3.1054081130678242</v>
      </c>
    </row>
    <row r="26" spans="1:22">
      <c r="A26" s="245"/>
      <c r="B26" s="250"/>
      <c r="C26" s="19"/>
      <c r="D26" s="19"/>
      <c r="E26" s="19"/>
      <c r="F26" s="19"/>
      <c r="G26" s="250"/>
      <c r="H26" s="250"/>
      <c r="I26" s="250"/>
      <c r="J26" s="250"/>
      <c r="K26" s="250"/>
      <c r="L26" s="250"/>
      <c r="M26" s="48"/>
      <c r="N26" s="250"/>
      <c r="O26" s="48"/>
      <c r="P26" s="250"/>
      <c r="Q26" s="514"/>
      <c r="R26" s="250"/>
      <c r="S26" s="518"/>
      <c r="T26" s="257"/>
      <c r="U26" s="57"/>
      <c r="V26" s="57"/>
    </row>
    <row r="27" spans="1:22">
      <c r="A27" s="245"/>
      <c r="B27" s="250"/>
      <c r="C27" s="49" t="s">
        <v>67</v>
      </c>
      <c r="D27" s="19"/>
      <c r="E27" s="19"/>
      <c r="F27" s="19"/>
      <c r="G27" s="250"/>
      <c r="H27" s="250"/>
      <c r="I27" s="250"/>
      <c r="J27" s="250"/>
      <c r="K27" s="250"/>
      <c r="L27" s="250"/>
      <c r="M27" s="48"/>
      <c r="N27" s="250"/>
      <c r="O27" s="48"/>
      <c r="P27" s="250"/>
      <c r="Q27" s="514"/>
      <c r="R27" s="250"/>
      <c r="S27" s="518"/>
      <c r="T27" s="257"/>
      <c r="U27" s="57"/>
      <c r="V27" s="57"/>
    </row>
    <row r="28" spans="1:22">
      <c r="A28" s="245">
        <v>8</v>
      </c>
      <c r="B28" s="250"/>
      <c r="C28" s="51" t="s">
        <v>68</v>
      </c>
      <c r="D28" s="19"/>
      <c r="E28" s="26" t="s">
        <v>69</v>
      </c>
      <c r="F28" s="27"/>
      <c r="G28" s="256">
        <v>495.16666666666669</v>
      </c>
      <c r="H28" s="250"/>
      <c r="I28" s="256">
        <v>1407595.349170306</v>
      </c>
      <c r="J28" s="256">
        <v>3463.8150000000001</v>
      </c>
      <c r="K28" s="250"/>
      <c r="L28" s="256">
        <v>113234.14599999999</v>
      </c>
      <c r="M28" s="40"/>
      <c r="N28" s="256">
        <v>116481.027</v>
      </c>
      <c r="O28" s="40"/>
      <c r="P28" s="256">
        <v>3246.8810000000085</v>
      </c>
      <c r="Q28" s="512">
        <v>2.8674045018187436E-2</v>
      </c>
      <c r="R28" s="41"/>
      <c r="S28" s="516">
        <v>8.2751784501603147</v>
      </c>
      <c r="T28" s="43"/>
      <c r="U28" s="350"/>
      <c r="V28" s="350"/>
    </row>
    <row r="29" spans="1:22">
      <c r="A29" s="245">
        <v>9</v>
      </c>
      <c r="B29" s="250"/>
      <c r="C29" s="51" t="s">
        <v>70</v>
      </c>
      <c r="D29" s="19"/>
      <c r="E29" s="27">
        <v>35</v>
      </c>
      <c r="F29" s="27"/>
      <c r="G29" s="256">
        <v>3.25</v>
      </c>
      <c r="H29" s="250"/>
      <c r="I29" s="256">
        <v>4443.66</v>
      </c>
      <c r="J29" s="256">
        <v>9.0990000000000002</v>
      </c>
      <c r="K29" s="250"/>
      <c r="L29" s="256">
        <v>268.01499999999999</v>
      </c>
      <c r="M29" s="40"/>
      <c r="N29" s="256">
        <v>279.51</v>
      </c>
      <c r="O29" s="40"/>
      <c r="P29" s="256">
        <v>11.495000000000005</v>
      </c>
      <c r="Q29" s="512">
        <v>4.288939051918738E-2</v>
      </c>
      <c r="R29" s="41"/>
      <c r="S29" s="516">
        <v>6.2900852000378062</v>
      </c>
      <c r="T29" s="43"/>
      <c r="U29" s="350"/>
      <c r="V29" s="350"/>
    </row>
    <row r="30" spans="1:22">
      <c r="A30" s="245">
        <v>10</v>
      </c>
      <c r="B30" s="250"/>
      <c r="C30" s="19" t="s">
        <v>71</v>
      </c>
      <c r="D30" s="19"/>
      <c r="E30" s="26">
        <v>43</v>
      </c>
      <c r="F30" s="27"/>
      <c r="G30" s="256">
        <v>156.16666666666666</v>
      </c>
      <c r="H30" s="250"/>
      <c r="I30" s="256">
        <v>123102.08801083639</v>
      </c>
      <c r="J30" s="256">
        <v>602.303</v>
      </c>
      <c r="K30" s="250"/>
      <c r="L30" s="256">
        <v>10721.509</v>
      </c>
      <c r="M30" s="40"/>
      <c r="N30" s="256">
        <v>11182.475</v>
      </c>
      <c r="O30" s="40"/>
      <c r="P30" s="256">
        <v>460.96600000000035</v>
      </c>
      <c r="Q30" s="512">
        <v>4.2994507582841214E-2</v>
      </c>
      <c r="R30" s="41"/>
      <c r="S30" s="516">
        <v>9.0839035963513748</v>
      </c>
      <c r="T30" s="43"/>
      <c r="U30" s="350"/>
      <c r="V30" s="350"/>
    </row>
    <row r="31" spans="1:22">
      <c r="A31" s="245">
        <v>11</v>
      </c>
      <c r="B31" s="250"/>
      <c r="C31" s="44" t="s">
        <v>72</v>
      </c>
      <c r="D31" s="19"/>
      <c r="E31" s="27"/>
      <c r="F31" s="27"/>
      <c r="G31" s="45">
        <v>654.58333333333337</v>
      </c>
      <c r="H31" s="250"/>
      <c r="I31" s="45">
        <v>1535141.0971811423</v>
      </c>
      <c r="J31" s="256"/>
      <c r="K31" s="250"/>
      <c r="L31" s="45">
        <v>124223.67</v>
      </c>
      <c r="M31" s="40"/>
      <c r="N31" s="45">
        <v>127943.012</v>
      </c>
      <c r="O31" s="40"/>
      <c r="P31" s="45">
        <v>3719.3420000000087</v>
      </c>
      <c r="Q31" s="513">
        <v>2.994068682723678E-2</v>
      </c>
      <c r="R31" s="41"/>
      <c r="S31" s="517">
        <v>8.3342835544518739</v>
      </c>
      <c r="T31" s="43"/>
      <c r="U31" s="327">
        <v>3718.3030522018471</v>
      </c>
      <c r="V31" s="327">
        <v>-1.0389477981616437</v>
      </c>
    </row>
    <row r="32" spans="1:22">
      <c r="A32" s="245"/>
      <c r="B32" s="250"/>
      <c r="C32" s="19"/>
      <c r="D32" s="19"/>
      <c r="E32" s="19"/>
      <c r="F32" s="19"/>
      <c r="G32" s="250"/>
      <c r="H32" s="250"/>
      <c r="I32" s="250"/>
      <c r="J32" s="250"/>
      <c r="K32" s="250"/>
      <c r="L32" s="250"/>
      <c r="M32" s="48"/>
      <c r="N32" s="250"/>
      <c r="O32" s="48"/>
      <c r="P32" s="250"/>
      <c r="Q32" s="514"/>
      <c r="R32" s="250"/>
      <c r="S32" s="518"/>
      <c r="T32" s="257"/>
      <c r="U32" s="57"/>
      <c r="V32" s="57"/>
    </row>
    <row r="33" spans="1:22">
      <c r="A33" s="245"/>
      <c r="B33" s="250"/>
      <c r="C33" s="49" t="s">
        <v>74</v>
      </c>
      <c r="D33" s="19"/>
      <c r="E33" s="19"/>
      <c r="F33" s="19"/>
      <c r="G33" s="250"/>
      <c r="H33" s="250"/>
      <c r="I33" s="250"/>
      <c r="J33" s="250"/>
      <c r="K33" s="250"/>
      <c r="L33" s="250"/>
      <c r="M33" s="48"/>
      <c r="N33" s="250"/>
      <c r="O33" s="48"/>
      <c r="P33" s="250"/>
      <c r="Q33" s="514"/>
      <c r="R33" s="250"/>
      <c r="S33" s="518"/>
      <c r="T33" s="257"/>
      <c r="U33" s="57"/>
      <c r="V33" s="57"/>
    </row>
    <row r="34" spans="1:22">
      <c r="A34" s="245">
        <v>12</v>
      </c>
      <c r="B34" s="250"/>
      <c r="C34" s="51" t="s">
        <v>75</v>
      </c>
      <c r="D34" s="19"/>
      <c r="E34" s="26">
        <v>46</v>
      </c>
      <c r="F34" s="27"/>
      <c r="G34" s="256">
        <v>6</v>
      </c>
      <c r="H34" s="250"/>
      <c r="I34" s="256">
        <v>78351.491999999998</v>
      </c>
      <c r="J34" s="256">
        <v>397.464</v>
      </c>
      <c r="K34" s="250"/>
      <c r="L34" s="256">
        <v>5190.4359999999997</v>
      </c>
      <c r="M34" s="40"/>
      <c r="N34" s="256">
        <v>5299.2759999999998</v>
      </c>
      <c r="O34" s="40"/>
      <c r="P34" s="256">
        <v>108.84000000000015</v>
      </c>
      <c r="Q34" s="512">
        <v>2.0969336680001477E-2</v>
      </c>
      <c r="R34" s="41"/>
      <c r="S34" s="516">
        <v>6.7634653338828565</v>
      </c>
      <c r="T34" s="43"/>
      <c r="U34" s="350"/>
      <c r="V34" s="350"/>
    </row>
    <row r="35" spans="1:22">
      <c r="A35" s="245">
        <v>13</v>
      </c>
      <c r="B35" s="250"/>
      <c r="C35" s="19" t="s">
        <v>76</v>
      </c>
      <c r="D35" s="19"/>
      <c r="E35" s="26">
        <v>49</v>
      </c>
      <c r="F35" s="27"/>
      <c r="G35" s="256">
        <v>19</v>
      </c>
      <c r="H35" s="250"/>
      <c r="I35" s="256">
        <v>542259.32140199991</v>
      </c>
      <c r="J35" s="256">
        <v>1344.134</v>
      </c>
      <c r="K35" s="250"/>
      <c r="L35" s="256">
        <v>34937.811999999998</v>
      </c>
      <c r="M35" s="40"/>
      <c r="N35" s="256">
        <v>35682.247000000003</v>
      </c>
      <c r="O35" s="40"/>
      <c r="P35" s="256">
        <v>744.43500000000495</v>
      </c>
      <c r="Q35" s="512">
        <v>2.13074304710325E-2</v>
      </c>
      <c r="R35" s="41"/>
      <c r="S35" s="516">
        <v>6.5802920469387809</v>
      </c>
      <c r="T35" s="43"/>
      <c r="U35" s="350"/>
      <c r="V35" s="350"/>
    </row>
    <row r="36" spans="1:22">
      <c r="A36" s="245">
        <v>14</v>
      </c>
      <c r="B36" s="250"/>
      <c r="C36" s="44" t="s">
        <v>74</v>
      </c>
      <c r="D36" s="19"/>
      <c r="E36" s="27"/>
      <c r="F36" s="27"/>
      <c r="G36" s="45">
        <v>25</v>
      </c>
      <c r="H36" s="250"/>
      <c r="I36" s="45">
        <v>620610.81340199988</v>
      </c>
      <c r="J36" s="256"/>
      <c r="K36" s="250"/>
      <c r="L36" s="45">
        <v>40128.248</v>
      </c>
      <c r="M36" s="40"/>
      <c r="N36" s="45">
        <v>40981.523000000001</v>
      </c>
      <c r="O36" s="40"/>
      <c r="P36" s="45">
        <v>853.27500000000509</v>
      </c>
      <c r="Q36" s="513">
        <v>2.1263699327217205E-2</v>
      </c>
      <c r="R36" s="41"/>
      <c r="S36" s="517">
        <v>6.6034174904803455</v>
      </c>
      <c r="T36" s="43"/>
      <c r="U36" s="327">
        <v>862.68958495762968</v>
      </c>
      <c r="V36" s="327">
        <v>9.4145849576245837</v>
      </c>
    </row>
    <row r="37" spans="1:22">
      <c r="A37" s="245"/>
      <c r="B37" s="250"/>
      <c r="C37" s="19"/>
      <c r="D37" s="19"/>
      <c r="E37" s="19"/>
      <c r="F37" s="19"/>
      <c r="G37" s="250"/>
      <c r="H37" s="250"/>
      <c r="I37" s="250"/>
      <c r="J37" s="250"/>
      <c r="K37" s="250"/>
      <c r="L37" s="250"/>
      <c r="M37" s="48"/>
      <c r="N37" s="250"/>
      <c r="O37" s="48"/>
      <c r="P37" s="250"/>
      <c r="Q37" s="514"/>
      <c r="R37" s="250"/>
      <c r="S37" s="518"/>
      <c r="T37" s="257"/>
      <c r="U37" s="57"/>
      <c r="V37" s="57"/>
    </row>
    <row r="38" spans="1:22">
      <c r="A38" s="245"/>
      <c r="B38" s="250"/>
      <c r="C38" s="468" t="s">
        <v>603</v>
      </c>
      <c r="D38" s="19"/>
      <c r="E38" s="19"/>
      <c r="F38" s="19"/>
      <c r="G38" s="250"/>
      <c r="H38" s="250"/>
      <c r="I38" s="250"/>
      <c r="J38" s="250"/>
      <c r="K38" s="250"/>
      <c r="L38" s="250"/>
      <c r="M38" s="48"/>
      <c r="N38" s="250"/>
      <c r="O38" s="48"/>
      <c r="P38" s="250"/>
      <c r="Q38" s="514"/>
      <c r="R38" s="250"/>
      <c r="S38" s="518"/>
      <c r="T38" s="257"/>
      <c r="U38" s="57"/>
      <c r="V38" s="57"/>
    </row>
    <row r="39" spans="1:22">
      <c r="A39" s="245">
        <v>15</v>
      </c>
      <c r="B39" s="250"/>
      <c r="C39" s="51" t="s">
        <v>604</v>
      </c>
      <c r="D39" s="19"/>
      <c r="E39" s="26" t="s">
        <v>78</v>
      </c>
      <c r="F39" s="27"/>
      <c r="G39" s="256">
        <v>20</v>
      </c>
      <c r="H39" s="250"/>
      <c r="I39" s="256">
        <v>2028727.0061700002</v>
      </c>
      <c r="J39" s="256">
        <v>3557.5250000000001</v>
      </c>
      <c r="K39" s="250"/>
      <c r="L39" s="256">
        <v>10114.356</v>
      </c>
      <c r="M39" s="40"/>
      <c r="N39" s="256">
        <v>10188.757</v>
      </c>
      <c r="O39" s="40"/>
      <c r="P39" s="256">
        <v>74.40099999999984</v>
      </c>
      <c r="Q39" s="512">
        <v>7.3559799556195014E-3</v>
      </c>
      <c r="R39" s="41"/>
      <c r="S39" s="516">
        <v>0.50222415184560409</v>
      </c>
      <c r="T39" s="43"/>
      <c r="U39" s="350"/>
      <c r="V39" s="350"/>
    </row>
    <row r="40" spans="1:22">
      <c r="A40" s="245">
        <v>16</v>
      </c>
      <c r="B40" s="250"/>
      <c r="C40" s="51" t="s">
        <v>605</v>
      </c>
      <c r="D40" s="19"/>
      <c r="E40" s="26" t="s">
        <v>606</v>
      </c>
      <c r="F40" s="27"/>
      <c r="G40" s="256">
        <v>98.333333333333329</v>
      </c>
      <c r="H40" s="250"/>
      <c r="I40" s="256">
        <v>335987.76400000002</v>
      </c>
      <c r="J40" s="256">
        <v>799.15800000000002</v>
      </c>
      <c r="K40" s="250"/>
      <c r="L40" s="256">
        <v>5493.9070000000002</v>
      </c>
      <c r="M40" s="40"/>
      <c r="N40" s="256">
        <v>4408.4449400000003</v>
      </c>
      <c r="O40" s="40"/>
      <c r="P40" s="256">
        <v>-1085.4620599999998</v>
      </c>
      <c r="Q40" s="512">
        <v>-0.19757561604155291</v>
      </c>
      <c r="R40" s="41"/>
      <c r="S40" s="516">
        <v>1.3120849662846652</v>
      </c>
      <c r="T40" s="43"/>
      <c r="U40" s="350"/>
      <c r="V40" s="350"/>
    </row>
    <row r="41" spans="1:22">
      <c r="A41" s="245">
        <v>17</v>
      </c>
      <c r="B41" s="250"/>
      <c r="C41" s="44" t="s">
        <v>603</v>
      </c>
      <c r="D41" s="19"/>
      <c r="E41" s="26"/>
      <c r="F41" s="27"/>
      <c r="G41" s="45">
        <v>118.33333333333333</v>
      </c>
      <c r="H41" s="250"/>
      <c r="I41" s="45">
        <v>2364714.7701700004</v>
      </c>
      <c r="J41" s="256"/>
      <c r="K41" s="250"/>
      <c r="L41" s="45">
        <v>15608.262999999999</v>
      </c>
      <c r="M41" s="40"/>
      <c r="N41" s="45">
        <v>14597.201939999999</v>
      </c>
      <c r="O41" s="40"/>
      <c r="P41" s="45">
        <v>-1011.06106</v>
      </c>
      <c r="Q41" s="513">
        <v>-6.4777295205750957E-2</v>
      </c>
      <c r="R41" s="41"/>
      <c r="S41" s="517">
        <v>0.61729228929164259</v>
      </c>
      <c r="T41" s="43"/>
      <c r="U41" s="327">
        <v>-1011.0610599999997</v>
      </c>
      <c r="V41" s="327">
        <v>0</v>
      </c>
    </row>
    <row r="42" spans="1:22">
      <c r="A42" s="245"/>
      <c r="B42" s="250"/>
      <c r="C42" s="19"/>
      <c r="D42" s="19"/>
      <c r="E42" s="19"/>
      <c r="F42" s="19"/>
      <c r="G42" s="250"/>
      <c r="H42" s="250"/>
      <c r="I42" s="250"/>
      <c r="J42" s="250"/>
      <c r="K42" s="250"/>
      <c r="L42" s="250"/>
      <c r="M42" s="48"/>
      <c r="N42" s="250"/>
      <c r="O42" s="48"/>
      <c r="P42" s="250"/>
      <c r="Q42" s="514"/>
      <c r="R42" s="250"/>
      <c r="S42" s="518"/>
      <c r="T42" s="257"/>
      <c r="U42" s="57"/>
      <c r="V42" s="57"/>
    </row>
    <row r="43" spans="1:22">
      <c r="A43" s="245">
        <v>18</v>
      </c>
      <c r="B43" s="250"/>
      <c r="C43" s="19" t="s">
        <v>79</v>
      </c>
      <c r="D43" s="19"/>
      <c r="E43" s="26" t="s">
        <v>17</v>
      </c>
      <c r="F43" s="27"/>
      <c r="G43" s="45">
        <v>7829.166666666667</v>
      </c>
      <c r="H43" s="250"/>
      <c r="I43" s="45">
        <v>69969.105296000009</v>
      </c>
      <c r="J43" s="256"/>
      <c r="K43" s="250"/>
      <c r="L43" s="45">
        <v>16457.504000000001</v>
      </c>
      <c r="M43" s="40"/>
      <c r="N43" s="45">
        <v>18043.696</v>
      </c>
      <c r="O43" s="40"/>
      <c r="P43" s="45">
        <v>1586.1919999999991</v>
      </c>
      <c r="Q43" s="513">
        <v>9.6381079415201659E-2</v>
      </c>
      <c r="R43" s="41"/>
      <c r="S43" s="517">
        <v>25.788090220201116</v>
      </c>
      <c r="T43" s="43"/>
      <c r="U43" s="327">
        <v>589.68091900409456</v>
      </c>
      <c r="V43" s="327">
        <v>-996.51108099590454</v>
      </c>
    </row>
    <row r="44" spans="1:22">
      <c r="A44" s="245"/>
      <c r="B44" s="250"/>
      <c r="C44" s="19"/>
      <c r="D44" s="19"/>
      <c r="E44" s="19"/>
      <c r="F44" s="19"/>
      <c r="G44" s="250"/>
      <c r="H44" s="250"/>
      <c r="I44" s="250"/>
      <c r="J44" s="250"/>
      <c r="K44" s="250"/>
      <c r="L44" s="250"/>
      <c r="M44" s="48"/>
      <c r="N44" s="250"/>
      <c r="O44" s="48"/>
      <c r="P44" s="250"/>
      <c r="Q44" s="514"/>
      <c r="R44" s="250"/>
      <c r="S44" s="518"/>
      <c r="T44" s="257"/>
      <c r="U44" s="57"/>
      <c r="V44" s="57"/>
    </row>
    <row r="45" spans="1:22">
      <c r="A45" s="245">
        <v>19</v>
      </c>
      <c r="B45" s="250"/>
      <c r="C45" s="44" t="s">
        <v>80</v>
      </c>
      <c r="D45" s="19"/>
      <c r="E45" s="19"/>
      <c r="F45" s="19"/>
      <c r="G45" s="45">
        <v>1188258.1666666667</v>
      </c>
      <c r="H45" s="250"/>
      <c r="I45" s="45">
        <v>22893265.698041596</v>
      </c>
      <c r="J45" s="256"/>
      <c r="K45" s="250"/>
      <c r="L45" s="45">
        <v>2000257.645</v>
      </c>
      <c r="M45" s="40"/>
      <c r="N45" s="45">
        <v>2054029.3999399999</v>
      </c>
      <c r="O45" s="40"/>
      <c r="P45" s="45">
        <v>53771.754940000028</v>
      </c>
      <c r="Q45" s="513">
        <v>2.6882414410169659E-2</v>
      </c>
      <c r="R45" s="41"/>
      <c r="S45" s="517">
        <v>8.972199191816097</v>
      </c>
      <c r="T45" s="43"/>
      <c r="U45" s="327">
        <v>52778.681269043613</v>
      </c>
      <c r="V45" s="327">
        <v>-993.0736709564153</v>
      </c>
    </row>
    <row r="46" spans="1:22">
      <c r="A46" s="287"/>
      <c r="B46" s="250"/>
      <c r="C46" s="19"/>
      <c r="D46" s="19"/>
      <c r="E46" s="19"/>
      <c r="F46" s="19"/>
      <c r="G46" s="250"/>
      <c r="H46" s="250"/>
      <c r="I46" s="250"/>
      <c r="J46" s="250"/>
      <c r="K46" s="250"/>
      <c r="L46" s="250"/>
      <c r="M46" s="48"/>
      <c r="N46" s="250"/>
      <c r="O46" s="48"/>
      <c r="P46" s="250"/>
      <c r="Q46" s="514"/>
      <c r="R46" s="250"/>
      <c r="S46" s="518"/>
      <c r="T46" s="257"/>
      <c r="U46" s="57"/>
      <c r="V46" s="57"/>
    </row>
    <row r="47" spans="1:22">
      <c r="A47" s="245">
        <v>20</v>
      </c>
      <c r="B47" s="250"/>
      <c r="C47" s="19" t="s">
        <v>81</v>
      </c>
      <c r="D47" s="19"/>
      <c r="E47" s="26" t="s">
        <v>186</v>
      </c>
      <c r="F47" s="27"/>
      <c r="G47" s="45">
        <v>8</v>
      </c>
      <c r="H47" s="250"/>
      <c r="I47" s="45">
        <v>7197.5754843382783</v>
      </c>
      <c r="J47" s="50">
        <v>14.252000000000001</v>
      </c>
      <c r="K47" s="250"/>
      <c r="L47" s="45">
        <v>328.327</v>
      </c>
      <c r="M47" s="48"/>
      <c r="N47" s="45">
        <v>662.55273095638631</v>
      </c>
      <c r="O47" s="40"/>
      <c r="P47" s="45">
        <v>334.22573095638631</v>
      </c>
      <c r="Q47" s="513">
        <v>1.017966024592514</v>
      </c>
      <c r="R47" s="41"/>
      <c r="S47" s="517">
        <v>9.2052210136327481</v>
      </c>
      <c r="T47" s="257"/>
      <c r="U47" s="327">
        <v>334.22573095638626</v>
      </c>
      <c r="V47" s="327">
        <v>0</v>
      </c>
    </row>
    <row r="48" spans="1:22">
      <c r="A48" s="287"/>
      <c r="B48" s="250"/>
      <c r="C48" s="19"/>
      <c r="D48" s="19"/>
      <c r="E48" s="19"/>
      <c r="F48" s="19"/>
      <c r="G48" s="250"/>
      <c r="H48" s="250"/>
      <c r="I48" s="250"/>
      <c r="J48" s="250"/>
      <c r="K48" s="250"/>
      <c r="L48" s="250"/>
      <c r="M48" s="48"/>
      <c r="N48" s="250"/>
      <c r="O48" s="48"/>
      <c r="P48" s="250"/>
      <c r="Q48" s="514"/>
      <c r="R48" s="250"/>
      <c r="S48" s="518"/>
      <c r="T48" s="257"/>
      <c r="U48" s="57"/>
      <c r="V48" s="57"/>
    </row>
    <row r="49" spans="1:22" ht="16.5" thickBot="1">
      <c r="A49" s="245">
        <v>21</v>
      </c>
      <c r="B49" s="250"/>
      <c r="C49" s="52" t="s">
        <v>82</v>
      </c>
      <c r="D49" s="19"/>
      <c r="E49" s="19"/>
      <c r="F49" s="19"/>
      <c r="G49" s="53">
        <v>1188266.1666666667</v>
      </c>
      <c r="H49" s="250"/>
      <c r="I49" s="53">
        <v>22900463.273525935</v>
      </c>
      <c r="J49" s="250"/>
      <c r="K49" s="250"/>
      <c r="L49" s="53">
        <v>2000585.9720000001</v>
      </c>
      <c r="M49" s="55"/>
      <c r="N49" s="53">
        <v>2054691.9526709563</v>
      </c>
      <c r="O49" s="56"/>
      <c r="P49" s="53">
        <v>54105.980670956415</v>
      </c>
      <c r="Q49" s="515">
        <v>2.704506650962182E-2</v>
      </c>
      <c r="R49" s="43"/>
      <c r="S49" s="519">
        <v>8.9722724301664307</v>
      </c>
      <c r="T49" s="43"/>
      <c r="U49" s="327">
        <v>53112.906999999999</v>
      </c>
      <c r="V49" s="327">
        <v>-993.0736709564153</v>
      </c>
    </row>
    <row r="50" spans="1:22" ht="16.5" thickTop="1">
      <c r="B50" s="250"/>
      <c r="D50" s="250"/>
      <c r="F50" s="250"/>
      <c r="H50" s="250"/>
      <c r="K50" s="250"/>
      <c r="O50" s="250"/>
      <c r="R50" s="250"/>
      <c r="T50" s="250"/>
    </row>
    <row r="51" spans="1:22">
      <c r="B51" s="250"/>
      <c r="D51" s="250"/>
      <c r="F51" s="250"/>
      <c r="H51" s="250"/>
      <c r="K51" s="250"/>
      <c r="O51" s="250"/>
      <c r="R51" s="250"/>
      <c r="T51" s="250"/>
    </row>
    <row r="52" spans="1:22">
      <c r="B52" s="250"/>
      <c r="D52" s="250"/>
      <c r="F52" s="250"/>
      <c r="H52" s="250"/>
      <c r="K52" s="250"/>
      <c r="O52" s="250"/>
      <c r="R52" s="250"/>
      <c r="T52" s="250"/>
    </row>
  </sheetData>
  <mergeCells count="10">
    <mergeCell ref="V11:V13"/>
    <mergeCell ref="A2:R2"/>
    <mergeCell ref="A3:R3"/>
    <mergeCell ref="A4:R4"/>
    <mergeCell ref="A5:R5"/>
    <mergeCell ref="A6:R6"/>
    <mergeCell ref="U11:U13"/>
    <mergeCell ref="A7:R7"/>
    <mergeCell ref="N9:Q9"/>
    <mergeCell ref="N10:Q10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ColWidth="8.85546875" defaultRowHeight="12.75"/>
  <cols>
    <col min="1" max="1" width="5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88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/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386</v>
      </c>
      <c r="F6" s="7" t="s">
        <v>191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+'UE-190223 Sch 95'!P8</f>
        <v>1.4876691186854057E-4</v>
      </c>
      <c r="F7" s="146">
        <f>ROUND(D7*E7,0)</f>
        <v>1586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+'UE-190223 Sch 95'!P10</f>
        <v>1.2110755297008581E-4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1586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+'UE-190223 Sch 95'!P9</f>
        <v>1.2682155181916366E-4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2700716.8408001168</v>
      </c>
      <c r="E12" s="149">
        <f>+E11</f>
        <v>1.2682155181916366E-4</v>
      </c>
      <c r="F12" s="146">
        <f t="shared" si="2"/>
        <v>343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+'UE-190223 Sch 95'!P10</f>
        <v>1.2110755297008581E-4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2988049.5563074257</v>
      </c>
      <c r="E14" s="149">
        <f>+E13</f>
        <v>1.2110755297008581E-4</v>
      </c>
      <c r="F14" s="146">
        <f t="shared" si="2"/>
        <v>362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+'UE-190223 Sch 95'!P11</f>
        <v>1.3293695424934624E-4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1939505.2741896487</v>
      </c>
      <c r="E16" s="149">
        <f>+E15</f>
        <v>1.3293695424934624E-4</v>
      </c>
      <c r="F16" s="146">
        <f t="shared" si="2"/>
        <v>258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+'UE-190223 Sch 95'!P12</f>
        <v>9.9188454347035499E-5</v>
      </c>
      <c r="F17" s="146">
        <f t="shared" si="2"/>
        <v>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965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+'UE-190223 Sch 95'!P13</f>
        <v>1.2012163271405909E-4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1.2012163271405909E-4</v>
      </c>
      <c r="F21" s="146">
        <f>ROUND(D21*E21,0)</f>
        <v>169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+'UE-190223 Sch 95'!P14</f>
        <v>9.0350405850349029E-5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5">
        <f>+'UE-190223 Sch 95'!P15</f>
        <v>9.9802253258252021E-5</v>
      </c>
      <c r="F23" s="146">
        <f>ROUND(D23*E23,0)</f>
        <v>12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181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+'UE-190223 Sch 95'!P20</f>
        <v>5.1821166170452015E-4</v>
      </c>
      <c r="F26" s="146">
        <f>ROUND(D26*E26,0)</f>
        <v>41</v>
      </c>
    </row>
    <row r="27" spans="1:6">
      <c r="A27" s="340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+'UE-190223 Sch 95'!P21</f>
        <v>5.5736155907004864E-4</v>
      </c>
      <c r="F27" s="146">
        <f>ROUND(D27*E27,0)</f>
        <v>302</v>
      </c>
    </row>
    <row r="28" spans="1:6">
      <c r="A28" s="340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343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+'UE-190223 Sch 95'!P23</f>
        <v>6.9973347068957652E-4</v>
      </c>
      <c r="F30" s="148">
        <f>ROUND(D30*E30,0)</f>
        <v>49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v>0</v>
      </c>
      <c r="F32" s="323">
        <f>ROUND(D32*E32,0)</f>
        <v>0</v>
      </c>
    </row>
    <row r="33" spans="1:6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v>0</v>
      </c>
      <c r="F33" s="323">
        <f>ROUND(D33*E33,0)</f>
        <v>0</v>
      </c>
    </row>
    <row r="34" spans="1:6">
      <c r="A34" s="466">
        <f t="shared" si="0"/>
        <v>28</v>
      </c>
      <c r="B34" s="341"/>
      <c r="C34" s="4" t="s">
        <v>509</v>
      </c>
      <c r="D34" s="322">
        <f>+'GRC Impacts'!C31</f>
        <v>2364714.7701700004</v>
      </c>
      <c r="E34" s="147"/>
      <c r="F34" s="324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3124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f>+'UE-190223 Sch 95'!P25</f>
        <v>6.4422012118951029E-4</v>
      </c>
      <c r="F38" s="148">
        <f>ROUND(D38*E38,0)</f>
        <v>5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F40" s="151">
        <f t="shared" ref="F40" si="7">SUM(F36,F38)</f>
        <v>3129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ColWidth="8.85546875" defaultRowHeight="12.75"/>
  <cols>
    <col min="1" max="1" width="6.1406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92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387</v>
      </c>
      <c r="F6" s="7" t="s">
        <v>190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+'UE-180887 Sch 95a'!G8</f>
        <v>-1.913E-3</v>
      </c>
      <c r="F7" s="146">
        <f>ROUND(D7*E7,0)</f>
        <v>-20389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+'UE-180887 Sch 95a'!G11</f>
        <v>-1.5679999999999999E-3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-20389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+'UE-180887 Sch 95a'!G10</f>
        <v>-1.6410000000000001E-3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2700716.8408001168</v>
      </c>
      <c r="E12" s="149">
        <f>+E11</f>
        <v>-1.6410000000000001E-3</v>
      </c>
      <c r="F12" s="146">
        <f t="shared" si="2"/>
        <v>-4432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-1.5679999999999999E-3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2988049.5563074257</v>
      </c>
      <c r="E14" s="149">
        <f>+E13</f>
        <v>-1.5679999999999999E-3</v>
      </c>
      <c r="F14" s="146">
        <f t="shared" si="2"/>
        <v>-4685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+'UE-180887 Sch 95a'!G12</f>
        <v>-1.7099999999999999E-3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1939505.2741896487</v>
      </c>
      <c r="E16" s="149">
        <f>+E15</f>
        <v>-1.7099999999999999E-3</v>
      </c>
      <c r="F16" s="146">
        <f t="shared" si="2"/>
        <v>-3317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+'UE-180887 Sch 95a'!G13</f>
        <v>-1.276E-3</v>
      </c>
      <c r="F17" s="146">
        <f t="shared" si="2"/>
        <v>-21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-12455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+'UE-180887 Sch 95a'!G17</f>
        <v>-1.5430000000000001E-3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-1.5430000000000001E-3</v>
      </c>
      <c r="F21" s="146">
        <f>ROUND(D21*E21,0)</f>
        <v>-2172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+'UE-180887 Sch 95a'!G18</f>
        <v>-1.1590000000000001E-3</v>
      </c>
      <c r="F22" s="146">
        <f>ROUND(D22*E22,0)</f>
        <v>-5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5">
        <f>+'UE-180887 Sch 95a'!G19</f>
        <v>-1.294E-3</v>
      </c>
      <c r="F23" s="146">
        <f>ROUND(D23*E23,0)</f>
        <v>-159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-2336</v>
      </c>
    </row>
    <row r="25" spans="1:6">
      <c r="A25" s="340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+'UE-180887 Sch 95a'!G25</f>
        <v>-9.9700000000000006E-4</v>
      </c>
      <c r="F26" s="146">
        <f>ROUND(D26*E26,0)</f>
        <v>-78</v>
      </c>
    </row>
    <row r="27" spans="1:6">
      <c r="A27" s="340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+'UE-180887 Sch 95a'!G26</f>
        <v>-1.5120000000000001E-3</v>
      </c>
      <c r="F27" s="146">
        <f>ROUND(D27*E27,0)</f>
        <v>-820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-898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+'UE-180887 Sch 95a'!G30</f>
        <v>-1.9659999999999999E-3</v>
      </c>
      <c r="F30" s="148">
        <f>ROUND(D30*E30,0)</f>
        <v>-138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v>0</v>
      </c>
      <c r="F32" s="323">
        <f>ROUND(D32*E32,0)</f>
        <v>0</v>
      </c>
    </row>
    <row r="33" spans="1:6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v>0</v>
      </c>
      <c r="F33" s="323">
        <f>ROUND(D33*E33,0)</f>
        <v>0</v>
      </c>
    </row>
    <row r="34" spans="1:6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0</v>
      </c>
    </row>
    <row r="35" spans="1:6">
      <c r="A35" s="466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-36216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f>+'UE-180887 Sch 95a'!G32</f>
        <v>-1.8699999999999999E-3</v>
      </c>
      <c r="F38" s="324">
        <f>ROUND(D38*E38,0)</f>
        <v>-13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F40" s="151">
        <f t="shared" ref="F40" si="7">SUM(F36,F38)</f>
        <v>-36229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workbookViewId="0">
      <selection sqref="A1:F1"/>
    </sheetView>
  </sheetViews>
  <sheetFormatPr defaultColWidth="8.85546875" defaultRowHeight="12.75"/>
  <cols>
    <col min="1" max="1" width="5.57031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188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386</v>
      </c>
      <c r="F6" s="7" t="s">
        <v>189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+'UE-190149 Sch 120'!G7</f>
        <v>3.9050000000000001E-3</v>
      </c>
      <c r="F7" s="146">
        <f>ROUND(D7*E7,0)</f>
        <v>41620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+'UE-190149 Sch 120'!G10</f>
        <v>3.179E-3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41620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+'UE-190149 Sch 120'!G9</f>
        <v>3.3279999999999998E-3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2700716.8408001168</v>
      </c>
      <c r="E12" s="149">
        <f>+E11</f>
        <v>3.3279999999999998E-3</v>
      </c>
      <c r="F12" s="146">
        <f t="shared" si="2"/>
        <v>8988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3.179E-3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2988049.5563074257</v>
      </c>
      <c r="E14" s="149">
        <f>+E13</f>
        <v>3.179E-3</v>
      </c>
      <c r="F14" s="146">
        <f t="shared" si="2"/>
        <v>9499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+'UE-190149 Sch 120'!G11</f>
        <v>3.4889999999999999E-3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1939505.2741896487</v>
      </c>
      <c r="E16" s="149">
        <f>+E15</f>
        <v>3.4889999999999999E-3</v>
      </c>
      <c r="F16" s="146">
        <f t="shared" si="2"/>
        <v>6767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+'UE-190149 Sch 120'!G12</f>
        <v>2.601E-3</v>
      </c>
      <c r="F17" s="146">
        <f t="shared" si="2"/>
        <v>43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25297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+'UE-190149 Sch 120'!G16</f>
        <v>3.1519999999999999E-3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3.1519999999999999E-3</v>
      </c>
      <c r="F21" s="146">
        <f>ROUND(D21*E21,0)</f>
        <v>4437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+'UE-190149 Sch 120'!G17</f>
        <v>2.369E-3</v>
      </c>
      <c r="F22" s="146">
        <f>ROUND(D22*E22,0)</f>
        <v>11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5">
        <f>+'UE-190149 Sch 120'!G18</f>
        <v>2.6159999999999998E-3</v>
      </c>
      <c r="F23" s="146">
        <f>ROUND(D23*E23,0)</f>
        <v>322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4770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+'UE-190149 Sch 120'!G24</f>
        <v>2.0509999999999999E-3</v>
      </c>
      <c r="F26" s="146">
        <f>ROUND(D26*E26,0)</f>
        <v>161</v>
      </c>
    </row>
    <row r="27" spans="1:6">
      <c r="A27" s="340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+'UE-190149 Sch 120'!G25</f>
        <v>3.0799999999999998E-3</v>
      </c>
      <c r="F27" s="146">
        <f>ROUND(D27*E27,0)</f>
        <v>1670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1831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+'UE-190149 Sch 120'!G31</f>
        <v>4.0090000000000004E-3</v>
      </c>
      <c r="F30" s="148">
        <f>ROUND(D30*E30,0)</f>
        <v>281</v>
      </c>
    </row>
    <row r="31" spans="1:6">
      <c r="A31" s="466">
        <f t="shared" si="0"/>
        <v>25</v>
      </c>
      <c r="B31" s="466"/>
      <c r="C31" s="320"/>
      <c r="D31" s="334"/>
      <c r="E31" s="145"/>
      <c r="F31" s="323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f>+'UE-190149 Sch 120'!$G$29</f>
        <v>1.047E-3</v>
      </c>
      <c r="F32" s="323">
        <f>ROUND(D32*E32,0)</f>
        <v>2124</v>
      </c>
    </row>
    <row r="33" spans="1:7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f>+'UE-190149 Sch 120'!$G$22</f>
        <v>3.5920000000000001E-3</v>
      </c>
      <c r="F33" s="323">
        <f>ROUND(D33*E33,0)</f>
        <v>1207</v>
      </c>
    </row>
    <row r="34" spans="1:7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3331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77130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E40" s="201">
        <f>+F40/D40</f>
        <v>3.3680541340474139E-3</v>
      </c>
      <c r="F40" s="151">
        <f t="shared" ref="F40" si="7">SUM(F36,F38)</f>
        <v>77130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workbookViewId="0">
      <selection sqref="A1:F1"/>
    </sheetView>
  </sheetViews>
  <sheetFormatPr defaultColWidth="8.85546875" defaultRowHeight="12.75"/>
  <cols>
    <col min="1" max="1" width="4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193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388</v>
      </c>
      <c r="F6" s="7" t="s">
        <v>192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+'UE-180739 Sch 129'!F7</f>
        <v>8.9541873144173675E-4</v>
      </c>
      <c r="F7" s="146">
        <f>ROUND(D7*E7,0)</f>
        <v>9543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+'UE-180739 Sch 129'!F10</f>
        <v>7.9633783587359575E-4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9543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+'UE-180739 Sch 129'!F9</f>
        <v>8.5670150255354833E-4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2700716.8408001168</v>
      </c>
      <c r="E12" s="149">
        <f>+E11</f>
        <v>8.5670150255354833E-4</v>
      </c>
      <c r="F12" s="146">
        <f t="shared" si="2"/>
        <v>2314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7.9633783587359575E-4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2988049.5563074257</v>
      </c>
      <c r="E14" s="149">
        <f>+E13</f>
        <v>7.9633783587359575E-4</v>
      </c>
      <c r="F14" s="146">
        <f t="shared" si="2"/>
        <v>2379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+'UE-180739 Sch 129'!F11</f>
        <v>7.1686514806344444E-4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1939505.2741896487</v>
      </c>
      <c r="E16" s="149">
        <f>+E15</f>
        <v>7.1686514806344444E-4</v>
      </c>
      <c r="F16" s="146">
        <f t="shared" si="2"/>
        <v>1390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+'UE-180739 Sch 129'!F12</f>
        <v>7.1249170972888752E-4</v>
      </c>
      <c r="F17" s="146">
        <f t="shared" si="2"/>
        <v>12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6095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+'UE-180739 Sch 129'!F16</f>
        <v>7.0438565912385356E-4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7.0438565912385356E-4</v>
      </c>
      <c r="F21" s="146">
        <f>ROUND(D21*E21,0)</f>
        <v>991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+'UE-180739 Sch 129'!F17</f>
        <v>5.1178469031804496E-4</v>
      </c>
      <c r="F22" s="146">
        <f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5">
        <f>+'UE-180739 Sch 129'!F18</f>
        <v>7.7894692769778901E-4</v>
      </c>
      <c r="F23" s="146">
        <f>ROUND(D23*E23,0)</f>
        <v>96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1089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+'UE-180739 Sch 129'!F24</f>
        <v>5.8830128525407031E-4</v>
      </c>
      <c r="F26" s="146">
        <f>ROUND(D26*E26,0)</f>
        <v>46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+'UE-180739 Sch 129'!F25</f>
        <v>5.7282963247128971E-4</v>
      </c>
      <c r="F27" s="146">
        <f>ROUND(D27*E27,0)</f>
        <v>311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357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+'UE-180739 Sch 129'!F29</f>
        <v>1.9510671388880511E-3</v>
      </c>
      <c r="F30" s="148">
        <f>ROUND(D30*E30,0)</f>
        <v>137</v>
      </c>
    </row>
    <row r="31" spans="1:6">
      <c r="A31" s="466">
        <f t="shared" si="0"/>
        <v>25</v>
      </c>
      <c r="B31" s="466"/>
      <c r="C31" s="320"/>
      <c r="D31" s="334"/>
      <c r="E31" s="145"/>
      <c r="F31" s="323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f>+'UE-180739 Sch 129'!$F$31</f>
        <v>3.2992589690401861E-5</v>
      </c>
      <c r="F32" s="323">
        <f>ROUND(D32*E32,0)</f>
        <v>67</v>
      </c>
    </row>
    <row r="33" spans="1:7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f>+'UE-180739 Sch 129'!$F$22</f>
        <v>6.4786860124145041E-4</v>
      </c>
      <c r="F33" s="323">
        <f>ROUND(D33*E33,0)</f>
        <v>218</v>
      </c>
    </row>
    <row r="34" spans="1:7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285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17506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F40" s="151">
        <f t="shared" ref="F40" si="7">SUM(F36,F38)</f>
        <v>17506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198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387</v>
      </c>
      <c r="F6" s="7" t="s">
        <v>199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+'UE-180978 Sch 137'!G9</f>
        <v>-7.2999999999999999E-5</v>
      </c>
      <c r="F7" s="146">
        <f>ROUND(D7*E7,0)</f>
        <v>-778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+'UE-180978 Sch 137'!G12</f>
        <v>-6.0000000000000002E-5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-778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+'UE-180978 Sch 137'!G11</f>
        <v>-6.3E-5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2700716.8408001168</v>
      </c>
      <c r="E12" s="149">
        <f>+E11</f>
        <v>-6.3E-5</v>
      </c>
      <c r="F12" s="146">
        <f t="shared" si="2"/>
        <v>-170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-6.0000000000000002E-5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2988049.5563074257</v>
      </c>
      <c r="E14" s="149">
        <f>+E13</f>
        <v>-6.0000000000000002E-5</v>
      </c>
      <c r="F14" s="146">
        <f t="shared" si="2"/>
        <v>-179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+'UE-180978 Sch 137'!G13</f>
        <v>-6.4999999999999994E-5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1939505.2741896487</v>
      </c>
      <c r="E16" s="149">
        <f>+E15</f>
        <v>-6.4999999999999994E-5</v>
      </c>
      <c r="F16" s="146">
        <f t="shared" si="2"/>
        <v>-126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+'UE-180978 Sch 137'!G14</f>
        <v>-4.8999999999999998E-5</v>
      </c>
      <c r="F17" s="146">
        <f t="shared" si="2"/>
        <v>-1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-476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+'UE-180978 Sch 137'!G18</f>
        <v>-5.8999999999999998E-5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-5.8999999999999998E-5</v>
      </c>
      <c r="F21" s="146">
        <f>ROUND(D21*E21,0)</f>
        <v>-83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+'UE-180978 Sch 137'!G19</f>
        <v>-4.3999999999999999E-5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9">
        <f>+'UE-180978 Sch 137'!G20</f>
        <v>-5.0000000000000002E-5</v>
      </c>
      <c r="F23" s="146">
        <f>ROUND(D23*E23,0)</f>
        <v>-6</v>
      </c>
    </row>
    <row r="24" spans="1:6">
      <c r="A24" s="340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-89</v>
      </c>
    </row>
    <row r="25" spans="1:6">
      <c r="A25" s="340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+'UE-180978 Sch 137'!G26</f>
        <v>-3.8000000000000002E-5</v>
      </c>
      <c r="F26" s="146">
        <f>ROUND(D26*E26,0)</f>
        <v>-3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+'UE-180978 Sch 137'!G27</f>
        <v>-5.8E-5</v>
      </c>
      <c r="F27" s="146">
        <f>ROUND(D27*E27,0)</f>
        <v>-31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-34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+'UE-180978 Sch 137'!G31</f>
        <v>-7.4999999999999993E-5</v>
      </c>
      <c r="F30" s="148">
        <f>ROUND(D30*E30,0)</f>
        <v>-5</v>
      </c>
    </row>
    <row r="31" spans="1:6">
      <c r="A31" s="466">
        <f t="shared" si="0"/>
        <v>25</v>
      </c>
      <c r="B31" s="466"/>
      <c r="C31" s="320"/>
      <c r="D31" s="334"/>
      <c r="E31" s="145"/>
      <c r="F31" s="323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v>0</v>
      </c>
      <c r="F32" s="323">
        <f>ROUND(D32*E32,0)</f>
        <v>0</v>
      </c>
    </row>
    <row r="33" spans="1:6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v>0</v>
      </c>
      <c r="F33" s="323">
        <f>ROUND(D33*E33,0)</f>
        <v>0</v>
      </c>
    </row>
    <row r="34" spans="1:6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-1382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f>+'UE-180978 Sch 137'!G33</f>
        <v>-7.2000000000000002E-5</v>
      </c>
      <c r="F38" s="148">
        <f>ROUND(D38*E38,0)</f>
        <v>-1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E40" s="1"/>
      <c r="F40" s="151">
        <f t="shared" ref="F40" si="7">SUM(F36,F38)</f>
        <v>-1383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RowHeight="12.75"/>
  <cols>
    <col min="1" max="1" width="5.85546875" customWidth="1"/>
    <col min="2" max="2" width="13.710937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205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6">
      <c r="A4" s="550"/>
      <c r="B4" s="550"/>
      <c r="C4" s="550"/>
      <c r="D4" s="550"/>
      <c r="E4" s="550"/>
      <c r="F4" s="550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386</v>
      </c>
      <c r="F6" s="7" t="s">
        <v>206</v>
      </c>
    </row>
    <row r="7" spans="1:6">
      <c r="A7" s="3">
        <v>1</v>
      </c>
      <c r="B7" s="3">
        <v>7</v>
      </c>
      <c r="C7" s="4"/>
      <c r="D7" s="9">
        <f>+'GRC Impacts'!C9</f>
        <v>10658082.710537091</v>
      </c>
      <c r="E7" s="145">
        <f>+'UE-190227 Sch 140'!G8</f>
        <v>3.228E-3</v>
      </c>
      <c r="F7" s="146">
        <f>ROUND(D7*E7,0)</f>
        <v>34404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+'UE-190227 Sch 140'!G13</f>
        <v>2.1359999999999999E-3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10658082.710537091</v>
      </c>
      <c r="E9" s="147"/>
      <c r="F9" s="148">
        <f t="shared" ref="F9" si="1">SUM(F7:F8)</f>
        <v>34404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+'UE-190227 Sch 140'!G12</f>
        <v>2.4450000000000001E-3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2700716.8408001168</v>
      </c>
      <c r="E12" s="149">
        <f>+E11</f>
        <v>2.4450000000000001E-3</v>
      </c>
      <c r="F12" s="146">
        <f t="shared" si="2"/>
        <v>6603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+'UE-190227 Sch 140'!G13</f>
        <v>2.1359999999999999E-3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2988049.5563074257</v>
      </c>
      <c r="E14" s="149">
        <f>+E13</f>
        <v>2.1359999999999999E-3</v>
      </c>
      <c r="F14" s="146">
        <f t="shared" si="2"/>
        <v>6382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+'UE-190227 Sch 140'!G14</f>
        <v>2.0959999999999998E-3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1939505.2741896487</v>
      </c>
      <c r="E16" s="149">
        <f>+E15</f>
        <v>2.0959999999999998E-3</v>
      </c>
      <c r="F16" s="146">
        <f t="shared" si="2"/>
        <v>4065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16475.530158172358</v>
      </c>
      <c r="E17" s="145">
        <f>+'UE-190227 Sch 140'!G15</f>
        <v>2.1359999999999999E-3</v>
      </c>
      <c r="F17" s="146">
        <f t="shared" si="2"/>
        <v>35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7644747.2014553631</v>
      </c>
      <c r="E18" s="147"/>
      <c r="F18" s="148">
        <f t="shared" ref="F18" si="3">SUM(F11:F17)</f>
        <v>17085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+'UE-190227 Sch 140'!G19</f>
        <v>1.9780000000000002E-3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1407595.349170306</v>
      </c>
      <c r="E21" s="149">
        <f>+E20</f>
        <v>1.9780000000000002E-3</v>
      </c>
      <c r="F21" s="146">
        <f>ROUND(D21*E21,0)</f>
        <v>2784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+'UE-190227 Sch 140'!G20</f>
        <v>1.9780000000000002E-3</v>
      </c>
      <c r="F22" s="146">
        <f>ROUND(D22*E22,0)</f>
        <v>9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123102.08801083639</v>
      </c>
      <c r="E23" s="149">
        <f>+'UE-190227 Sch 140'!G21</f>
        <v>2.8159999999999999E-3</v>
      </c>
      <c r="F23" s="146">
        <f>ROUND(D23*E23,0)</f>
        <v>347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1535141.0971811423</v>
      </c>
      <c r="E24" s="147"/>
      <c r="F24" s="148">
        <f t="shared" ref="F24" si="4">SUM(F20:F23)</f>
        <v>3140</v>
      </c>
    </row>
    <row r="25" spans="1:6">
      <c r="A25" s="340">
        <f t="shared" si="0"/>
        <v>19</v>
      </c>
      <c r="B25" s="3"/>
      <c r="C25" s="4"/>
      <c r="D25" s="9"/>
      <c r="E25" s="145"/>
      <c r="F25" s="146"/>
    </row>
    <row r="26" spans="1:6">
      <c r="A26" s="340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+'UE-190227 Sch 140'!G27</f>
        <v>1.5579999999999999E-3</v>
      </c>
      <c r="F26" s="146">
        <f>ROUND(D26*E26,0)</f>
        <v>122</v>
      </c>
    </row>
    <row r="27" spans="1:6">
      <c r="A27" s="340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+'UE-190227 Sch 140'!G28</f>
        <v>1.5579999999999999E-3</v>
      </c>
      <c r="F27" s="146">
        <f>ROUND(D27*E27,0)</f>
        <v>845</v>
      </c>
    </row>
    <row r="28" spans="1:6">
      <c r="A28" s="340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967</v>
      </c>
    </row>
    <row r="29" spans="1:6">
      <c r="A29" s="340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+'UE-190227 Sch 140'!G31</f>
        <v>9.1549999999999999E-3</v>
      </c>
      <c r="F30" s="148">
        <f>ROUND(D30*E30,0)</f>
        <v>641</v>
      </c>
    </row>
    <row r="31" spans="1:6">
      <c r="A31" s="466">
        <f t="shared" si="0"/>
        <v>25</v>
      </c>
      <c r="B31" s="466"/>
      <c r="C31" s="320"/>
      <c r="D31" s="334"/>
      <c r="E31" s="145"/>
      <c r="F31" s="323"/>
    </row>
    <row r="32" spans="1:6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145">
        <f>+'UE-190227 Sch 140'!$G$33</f>
        <v>2.4999999999999998E-5</v>
      </c>
      <c r="F32" s="323">
        <f>ROUND(D32*E32,0)</f>
        <v>51</v>
      </c>
    </row>
    <row r="33" spans="1:6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>
        <f>+'UE-190227 Sch 140'!$G$24</f>
        <v>2.186E-3</v>
      </c>
      <c r="F33" s="323">
        <f>ROUND(D33*E33,0)</f>
        <v>734</v>
      </c>
    </row>
    <row r="34" spans="1:6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785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57022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7197.5754843382783</v>
      </c>
      <c r="E38" s="147">
        <v>0</v>
      </c>
      <c r="F38" s="148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22900463.273525935</v>
      </c>
      <c r="E40" s="1"/>
      <c r="F40" s="151">
        <f t="shared" ref="F40" si="7">SUM(F36,F38)</f>
        <v>57022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topLeftCell="A7" workbookViewId="0">
      <selection activeCell="F40" sqref="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0.85546875" style="127" bestFit="1" customWidth="1"/>
    <col min="6" max="6" width="13.140625" style="127" customWidth="1"/>
    <col min="7" max="16384" width="3.5703125" style="127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389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6" spans="1:6" ht="51.75">
      <c r="A6" s="6" t="s">
        <v>209</v>
      </c>
      <c r="B6" s="6" t="s">
        <v>3</v>
      </c>
      <c r="C6" s="6" t="s">
        <v>38</v>
      </c>
      <c r="D6" s="315" t="str">
        <f>+'GRC Impacts'!C7</f>
        <v>Annual mWh Delivered Sales YE 12-2018</v>
      </c>
      <c r="E6" s="315" t="s">
        <v>466</v>
      </c>
      <c r="F6" s="315" t="s">
        <v>210</v>
      </c>
    </row>
    <row r="7" spans="1:6">
      <c r="A7" s="191">
        <v>1</v>
      </c>
      <c r="B7" s="340">
        <v>7</v>
      </c>
      <c r="C7" s="320"/>
      <c r="D7" s="334">
        <f>+'GRC Impacts'!C9</f>
        <v>10658082.710537091</v>
      </c>
      <c r="E7" s="145">
        <f>+'UE-180899 Sch 141&amp;141x Avg Rate'!X17</f>
        <v>1.5560000000000001E-3</v>
      </c>
      <c r="F7" s="323">
        <f>ROUND(D7*E7,0)</f>
        <v>16584</v>
      </c>
    </row>
    <row r="8" spans="1:6">
      <c r="A8" s="191">
        <v>2</v>
      </c>
      <c r="B8" s="341" t="s">
        <v>11</v>
      </c>
      <c r="C8" s="320"/>
      <c r="D8" s="334">
        <v>0</v>
      </c>
      <c r="E8" s="145">
        <f>+'UE-180899 Sch 141&amp;141x Avg Rate'!X22</f>
        <v>8.7699999999999996E-4</v>
      </c>
      <c r="F8" s="323">
        <f>ROUND(D8*E8,0)</f>
        <v>0</v>
      </c>
    </row>
    <row r="9" spans="1:6">
      <c r="A9" s="191">
        <v>3</v>
      </c>
      <c r="B9" s="340"/>
      <c r="C9" s="320" t="s">
        <v>12</v>
      </c>
      <c r="D9" s="322">
        <f>SUM(D7:D8)</f>
        <v>10658082.710537091</v>
      </c>
      <c r="E9" s="147"/>
      <c r="F9" s="324">
        <f t="shared" ref="F9" si="0">SUM(F7:F8)</f>
        <v>16584</v>
      </c>
    </row>
    <row r="10" spans="1:6">
      <c r="A10" s="191">
        <v>4</v>
      </c>
      <c r="B10" s="340"/>
      <c r="C10" s="320"/>
      <c r="D10" s="334"/>
      <c r="E10" s="145"/>
      <c r="F10" s="323"/>
    </row>
    <row r="11" spans="1:6">
      <c r="A11" s="191">
        <v>5</v>
      </c>
      <c r="B11" s="340">
        <v>8</v>
      </c>
      <c r="C11" s="320"/>
      <c r="D11" s="334">
        <v>0</v>
      </c>
      <c r="E11" s="145">
        <f>+'UE-180899 Sch 141&amp;141x Avg Rate'!X21</f>
        <v>1.091E-3</v>
      </c>
      <c r="F11" s="323">
        <f t="shared" ref="F11:F17" si="1">ROUND(D11*E11,0)</f>
        <v>0</v>
      </c>
    </row>
    <row r="12" spans="1:6">
      <c r="A12" s="191">
        <v>6</v>
      </c>
      <c r="B12" s="340">
        <v>24</v>
      </c>
      <c r="C12" s="1"/>
      <c r="D12" s="334">
        <f>+'GRC Impacts'!C12</f>
        <v>2700716.8408001168</v>
      </c>
      <c r="E12" s="149">
        <f>+E11</f>
        <v>1.091E-3</v>
      </c>
      <c r="F12" s="323">
        <f t="shared" si="1"/>
        <v>2946</v>
      </c>
    </row>
    <row r="13" spans="1:6">
      <c r="A13" s="191">
        <v>7</v>
      </c>
      <c r="B13" s="341">
        <v>11</v>
      </c>
      <c r="C13" s="320"/>
      <c r="D13" s="334">
        <v>0</v>
      </c>
      <c r="E13" s="145">
        <f>+E8</f>
        <v>8.7699999999999996E-4</v>
      </c>
      <c r="F13" s="323">
        <f t="shared" si="1"/>
        <v>0</v>
      </c>
    </row>
    <row r="14" spans="1:6">
      <c r="A14" s="191">
        <v>8</v>
      </c>
      <c r="B14" s="341">
        <v>25</v>
      </c>
      <c r="C14" s="1"/>
      <c r="D14" s="334">
        <f>+'GRC Impacts'!C13</f>
        <v>2988049.5563074257</v>
      </c>
      <c r="E14" s="145">
        <f>+E13</f>
        <v>8.7699999999999996E-4</v>
      </c>
      <c r="F14" s="323">
        <f t="shared" si="1"/>
        <v>2621</v>
      </c>
    </row>
    <row r="15" spans="1:6">
      <c r="A15" s="191">
        <v>9</v>
      </c>
      <c r="B15" s="340">
        <v>12</v>
      </c>
      <c r="C15" s="320"/>
      <c r="D15" s="334">
        <v>0</v>
      </c>
      <c r="E15" s="145">
        <f>+'UE-180899 Sch 141&amp;141x Avg Rate'!X23</f>
        <v>8.0500000000000005E-4</v>
      </c>
      <c r="F15" s="323">
        <f t="shared" si="1"/>
        <v>0</v>
      </c>
    </row>
    <row r="16" spans="1:6">
      <c r="A16" s="191">
        <v>10</v>
      </c>
      <c r="B16" s="340" t="s">
        <v>13</v>
      </c>
      <c r="C16" s="1"/>
      <c r="D16" s="334">
        <f>+'GRC Impacts'!C14</f>
        <v>1939505.2741896487</v>
      </c>
      <c r="E16" s="149">
        <f>+E15</f>
        <v>8.0500000000000005E-4</v>
      </c>
      <c r="F16" s="323">
        <f t="shared" si="1"/>
        <v>1561</v>
      </c>
    </row>
    <row r="17" spans="1:9">
      <c r="A17" s="191">
        <v>11</v>
      </c>
      <c r="B17" s="340">
        <v>29</v>
      </c>
      <c r="C17" s="320"/>
      <c r="D17" s="334">
        <f>+'GRC Impacts'!C15</f>
        <v>16475.530158172358</v>
      </c>
      <c r="E17" s="145">
        <f>+'UE-180899 Sch 141&amp;141x Avg Rate'!X24</f>
        <v>7.7200000000000001E-4</v>
      </c>
      <c r="F17" s="323">
        <f t="shared" si="1"/>
        <v>13</v>
      </c>
    </row>
    <row r="18" spans="1:9">
      <c r="A18" s="191">
        <v>12</v>
      </c>
      <c r="B18" s="340"/>
      <c r="C18" s="12" t="s">
        <v>14</v>
      </c>
      <c r="D18" s="322">
        <f>SUM(D11:D17)</f>
        <v>7644747.2014553631</v>
      </c>
      <c r="E18" s="147"/>
      <c r="F18" s="324">
        <f t="shared" ref="F18" si="2">SUM(F11:F17)</f>
        <v>7141</v>
      </c>
    </row>
    <row r="19" spans="1:9">
      <c r="A19" s="191">
        <v>13</v>
      </c>
      <c r="B19" s="340"/>
      <c r="C19" s="320"/>
      <c r="D19" s="334"/>
      <c r="E19" s="145"/>
      <c r="F19" s="323"/>
    </row>
    <row r="20" spans="1:9">
      <c r="A20" s="191">
        <v>14</v>
      </c>
      <c r="B20" s="340">
        <v>10</v>
      </c>
      <c r="C20" s="1"/>
      <c r="D20" s="334">
        <v>0</v>
      </c>
      <c r="E20" s="145">
        <f>+'UE-180899 Sch 141&amp;141x Avg Rate'!X28</f>
        <v>7.8799999999999996E-4</v>
      </c>
      <c r="F20" s="323">
        <f>ROUND(D20*E20,0)</f>
        <v>0</v>
      </c>
    </row>
    <row r="21" spans="1:9">
      <c r="A21" s="191">
        <v>15</v>
      </c>
      <c r="B21" s="340">
        <v>31</v>
      </c>
      <c r="C21" s="320"/>
      <c r="D21" s="334">
        <f>+'GRC Impacts'!C18</f>
        <v>1407595.349170306</v>
      </c>
      <c r="E21" s="149">
        <f>+E20</f>
        <v>7.8799999999999996E-4</v>
      </c>
      <c r="F21" s="323">
        <f>ROUND(D21*E21,0)</f>
        <v>1109</v>
      </c>
    </row>
    <row r="22" spans="1:9">
      <c r="A22" s="191">
        <v>16</v>
      </c>
      <c r="B22" s="340">
        <v>35</v>
      </c>
      <c r="C22" s="320"/>
      <c r="D22" s="334">
        <f>+'GRC Impacts'!C19</f>
        <v>4443.66</v>
      </c>
      <c r="E22" s="149">
        <f>+'UE-180899 Sch 141&amp;141x Avg Rate'!X29</f>
        <v>1.338E-3</v>
      </c>
      <c r="F22" s="323">
        <f>ROUND(D22*E22,0)</f>
        <v>6</v>
      </c>
      <c r="G22" s="192"/>
      <c r="H22" s="192"/>
      <c r="I22" s="192"/>
    </row>
    <row r="23" spans="1:9">
      <c r="A23" s="191">
        <v>19</v>
      </c>
      <c r="B23" s="340">
        <v>43</v>
      </c>
      <c r="C23" s="320"/>
      <c r="D23" s="334">
        <f>+'GRC Impacts'!C20</f>
        <v>123102.08801083639</v>
      </c>
      <c r="E23" s="149">
        <f>+'UE-180899 Sch 141&amp;141x Avg Rate'!X30</f>
        <v>1.312E-3</v>
      </c>
      <c r="F23" s="323">
        <f>ROUND(D23*E23,0)</f>
        <v>162</v>
      </c>
    </row>
    <row r="24" spans="1:9">
      <c r="A24" s="191">
        <v>20</v>
      </c>
      <c r="B24" s="340"/>
      <c r="C24" s="320" t="s">
        <v>15</v>
      </c>
      <c r="D24" s="322">
        <f>SUM(D20:D23)</f>
        <v>1535141.0971811423</v>
      </c>
      <c r="E24" s="147"/>
      <c r="F24" s="324">
        <f t="shared" ref="F24" si="3">SUM(F20:F23)</f>
        <v>1277</v>
      </c>
    </row>
    <row r="25" spans="1:9">
      <c r="A25" s="191">
        <v>21</v>
      </c>
      <c r="B25" s="340"/>
      <c r="C25" s="320"/>
      <c r="D25" s="334"/>
      <c r="E25" s="145"/>
      <c r="F25" s="323"/>
    </row>
    <row r="26" spans="1:9">
      <c r="A26" s="191">
        <v>22</v>
      </c>
      <c r="B26" s="340">
        <v>46</v>
      </c>
      <c r="C26" s="320"/>
      <c r="D26" s="334">
        <f>+'GRC Impacts'!C23</f>
        <v>78351.491999999998</v>
      </c>
      <c r="E26" s="145">
        <f>+'UE-180899 Sch 141&amp;141x Avg Rate'!X36</f>
        <v>6.6E-4</v>
      </c>
      <c r="F26" s="323">
        <f>ROUND(D26*E26,0)</f>
        <v>52</v>
      </c>
    </row>
    <row r="27" spans="1:9">
      <c r="A27" s="191">
        <v>23</v>
      </c>
      <c r="B27" s="340">
        <v>49</v>
      </c>
      <c r="C27" s="320"/>
      <c r="D27" s="334">
        <f>+'GRC Impacts'!C24</f>
        <v>542259.32140199991</v>
      </c>
      <c r="E27" s="145">
        <f>+'UE-180899 Sch 141&amp;141x Avg Rate'!X37</f>
        <v>6.3100000000000005E-4</v>
      </c>
      <c r="F27" s="323">
        <f>ROUND(D27*E27,0)</f>
        <v>342</v>
      </c>
    </row>
    <row r="28" spans="1:9">
      <c r="A28" s="191">
        <v>24</v>
      </c>
      <c r="B28" s="340"/>
      <c r="C28" s="320" t="s">
        <v>16</v>
      </c>
      <c r="D28" s="322">
        <f>SUM(D26:D27)</f>
        <v>620610.81340199988</v>
      </c>
      <c r="E28" s="147"/>
      <c r="F28" s="324">
        <f t="shared" ref="F28" si="4">SUM(F26:F27)</f>
        <v>394</v>
      </c>
    </row>
    <row r="29" spans="1:9">
      <c r="A29" s="191">
        <v>25</v>
      </c>
      <c r="B29" s="340"/>
      <c r="C29" s="320"/>
      <c r="D29" s="334"/>
      <c r="E29" s="145"/>
      <c r="F29" s="323"/>
    </row>
    <row r="30" spans="1:9">
      <c r="A30" s="191">
        <v>26</v>
      </c>
      <c r="B30" s="340" t="s">
        <v>17</v>
      </c>
      <c r="C30" s="320"/>
      <c r="D30" s="322">
        <f>+'GRC Impacts'!C27</f>
        <v>69969.105296000009</v>
      </c>
      <c r="E30" s="147">
        <f>+'UE-180899 Sch 141&amp;141x Avg Rate'!X42</f>
        <v>3.5019999999999999E-3</v>
      </c>
      <c r="F30" s="324">
        <f>ROUND(D30*E30,0)</f>
        <v>245</v>
      </c>
    </row>
    <row r="31" spans="1:9">
      <c r="A31" s="466">
        <f t="shared" ref="A31:A34" si="5">+A30+1</f>
        <v>27</v>
      </c>
      <c r="B31" s="466"/>
      <c r="C31" s="320"/>
      <c r="D31" s="334"/>
      <c r="E31" s="145"/>
      <c r="F31" s="323"/>
    </row>
    <row r="32" spans="1:9">
      <c r="A32" s="466">
        <f t="shared" si="5"/>
        <v>28</v>
      </c>
      <c r="B32" s="467" t="s">
        <v>18</v>
      </c>
      <c r="C32" s="320"/>
      <c r="D32" s="334">
        <f>+'GRC Impacts'!C29</f>
        <v>2028727.0061700002</v>
      </c>
      <c r="E32" s="145">
        <f>+'UE-180899 Sch 141&amp;141x Avg Rate'!$X$40</f>
        <v>3.9999999999999998E-6</v>
      </c>
      <c r="F32" s="323">
        <f>ROUND(D32*E32,0)</f>
        <v>8</v>
      </c>
    </row>
    <row r="33" spans="1:7">
      <c r="A33" s="466">
        <f t="shared" si="5"/>
        <v>29</v>
      </c>
      <c r="B33" s="467" t="s">
        <v>508</v>
      </c>
      <c r="C33" s="320"/>
      <c r="D33" s="334">
        <f>+'GRC Impacts'!C30</f>
        <v>335987.76400000002</v>
      </c>
      <c r="E33" s="145">
        <f>+'UE-180899 Sch 141&amp;141x Avg Rate'!$X$33</f>
        <v>6.0599999999999998E-4</v>
      </c>
      <c r="F33" s="323">
        <f>ROUND(D33*E33,0)</f>
        <v>204</v>
      </c>
    </row>
    <row r="34" spans="1:7">
      <c r="A34" s="466">
        <f t="shared" si="5"/>
        <v>30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212</v>
      </c>
      <c r="G34"/>
    </row>
    <row r="35" spans="1:7">
      <c r="A35" s="191">
        <v>29</v>
      </c>
      <c r="B35" s="340"/>
      <c r="C35" s="320"/>
      <c r="D35" s="334"/>
      <c r="E35" s="145"/>
      <c r="F35" s="323"/>
    </row>
    <row r="36" spans="1:7" ht="15.75" thickBot="1">
      <c r="A36" s="191">
        <v>30</v>
      </c>
      <c r="B36" s="340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25853</v>
      </c>
    </row>
    <row r="37" spans="1:7" ht="15.75" thickTop="1">
      <c r="A37" s="191">
        <v>31</v>
      </c>
      <c r="B37" s="340"/>
      <c r="C37" s="1"/>
      <c r="D37" s="1"/>
      <c r="E37" s="1"/>
      <c r="F37" s="323"/>
    </row>
    <row r="38" spans="1:7">
      <c r="B38" s="340">
        <v>5</v>
      </c>
      <c r="C38" s="1" t="s">
        <v>90</v>
      </c>
      <c r="D38" s="334">
        <f>+'GRC Impacts'!C35</f>
        <v>7197.5754843382783</v>
      </c>
      <c r="E38" s="147"/>
      <c r="F38" s="324"/>
    </row>
    <row r="39" spans="1:7">
      <c r="B39" s="340"/>
      <c r="C39" s="1"/>
      <c r="D39" s="1"/>
      <c r="E39" s="1"/>
      <c r="F39" s="323"/>
    </row>
    <row r="40" spans="1:7" ht="15.75" thickBot="1">
      <c r="B40" s="340"/>
      <c r="C40" s="12" t="s">
        <v>91</v>
      </c>
      <c r="D40" s="14">
        <f>SUM(D36,D38)</f>
        <v>22900463.273525935</v>
      </c>
      <c r="E40" s="1"/>
      <c r="F40" s="151">
        <f t="shared" ref="F40" si="7">SUM(F36,F38)</f>
        <v>25853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ColWidth="8.85546875" defaultRowHeight="15.75"/>
  <cols>
    <col min="1" max="16384" width="8.85546875" style="202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workbookViewId="0">
      <selection activeCell="F40" sqref="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2.85546875" style="127" bestFit="1" customWidth="1"/>
    <col min="7" max="16384" width="3.5703125" style="127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468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6" spans="1:6" ht="51.75">
      <c r="A6" s="6" t="s">
        <v>209</v>
      </c>
      <c r="B6" s="6" t="s">
        <v>3</v>
      </c>
      <c r="C6" s="6" t="s">
        <v>38</v>
      </c>
      <c r="D6" s="315" t="str">
        <f>+'GRC Impacts'!C7</f>
        <v>Annual mWh Delivered Sales YE 12-2018</v>
      </c>
      <c r="E6" s="315" t="s">
        <v>466</v>
      </c>
      <c r="F6" s="315" t="s">
        <v>467</v>
      </c>
    </row>
    <row r="7" spans="1:6">
      <c r="A7" s="342">
        <v>1</v>
      </c>
      <c r="B7" s="340">
        <v>7</v>
      </c>
      <c r="C7" s="320"/>
      <c r="D7" s="334">
        <f>+'GRC Impacts'!C9</f>
        <v>10658082.710537091</v>
      </c>
      <c r="E7" s="145">
        <f>+'UE-180899 Sch 141&amp;141x Avg Rate'!Y17</f>
        <v>-1.5560000000000001E-3</v>
      </c>
      <c r="F7" s="323">
        <f>ROUND(D7*E7,0)</f>
        <v>-16584</v>
      </c>
    </row>
    <row r="8" spans="1:6">
      <c r="A8" s="342">
        <v>2</v>
      </c>
      <c r="B8" s="341" t="s">
        <v>11</v>
      </c>
      <c r="C8" s="320"/>
      <c r="D8" s="334">
        <v>0</v>
      </c>
      <c r="E8" s="145">
        <f>+'UE-180899 Sch 141&amp;141x Avg Rate'!Y22</f>
        <v>-8.7699999999999996E-4</v>
      </c>
      <c r="F8" s="323">
        <f>ROUND(D8*E8,0)</f>
        <v>0</v>
      </c>
    </row>
    <row r="9" spans="1:6">
      <c r="A9" s="342">
        <v>3</v>
      </c>
      <c r="B9" s="340"/>
      <c r="C9" s="320" t="s">
        <v>12</v>
      </c>
      <c r="D9" s="322">
        <f>SUM(D7:D8)</f>
        <v>10658082.710537091</v>
      </c>
      <c r="E9" s="147"/>
      <c r="F9" s="324">
        <f t="shared" ref="F9" si="0">SUM(F7:F8)</f>
        <v>-16584</v>
      </c>
    </row>
    <row r="10" spans="1:6">
      <c r="A10" s="342">
        <v>4</v>
      </c>
      <c r="B10" s="340"/>
      <c r="C10" s="320"/>
      <c r="D10" s="334"/>
      <c r="E10" s="145"/>
      <c r="F10" s="323"/>
    </row>
    <row r="11" spans="1:6">
      <c r="A11" s="342">
        <v>5</v>
      </c>
      <c r="B11" s="340">
        <v>8</v>
      </c>
      <c r="C11" s="320"/>
      <c r="D11" s="334">
        <v>0</v>
      </c>
      <c r="E11" s="145">
        <f>+'UE-180899 Sch 141&amp;141x Avg Rate'!Y21</f>
        <v>-1.091E-3</v>
      </c>
      <c r="F11" s="323">
        <f t="shared" ref="F11:F17" si="1">ROUND(D11*E11,0)</f>
        <v>0</v>
      </c>
    </row>
    <row r="12" spans="1:6">
      <c r="A12" s="342">
        <v>6</v>
      </c>
      <c r="B12" s="340">
        <v>24</v>
      </c>
      <c r="C12" s="1"/>
      <c r="D12" s="334">
        <f>+'GRC Impacts'!C12</f>
        <v>2700716.8408001168</v>
      </c>
      <c r="E12" s="149">
        <f>+E11</f>
        <v>-1.091E-3</v>
      </c>
      <c r="F12" s="323">
        <f t="shared" si="1"/>
        <v>-2946</v>
      </c>
    </row>
    <row r="13" spans="1:6">
      <c r="A13" s="342">
        <v>7</v>
      </c>
      <c r="B13" s="341">
        <v>11</v>
      </c>
      <c r="C13" s="320"/>
      <c r="D13" s="334">
        <v>0</v>
      </c>
      <c r="E13" s="145">
        <f>+E8</f>
        <v>-8.7699999999999996E-4</v>
      </c>
      <c r="F13" s="323">
        <f t="shared" si="1"/>
        <v>0</v>
      </c>
    </row>
    <row r="14" spans="1:6">
      <c r="A14" s="342">
        <v>8</v>
      </c>
      <c r="B14" s="341">
        <v>25</v>
      </c>
      <c r="C14" s="1"/>
      <c r="D14" s="334">
        <f>+'GRC Impacts'!C13</f>
        <v>2988049.5563074257</v>
      </c>
      <c r="E14" s="145">
        <f>+E13</f>
        <v>-8.7699999999999996E-4</v>
      </c>
      <c r="F14" s="323">
        <f t="shared" si="1"/>
        <v>-2621</v>
      </c>
    </row>
    <row r="15" spans="1:6">
      <c r="A15" s="342">
        <v>9</v>
      </c>
      <c r="B15" s="340">
        <v>12</v>
      </c>
      <c r="C15" s="320"/>
      <c r="D15" s="334">
        <v>0</v>
      </c>
      <c r="E15" s="145">
        <f>+'UE-180899 Sch 141&amp;141x Avg Rate'!Y23</f>
        <v>-8.0500000000000005E-4</v>
      </c>
      <c r="F15" s="323">
        <f t="shared" si="1"/>
        <v>0</v>
      </c>
    </row>
    <row r="16" spans="1:6">
      <c r="A16" s="342">
        <v>10</v>
      </c>
      <c r="B16" s="340" t="s">
        <v>13</v>
      </c>
      <c r="C16" s="1"/>
      <c r="D16" s="334">
        <f>+'GRC Impacts'!C14</f>
        <v>1939505.2741896487</v>
      </c>
      <c r="E16" s="149">
        <f>+E15</f>
        <v>-8.0500000000000005E-4</v>
      </c>
      <c r="F16" s="323">
        <f t="shared" si="1"/>
        <v>-1561</v>
      </c>
    </row>
    <row r="17" spans="1:9">
      <c r="A17" s="342">
        <v>11</v>
      </c>
      <c r="B17" s="340">
        <v>29</v>
      </c>
      <c r="C17" s="320"/>
      <c r="D17" s="334">
        <f>+'GRC Impacts'!C15</f>
        <v>16475.530158172358</v>
      </c>
      <c r="E17" s="145">
        <f>+'UE-180899 Sch 141&amp;141x Avg Rate'!Y24</f>
        <v>-7.7200000000000001E-4</v>
      </c>
      <c r="F17" s="323">
        <f t="shared" si="1"/>
        <v>-13</v>
      </c>
    </row>
    <row r="18" spans="1:9">
      <c r="A18" s="342">
        <v>12</v>
      </c>
      <c r="B18" s="340"/>
      <c r="C18" s="12" t="s">
        <v>14</v>
      </c>
      <c r="D18" s="322">
        <f>SUM(D11:D17)</f>
        <v>7644747.2014553631</v>
      </c>
      <c r="E18" s="147"/>
      <c r="F18" s="324">
        <f t="shared" ref="F18" si="2">SUM(F11:F17)</f>
        <v>-7141</v>
      </c>
    </row>
    <row r="19" spans="1:9">
      <c r="A19" s="342">
        <v>13</v>
      </c>
      <c r="B19" s="340"/>
      <c r="C19" s="320"/>
      <c r="D19" s="334"/>
      <c r="E19" s="145"/>
      <c r="F19" s="323"/>
    </row>
    <row r="20" spans="1:9">
      <c r="A20" s="342">
        <v>14</v>
      </c>
      <c r="B20" s="340">
        <v>10</v>
      </c>
      <c r="C20" s="1"/>
      <c r="D20" s="334">
        <v>0</v>
      </c>
      <c r="E20" s="145">
        <f>+'UE-180899 Sch 141&amp;141x Avg Rate'!Y28</f>
        <v>-7.8799999999999996E-4</v>
      </c>
      <c r="F20" s="323">
        <f>ROUND(D20*E20,0)</f>
        <v>0</v>
      </c>
    </row>
    <row r="21" spans="1:9">
      <c r="A21" s="342">
        <v>15</v>
      </c>
      <c r="B21" s="340">
        <v>31</v>
      </c>
      <c r="C21" s="320"/>
      <c r="D21" s="334">
        <f>+'GRC Impacts'!C18</f>
        <v>1407595.349170306</v>
      </c>
      <c r="E21" s="149">
        <f>+E20</f>
        <v>-7.8799999999999996E-4</v>
      </c>
      <c r="F21" s="323">
        <f>ROUND(D21*E21,0)</f>
        <v>-1109</v>
      </c>
    </row>
    <row r="22" spans="1:9">
      <c r="A22" s="342">
        <v>16</v>
      </c>
      <c r="B22" s="340">
        <v>35</v>
      </c>
      <c r="C22" s="320"/>
      <c r="D22" s="334">
        <f>+'GRC Impacts'!C19</f>
        <v>4443.66</v>
      </c>
      <c r="E22" s="149">
        <f>+'UE-180899 Sch 141&amp;141x Avg Rate'!Y29</f>
        <v>-1.338E-3</v>
      </c>
      <c r="F22" s="323">
        <f>ROUND(D22*E22,0)</f>
        <v>-6</v>
      </c>
      <c r="G22" s="192"/>
      <c r="H22" s="192"/>
      <c r="I22" s="192"/>
    </row>
    <row r="23" spans="1:9">
      <c r="A23" s="342">
        <v>19</v>
      </c>
      <c r="B23" s="340">
        <v>43</v>
      </c>
      <c r="C23" s="320"/>
      <c r="D23" s="334">
        <f>+'GRC Impacts'!C20</f>
        <v>123102.08801083639</v>
      </c>
      <c r="E23" s="149">
        <f>+'UE-180899 Sch 141&amp;141x Avg Rate'!Y30</f>
        <v>-1.312E-3</v>
      </c>
      <c r="F23" s="323">
        <f>ROUND(D23*E23,0)</f>
        <v>-162</v>
      </c>
    </row>
    <row r="24" spans="1:9">
      <c r="A24" s="342">
        <v>20</v>
      </c>
      <c r="B24" s="340"/>
      <c r="C24" s="320" t="s">
        <v>15</v>
      </c>
      <c r="D24" s="322">
        <f>SUM(D20:D23)</f>
        <v>1535141.0971811423</v>
      </c>
      <c r="E24" s="147"/>
      <c r="F24" s="324">
        <f t="shared" ref="F24" si="3">SUM(F20:F23)</f>
        <v>-1277</v>
      </c>
    </row>
    <row r="25" spans="1:9">
      <c r="A25" s="342">
        <v>21</v>
      </c>
      <c r="B25" s="340"/>
      <c r="C25" s="320"/>
      <c r="D25" s="334"/>
      <c r="E25" s="145"/>
      <c r="F25" s="323"/>
    </row>
    <row r="26" spans="1:9">
      <c r="A26" s="342">
        <v>22</v>
      </c>
      <c r="B26" s="340">
        <v>46</v>
      </c>
      <c r="C26" s="320"/>
      <c r="D26" s="334">
        <f>+'GRC Impacts'!C23</f>
        <v>78351.491999999998</v>
      </c>
      <c r="E26" s="145">
        <f>+'UE-180899 Sch 141&amp;141x Avg Rate'!Y36</f>
        <v>-6.6E-4</v>
      </c>
      <c r="F26" s="323">
        <f>ROUND(D26*E26,0)</f>
        <v>-52</v>
      </c>
    </row>
    <row r="27" spans="1:9">
      <c r="A27" s="342">
        <v>23</v>
      </c>
      <c r="B27" s="340">
        <v>49</v>
      </c>
      <c r="C27" s="320"/>
      <c r="D27" s="334">
        <f>+'GRC Impacts'!C24</f>
        <v>542259.32140199991</v>
      </c>
      <c r="E27" s="145">
        <f>+'UE-180899 Sch 141&amp;141x Avg Rate'!Y37</f>
        <v>-6.3100000000000005E-4</v>
      </c>
      <c r="F27" s="323">
        <f>ROUND(D27*E27,0)</f>
        <v>-342</v>
      </c>
    </row>
    <row r="28" spans="1:9">
      <c r="A28" s="342">
        <v>24</v>
      </c>
      <c r="B28" s="340"/>
      <c r="C28" s="320" t="s">
        <v>16</v>
      </c>
      <c r="D28" s="322">
        <f>SUM(D26:D27)</f>
        <v>620610.81340199988</v>
      </c>
      <c r="E28" s="147"/>
      <c r="F28" s="324">
        <f t="shared" ref="F28" si="4">SUM(F26:F27)</f>
        <v>-394</v>
      </c>
    </row>
    <row r="29" spans="1:9">
      <c r="A29" s="342">
        <v>25</v>
      </c>
      <c r="B29" s="340"/>
      <c r="C29" s="320"/>
      <c r="D29" s="334"/>
      <c r="E29" s="145"/>
      <c r="F29" s="323"/>
    </row>
    <row r="30" spans="1:9">
      <c r="A30" s="342">
        <v>26</v>
      </c>
      <c r="B30" s="340" t="s">
        <v>17</v>
      </c>
      <c r="C30" s="320"/>
      <c r="D30" s="322">
        <f>+'GRC Impacts'!C27</f>
        <v>69969.105296000009</v>
      </c>
      <c r="E30" s="147">
        <f>+'UE-180899 Sch 141&amp;141x Avg Rate'!Y42</f>
        <v>-3.5019999999999999E-3</v>
      </c>
      <c r="F30" s="324">
        <f>ROUND(D30*E30,0)</f>
        <v>-245</v>
      </c>
    </row>
    <row r="31" spans="1:9">
      <c r="A31" s="466">
        <f t="shared" ref="A31:A34" si="5">+A30+1</f>
        <v>27</v>
      </c>
      <c r="B31" s="466"/>
      <c r="C31" s="320"/>
      <c r="D31" s="334"/>
      <c r="E31" s="145"/>
      <c r="F31" s="323"/>
    </row>
    <row r="32" spans="1:9">
      <c r="A32" s="466">
        <f t="shared" si="5"/>
        <v>28</v>
      </c>
      <c r="B32" s="467" t="s">
        <v>18</v>
      </c>
      <c r="C32" s="320"/>
      <c r="D32" s="334">
        <f>+'GRC Impacts'!C29</f>
        <v>2028727.0061700002</v>
      </c>
      <c r="E32" s="145">
        <f>+'UE-180899 Sch 141&amp;141x Avg Rate'!$Y$40</f>
        <v>-3.9999999999999998E-6</v>
      </c>
      <c r="F32" s="323">
        <f>ROUND(D32*E32,0)</f>
        <v>-8</v>
      </c>
    </row>
    <row r="33" spans="1:7">
      <c r="A33" s="466">
        <f t="shared" si="5"/>
        <v>29</v>
      </c>
      <c r="B33" s="467" t="s">
        <v>508</v>
      </c>
      <c r="C33" s="320"/>
      <c r="D33" s="334">
        <f>+'GRC Impacts'!C30</f>
        <v>335987.76400000002</v>
      </c>
      <c r="E33" s="145">
        <f>+'UE-180899 Sch 141&amp;141x Avg Rate'!$Y$33</f>
        <v>-6.0599999999999998E-4</v>
      </c>
      <c r="F33" s="323">
        <f>ROUND(D33*E33,0)</f>
        <v>-204</v>
      </c>
    </row>
    <row r="34" spans="1:7">
      <c r="A34" s="466">
        <f t="shared" si="5"/>
        <v>30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-212</v>
      </c>
      <c r="G34"/>
    </row>
    <row r="35" spans="1:7">
      <c r="A35" s="342">
        <v>29</v>
      </c>
      <c r="B35" s="340"/>
      <c r="C35" s="320"/>
      <c r="D35" s="334"/>
      <c r="E35" s="145"/>
      <c r="F35" s="323"/>
    </row>
    <row r="36" spans="1:7" ht="15.75" thickBot="1">
      <c r="A36" s="342">
        <v>30</v>
      </c>
      <c r="B36" s="340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-25853</v>
      </c>
    </row>
    <row r="37" spans="1:7" ht="15.75" thickTop="1">
      <c r="A37" s="342">
        <v>31</v>
      </c>
      <c r="B37" s="340"/>
      <c r="C37" s="1"/>
      <c r="D37" s="1"/>
      <c r="E37" s="1"/>
      <c r="F37" s="323"/>
    </row>
    <row r="38" spans="1:7">
      <c r="B38" s="340">
        <v>5</v>
      </c>
      <c r="C38" s="1" t="s">
        <v>90</v>
      </c>
      <c r="D38" s="334">
        <f>+'GRC Impacts'!C35</f>
        <v>7197.5754843382783</v>
      </c>
      <c r="E38" s="147"/>
      <c r="F38" s="324">
        <f>ROUND(D38*E38,-3)</f>
        <v>0</v>
      </c>
    </row>
    <row r="39" spans="1:7">
      <c r="B39" s="340"/>
      <c r="C39" s="1"/>
      <c r="D39" s="1"/>
      <c r="E39" s="1"/>
      <c r="F39" s="323"/>
    </row>
    <row r="40" spans="1:7" ht="15.75" thickBot="1">
      <c r="B40" s="340"/>
      <c r="C40" s="12" t="s">
        <v>91</v>
      </c>
      <c r="D40" s="14">
        <f>SUM(D36,D38)</f>
        <v>22900463.273525935</v>
      </c>
      <c r="E40" s="1"/>
      <c r="F40" s="151">
        <f t="shared" ref="F40" si="7">SUM(F36,F38)</f>
        <v>-25853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1"/>
  <sheetViews>
    <sheetView workbookViewId="0">
      <selection sqref="A1:F1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3.140625" style="127" customWidth="1"/>
    <col min="7" max="16384" width="3.5703125" style="127"/>
  </cols>
  <sheetData>
    <row r="1" spans="1:6">
      <c r="A1" s="550" t="s">
        <v>0</v>
      </c>
      <c r="B1" s="550"/>
      <c r="C1" s="550"/>
      <c r="D1" s="550"/>
      <c r="E1" s="550"/>
      <c r="F1" s="550"/>
    </row>
    <row r="2" spans="1:6">
      <c r="A2" s="551" t="s">
        <v>565</v>
      </c>
      <c r="B2" s="550"/>
      <c r="C2" s="550"/>
      <c r="D2" s="550"/>
      <c r="E2" s="550"/>
      <c r="F2" s="550"/>
    </row>
    <row r="3" spans="1:6">
      <c r="A3" s="550" t="str">
        <f>+'GRC Impacts'!A3</f>
        <v>Test Year ended December 2018</v>
      </c>
      <c r="B3" s="550"/>
      <c r="C3" s="550"/>
      <c r="D3" s="550"/>
      <c r="E3" s="550"/>
      <c r="F3" s="550"/>
    </row>
    <row r="6" spans="1:6" ht="51.75">
      <c r="A6" s="6" t="s">
        <v>209</v>
      </c>
      <c r="B6" s="6" t="s">
        <v>3</v>
      </c>
      <c r="C6" s="6" t="s">
        <v>38</v>
      </c>
      <c r="D6" s="315" t="str">
        <f>+'GRC Impacts'!C7</f>
        <v>Annual mWh Delivered Sales YE 12-2018</v>
      </c>
      <c r="E6" s="315" t="s">
        <v>386</v>
      </c>
      <c r="F6" s="315" t="s">
        <v>210</v>
      </c>
    </row>
    <row r="7" spans="1:6">
      <c r="A7" s="342">
        <v>1</v>
      </c>
      <c r="B7" s="340">
        <v>7</v>
      </c>
      <c r="C7" s="320"/>
      <c r="D7" s="334">
        <f>+'GRC Impacts'!C9</f>
        <v>10658082.710537091</v>
      </c>
      <c r="E7" s="145">
        <f>+'UE-190220 Sch 141y'!G8</f>
        <v>-1.271E-3</v>
      </c>
      <c r="F7" s="323">
        <f>ROUND(D7*E7,0)</f>
        <v>-13546</v>
      </c>
    </row>
    <row r="8" spans="1:6">
      <c r="A8" s="342">
        <v>2</v>
      </c>
      <c r="B8" s="341" t="s">
        <v>11</v>
      </c>
      <c r="C8" s="320"/>
      <c r="D8" s="334">
        <v>0</v>
      </c>
      <c r="E8" s="145">
        <f>+'UE-190220 Sch 141y'!G13</f>
        <v>-8.6700000000000004E-4</v>
      </c>
      <c r="F8" s="323">
        <f>ROUND(D8*E8,0)</f>
        <v>0</v>
      </c>
    </row>
    <row r="9" spans="1:6">
      <c r="A9" s="342">
        <v>3</v>
      </c>
      <c r="B9" s="340"/>
      <c r="C9" s="320" t="s">
        <v>12</v>
      </c>
      <c r="D9" s="322">
        <f>SUM(D7:D8)</f>
        <v>10658082.710537091</v>
      </c>
      <c r="E9" s="147"/>
      <c r="F9" s="324">
        <f t="shared" ref="F9" si="0">SUM(F7:F8)</f>
        <v>-13546</v>
      </c>
    </row>
    <row r="10" spans="1:6">
      <c r="A10" s="342">
        <v>4</v>
      </c>
      <c r="B10" s="340"/>
      <c r="C10" s="320"/>
      <c r="D10" s="334"/>
      <c r="E10" s="145"/>
      <c r="F10" s="323"/>
    </row>
    <row r="11" spans="1:6">
      <c r="A11" s="342">
        <v>5</v>
      </c>
      <c r="B11" s="340">
        <v>8</v>
      </c>
      <c r="C11" s="320"/>
      <c r="D11" s="334">
        <v>0</v>
      </c>
      <c r="E11" s="145">
        <f>+'UE-190220 Sch 141y'!G12</f>
        <v>-9.4300000000000004E-4</v>
      </c>
      <c r="F11" s="323">
        <f t="shared" ref="F11:F17" si="1">ROUND(D11*E11,0)</f>
        <v>0</v>
      </c>
    </row>
    <row r="12" spans="1:6">
      <c r="A12" s="342">
        <v>6</v>
      </c>
      <c r="B12" s="340">
        <v>24</v>
      </c>
      <c r="C12" s="1"/>
      <c r="D12" s="334">
        <f>+'GRC Impacts'!C12</f>
        <v>2700716.8408001168</v>
      </c>
      <c r="E12" s="149">
        <f>+E11</f>
        <v>-9.4300000000000004E-4</v>
      </c>
      <c r="F12" s="323">
        <f t="shared" si="1"/>
        <v>-2547</v>
      </c>
    </row>
    <row r="13" spans="1:6">
      <c r="A13" s="342">
        <v>7</v>
      </c>
      <c r="B13" s="341">
        <v>11</v>
      </c>
      <c r="C13" s="320"/>
      <c r="D13" s="334">
        <v>0</v>
      </c>
      <c r="E13" s="145">
        <f>+E8</f>
        <v>-8.6700000000000004E-4</v>
      </c>
      <c r="F13" s="323">
        <f t="shared" si="1"/>
        <v>0</v>
      </c>
    </row>
    <row r="14" spans="1:6">
      <c r="A14" s="342">
        <v>8</v>
      </c>
      <c r="B14" s="341">
        <v>25</v>
      </c>
      <c r="C14" s="1"/>
      <c r="D14" s="334">
        <f>+'GRC Impacts'!C13</f>
        <v>2988049.5563074257</v>
      </c>
      <c r="E14" s="149">
        <f>+E13</f>
        <v>-8.6700000000000004E-4</v>
      </c>
      <c r="F14" s="323">
        <f t="shared" si="1"/>
        <v>-2591</v>
      </c>
    </row>
    <row r="15" spans="1:6">
      <c r="A15" s="342">
        <v>9</v>
      </c>
      <c r="B15" s="340">
        <v>12</v>
      </c>
      <c r="C15" s="320"/>
      <c r="D15" s="334">
        <v>0</v>
      </c>
      <c r="E15" s="145">
        <f>+'UE-190220 Sch 141y'!G14</f>
        <v>-8.5700000000000001E-4</v>
      </c>
      <c r="F15" s="323">
        <f t="shared" si="1"/>
        <v>0</v>
      </c>
    </row>
    <row r="16" spans="1:6">
      <c r="A16" s="342">
        <v>10</v>
      </c>
      <c r="B16" s="340" t="s">
        <v>13</v>
      </c>
      <c r="C16" s="1"/>
      <c r="D16" s="334">
        <f>+'GRC Impacts'!C14</f>
        <v>1939505.2741896487</v>
      </c>
      <c r="E16" s="149">
        <f>+E15</f>
        <v>-8.5700000000000001E-4</v>
      </c>
      <c r="F16" s="323">
        <f t="shared" si="1"/>
        <v>-1662</v>
      </c>
    </row>
    <row r="17" spans="1:8">
      <c r="A17" s="342">
        <v>11</v>
      </c>
      <c r="B17" s="340">
        <v>29</v>
      </c>
      <c r="C17" s="320"/>
      <c r="D17" s="334">
        <f>+'GRC Impacts'!C15</f>
        <v>16475.530158172358</v>
      </c>
      <c r="E17" s="145">
        <f>+'UE-190220 Sch 141y'!G15</f>
        <v>-8.6700000000000004E-4</v>
      </c>
      <c r="F17" s="323">
        <f t="shared" si="1"/>
        <v>-14</v>
      </c>
    </row>
    <row r="18" spans="1:8">
      <c r="A18" s="342">
        <v>12</v>
      </c>
      <c r="B18" s="340"/>
      <c r="C18" s="12" t="s">
        <v>14</v>
      </c>
      <c r="D18" s="322">
        <f>SUM(D11:D17)</f>
        <v>7644747.2014553631</v>
      </c>
      <c r="E18" s="147"/>
      <c r="F18" s="324">
        <f t="shared" ref="F18" si="2">SUM(F11:F17)</f>
        <v>-6814</v>
      </c>
    </row>
    <row r="19" spans="1:8">
      <c r="A19" s="342">
        <v>13</v>
      </c>
      <c r="B19" s="340"/>
      <c r="C19" s="320"/>
      <c r="D19" s="334"/>
      <c r="E19" s="145"/>
      <c r="F19" s="323"/>
    </row>
    <row r="20" spans="1:8">
      <c r="A20" s="342">
        <v>14</v>
      </c>
      <c r="B20" s="340">
        <v>10</v>
      </c>
      <c r="C20" s="1"/>
      <c r="D20" s="334">
        <v>0</v>
      </c>
      <c r="E20" s="145">
        <f>+'UE-190220 Sch 141y'!G19</f>
        <v>-8.12E-4</v>
      </c>
      <c r="F20" s="323">
        <f>ROUND(D20*E20,0)</f>
        <v>0</v>
      </c>
    </row>
    <row r="21" spans="1:8">
      <c r="A21" s="342">
        <v>15</v>
      </c>
      <c r="B21" s="340">
        <v>31</v>
      </c>
      <c r="C21" s="320"/>
      <c r="D21" s="334">
        <f>+'GRC Impacts'!C18</f>
        <v>1407595.349170306</v>
      </c>
      <c r="E21" s="149">
        <f>+E20</f>
        <v>-8.12E-4</v>
      </c>
      <c r="F21" s="323">
        <f>ROUND(D21*E21,0)</f>
        <v>-1143</v>
      </c>
    </row>
    <row r="22" spans="1:8">
      <c r="A22" s="342">
        <v>16</v>
      </c>
      <c r="B22" s="340">
        <v>35</v>
      </c>
      <c r="C22" s="320"/>
      <c r="D22" s="334">
        <f>+'GRC Impacts'!C19</f>
        <v>4443.66</v>
      </c>
      <c r="E22" s="149">
        <f>+'UE-190220 Sch 141y'!G20</f>
        <v>-8.12E-4</v>
      </c>
      <c r="F22" s="323">
        <f>ROUND(D22*E22,0)</f>
        <v>-4</v>
      </c>
      <c r="G22" s="192"/>
      <c r="H22" s="192"/>
    </row>
    <row r="23" spans="1:8">
      <c r="A23" s="342">
        <v>19</v>
      </c>
      <c r="B23" s="340">
        <v>43</v>
      </c>
      <c r="C23" s="320"/>
      <c r="D23" s="334">
        <f>+'GRC Impacts'!C20</f>
        <v>123102.08801083639</v>
      </c>
      <c r="E23" s="149">
        <f>+'UE-190220 Sch 141y'!G21</f>
        <v>-1.14E-3</v>
      </c>
      <c r="F23" s="323">
        <f>ROUND(D23*E23,0)</f>
        <v>-140</v>
      </c>
    </row>
    <row r="24" spans="1:8">
      <c r="A24" s="342">
        <v>20</v>
      </c>
      <c r="B24" s="340"/>
      <c r="C24" s="320" t="s">
        <v>15</v>
      </c>
      <c r="D24" s="322">
        <f>SUM(D20:D23)</f>
        <v>1535141.0971811423</v>
      </c>
      <c r="E24" s="147"/>
      <c r="F24" s="324">
        <f t="shared" ref="F24" si="3">SUM(F20:F23)</f>
        <v>-1287</v>
      </c>
    </row>
    <row r="25" spans="1:8">
      <c r="A25" s="342">
        <v>21</v>
      </c>
      <c r="B25" s="340"/>
      <c r="C25" s="320"/>
      <c r="D25" s="334"/>
      <c r="E25" s="145"/>
      <c r="F25" s="323"/>
    </row>
    <row r="26" spans="1:8">
      <c r="A26" s="342">
        <v>22</v>
      </c>
      <c r="B26" s="340">
        <v>46</v>
      </c>
      <c r="C26" s="320"/>
      <c r="D26" s="334">
        <f>+'GRC Impacts'!C23</f>
        <v>78351.491999999998</v>
      </c>
      <c r="E26" s="145">
        <f>+'UE-190220 Sch 141y'!G27</f>
        <v>-6.5300000000000004E-4</v>
      </c>
      <c r="F26" s="323">
        <f>ROUND(D26*E26,0)</f>
        <v>-51</v>
      </c>
    </row>
    <row r="27" spans="1:8">
      <c r="A27" s="342">
        <v>23</v>
      </c>
      <c r="B27" s="340">
        <v>49</v>
      </c>
      <c r="C27" s="320"/>
      <c r="D27" s="334">
        <f>+'GRC Impacts'!C24</f>
        <v>542259.32140199991</v>
      </c>
      <c r="E27" s="145">
        <f>+'UE-190220 Sch 141y'!G28</f>
        <v>-6.5300000000000004E-4</v>
      </c>
      <c r="F27" s="323">
        <f>ROUND(D27*E27,0)</f>
        <v>-354</v>
      </c>
    </row>
    <row r="28" spans="1:8">
      <c r="A28" s="342">
        <v>24</v>
      </c>
      <c r="B28" s="340"/>
      <c r="C28" s="320" t="s">
        <v>16</v>
      </c>
      <c r="D28" s="322">
        <f>SUM(D26:D27)</f>
        <v>620610.81340199988</v>
      </c>
      <c r="E28" s="147"/>
      <c r="F28" s="324">
        <f t="shared" ref="F28" si="4">SUM(F26:F27)</f>
        <v>-405</v>
      </c>
    </row>
    <row r="29" spans="1:8">
      <c r="A29" s="342">
        <v>25</v>
      </c>
      <c r="B29" s="340"/>
      <c r="C29" s="320"/>
      <c r="D29" s="334"/>
      <c r="E29" s="145"/>
      <c r="F29" s="323"/>
    </row>
    <row r="30" spans="1:8">
      <c r="A30" s="342">
        <v>26</v>
      </c>
      <c r="B30" s="340" t="s">
        <v>17</v>
      </c>
      <c r="C30" s="320"/>
      <c r="D30" s="322">
        <f>+'GRC Impacts'!C27</f>
        <v>69969.105296000009</v>
      </c>
      <c r="E30" s="147">
        <f>+'UE-190220 Sch 141y'!G31</f>
        <v>-3.5850000000000001E-3</v>
      </c>
      <c r="F30" s="324">
        <f>ROUND(D30*E30,0)</f>
        <v>-251</v>
      </c>
    </row>
    <row r="31" spans="1:8">
      <c r="A31" s="466">
        <f t="shared" ref="A31:A34" si="5">+A30+1</f>
        <v>27</v>
      </c>
      <c r="B31" s="466"/>
      <c r="C31" s="320"/>
      <c r="D31" s="334"/>
      <c r="E31" s="145"/>
      <c r="F31" s="323"/>
    </row>
    <row r="32" spans="1:8">
      <c r="A32" s="466">
        <f t="shared" si="5"/>
        <v>28</v>
      </c>
      <c r="B32" s="467" t="s">
        <v>18</v>
      </c>
      <c r="C32" s="320"/>
      <c r="D32" s="334">
        <f>+'GRC Impacts'!C29</f>
        <v>2028727.0061700002</v>
      </c>
      <c r="E32" s="145">
        <f>+'UE-190220 Sch 141y'!$G$33</f>
        <v>-1.46E-4</v>
      </c>
      <c r="F32" s="323">
        <f>ROUND(D32*E32,0)</f>
        <v>-296</v>
      </c>
    </row>
    <row r="33" spans="1:7">
      <c r="A33" s="466">
        <f t="shared" si="5"/>
        <v>29</v>
      </c>
      <c r="B33" s="467" t="s">
        <v>508</v>
      </c>
      <c r="C33" s="320"/>
      <c r="D33" s="334">
        <f>+'GRC Impacts'!C30</f>
        <v>335987.76400000002</v>
      </c>
      <c r="E33" s="145">
        <f>+'UE-190220 Sch 141y'!$G$24</f>
        <v>-8.5700000000000001E-4</v>
      </c>
      <c r="F33" s="323">
        <f>ROUND(D33*E33,0)</f>
        <v>-288</v>
      </c>
    </row>
    <row r="34" spans="1:7">
      <c r="A34" s="466">
        <f t="shared" si="5"/>
        <v>30</v>
      </c>
      <c r="B34" s="467"/>
      <c r="C34" s="320" t="s">
        <v>509</v>
      </c>
      <c r="D34" s="322">
        <f>+'GRC Impacts'!C31</f>
        <v>2364714.7701700004</v>
      </c>
      <c r="E34" s="147"/>
      <c r="F34" s="324">
        <f t="shared" ref="F34" si="6">SUM(F32:F33)</f>
        <v>-584</v>
      </c>
      <c r="G34"/>
    </row>
    <row r="35" spans="1:7">
      <c r="A35" s="342">
        <v>29</v>
      </c>
      <c r="B35" s="340"/>
      <c r="C35" s="320"/>
      <c r="D35" s="334"/>
      <c r="E35" s="145"/>
      <c r="F35" s="323"/>
    </row>
    <row r="36" spans="1:7" ht="15.75" thickBot="1">
      <c r="A36" s="342">
        <v>30</v>
      </c>
      <c r="B36" s="340"/>
      <c r="C36" s="12" t="s">
        <v>89</v>
      </c>
      <c r="D36" s="14">
        <f>SUM(D9,D18,D24,D28,D30,D34)</f>
        <v>22893265.698041596</v>
      </c>
      <c r="E36" s="150"/>
      <c r="F36" s="151">
        <f>SUM(F9,F18,F24,F28,F30,F34)</f>
        <v>-22887</v>
      </c>
    </row>
    <row r="37" spans="1:7" ht="15.75" thickTop="1">
      <c r="A37" s="342">
        <v>31</v>
      </c>
      <c r="B37" s="340"/>
      <c r="C37" s="1"/>
      <c r="D37" s="1"/>
      <c r="E37" s="1"/>
      <c r="F37" s="323"/>
    </row>
    <row r="38" spans="1:7">
      <c r="B38" s="340">
        <v>5</v>
      </c>
      <c r="C38" s="1" t="s">
        <v>90</v>
      </c>
      <c r="D38" s="334">
        <f>+'GRC Impacts'!C35</f>
        <v>7197.5754843382783</v>
      </c>
      <c r="E38" s="147"/>
      <c r="F38" s="324">
        <f>ROUND(D38*E38,-3)</f>
        <v>0</v>
      </c>
    </row>
    <row r="39" spans="1:7">
      <c r="B39" s="340"/>
      <c r="C39" s="1"/>
      <c r="D39" s="1"/>
      <c r="E39" s="1"/>
      <c r="F39" s="323"/>
    </row>
    <row r="40" spans="1:7" ht="15.75" thickBot="1">
      <c r="B40" s="340"/>
      <c r="C40" s="12" t="s">
        <v>91</v>
      </c>
      <c r="D40" s="14">
        <f>SUM(D36,D38)</f>
        <v>22900463.273525935</v>
      </c>
      <c r="E40" s="1"/>
      <c r="F40" s="151">
        <f t="shared" ref="F40" si="7">SUM(F36,F38)</f>
        <v>-22887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6"/>
  <sheetViews>
    <sheetView workbookViewId="0">
      <selection sqref="A1:E1"/>
    </sheetView>
  </sheetViews>
  <sheetFormatPr defaultColWidth="8.85546875" defaultRowHeight="12.75"/>
  <cols>
    <col min="1" max="1" width="8.85546875" style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2.28515625" style="1" customWidth="1"/>
    <col min="7" max="7" width="11.5703125" style="1" bestFit="1" customWidth="1"/>
    <col min="8" max="8" width="11.7109375" style="1" customWidth="1"/>
    <col min="9" max="16384" width="8.85546875" style="1"/>
  </cols>
  <sheetData>
    <row r="1" spans="1:8">
      <c r="A1" s="550" t="s">
        <v>0</v>
      </c>
      <c r="B1" s="550"/>
      <c r="C1" s="550"/>
      <c r="D1" s="550"/>
      <c r="E1" s="550"/>
    </row>
    <row r="2" spans="1:8">
      <c r="A2" s="551" t="s">
        <v>211</v>
      </c>
      <c r="B2" s="550"/>
      <c r="C2" s="550"/>
      <c r="D2" s="550"/>
      <c r="E2" s="550"/>
    </row>
    <row r="3" spans="1:8">
      <c r="A3" s="550" t="str">
        <f>+'GRC Impacts'!A3</f>
        <v>Test Year ended December 2018</v>
      </c>
      <c r="B3" s="550"/>
      <c r="C3" s="550"/>
      <c r="D3" s="550"/>
      <c r="E3" s="550"/>
    </row>
    <row r="4" spans="1:8">
      <c r="A4" s="550"/>
      <c r="B4" s="550"/>
      <c r="C4" s="550"/>
      <c r="D4" s="550"/>
      <c r="E4" s="550"/>
    </row>
    <row r="5" spans="1:8">
      <c r="A5" s="319"/>
      <c r="B5" s="318"/>
      <c r="C5" s="318"/>
      <c r="D5" s="318"/>
      <c r="E5" s="318"/>
    </row>
    <row r="6" spans="1:8" ht="63.7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5" t="s">
        <v>390</v>
      </c>
      <c r="F6" s="315" t="s">
        <v>391</v>
      </c>
      <c r="G6" s="315" t="s">
        <v>392</v>
      </c>
      <c r="H6" s="315" t="s">
        <v>393</v>
      </c>
    </row>
    <row r="7" spans="1:8">
      <c r="A7" s="318">
        <v>1</v>
      </c>
      <c r="B7" s="318">
        <v>7</v>
      </c>
      <c r="C7" s="4"/>
      <c r="D7" s="9">
        <f>+'GRC Impacts'!C9</f>
        <v>10658082.710537091</v>
      </c>
      <c r="E7" s="9"/>
      <c r="F7" s="145">
        <f>+'UE-190231 Sch 142'!H9</f>
        <v>6.2100000000000002E-4</v>
      </c>
      <c r="G7" s="145"/>
      <c r="H7" s="430">
        <f>ROUND(D7*F7+G7*E7/1000,0)</f>
        <v>6619</v>
      </c>
    </row>
    <row r="8" spans="1:8">
      <c r="A8" s="318">
        <f t="shared" ref="A8:A40" si="0">+A7+1</f>
        <v>2</v>
      </c>
      <c r="B8" s="319" t="s">
        <v>11</v>
      </c>
      <c r="C8" s="4"/>
      <c r="D8" s="9">
        <v>0</v>
      </c>
      <c r="E8" s="9"/>
      <c r="F8" s="145">
        <f>+'UE-190231 Sch 142'!H10</f>
        <v>-6.5700000000000003E-4</v>
      </c>
      <c r="G8" s="145"/>
      <c r="H8" s="430">
        <f>ROUND(D8*F8+G8*E8/1000,0)</f>
        <v>0</v>
      </c>
    </row>
    <row r="9" spans="1:8">
      <c r="A9" s="318">
        <f t="shared" si="0"/>
        <v>3</v>
      </c>
      <c r="B9" s="318"/>
      <c r="C9" s="4" t="s">
        <v>12</v>
      </c>
      <c r="D9" s="13">
        <f>SUM(D7:D8)</f>
        <v>10658082.710537091</v>
      </c>
      <c r="E9" s="9"/>
      <c r="F9" s="334"/>
      <c r="G9" s="334"/>
      <c r="H9" s="454">
        <f t="shared" ref="H9" si="1">SUM(H7:H8)</f>
        <v>6619</v>
      </c>
    </row>
    <row r="10" spans="1:8">
      <c r="A10" s="318">
        <f t="shared" si="0"/>
        <v>4</v>
      </c>
      <c r="B10" s="318"/>
      <c r="C10" s="4"/>
      <c r="D10" s="9"/>
      <c r="E10" s="9"/>
      <c r="F10" s="145"/>
      <c r="G10" s="145"/>
      <c r="H10" s="430"/>
    </row>
    <row r="11" spans="1:8">
      <c r="A11" s="318">
        <f t="shared" si="0"/>
        <v>5</v>
      </c>
      <c r="B11" s="318">
        <v>8</v>
      </c>
      <c r="C11" s="4"/>
      <c r="D11" s="9">
        <v>0</v>
      </c>
      <c r="E11" s="9"/>
      <c r="F11" s="145">
        <f>+'UE-190231 Sch 142'!H13</f>
        <v>2.8170000000000001E-3</v>
      </c>
      <c r="G11" s="145"/>
      <c r="H11" s="430">
        <f t="shared" ref="H11:H17" si="2">ROUND(D11*F11+G11*E11/1000,0)</f>
        <v>0</v>
      </c>
    </row>
    <row r="12" spans="1:8">
      <c r="A12" s="318">
        <f t="shared" si="0"/>
        <v>6</v>
      </c>
      <c r="B12" s="318">
        <v>24</v>
      </c>
      <c r="D12" s="9">
        <f>+'GRC Impacts'!C12</f>
        <v>2700716.8408001168</v>
      </c>
      <c r="E12" s="9"/>
      <c r="F12" s="145">
        <f>+'UE-190231 Sch 142'!H14</f>
        <v>2.8170000000000001E-3</v>
      </c>
      <c r="G12" s="145"/>
      <c r="H12" s="430">
        <f t="shared" si="2"/>
        <v>7608</v>
      </c>
    </row>
    <row r="13" spans="1:8">
      <c r="A13" s="318">
        <f t="shared" si="0"/>
        <v>7</v>
      </c>
      <c r="B13" s="319">
        <v>11</v>
      </c>
      <c r="C13" s="4"/>
      <c r="D13" s="9">
        <v>0</v>
      </c>
      <c r="E13" s="9"/>
      <c r="F13" s="145">
        <f>+'UE-190231 Sch 142'!H15</f>
        <v>-6.5700000000000003E-4</v>
      </c>
      <c r="G13" s="145"/>
      <c r="H13" s="430">
        <f t="shared" si="2"/>
        <v>0</v>
      </c>
    </row>
    <row r="14" spans="1:8">
      <c r="A14" s="318">
        <f t="shared" si="0"/>
        <v>8</v>
      </c>
      <c r="B14" s="319">
        <v>25</v>
      </c>
      <c r="D14" s="9">
        <f>+'GRC Impacts'!C13</f>
        <v>2988049.5563074257</v>
      </c>
      <c r="E14" s="9"/>
      <c r="F14" s="145">
        <f>+'UE-190231 Sch 142'!H16</f>
        <v>-6.5700000000000003E-4</v>
      </c>
      <c r="G14" s="145"/>
      <c r="H14" s="430">
        <f t="shared" si="2"/>
        <v>-1963</v>
      </c>
    </row>
    <row r="15" spans="1:8">
      <c r="A15" s="318">
        <f t="shared" si="0"/>
        <v>9</v>
      </c>
      <c r="B15" s="318">
        <v>12</v>
      </c>
      <c r="C15" s="4"/>
      <c r="D15" s="334">
        <v>0</v>
      </c>
      <c r="E15" s="9"/>
      <c r="F15" s="145">
        <f>+'UE-190231 Sch 142'!H17</f>
        <v>-1.27E-4</v>
      </c>
      <c r="G15" s="145">
        <f>+'UE-190231 Sch 142'!H19</f>
        <v>0.37</v>
      </c>
      <c r="H15" s="430">
        <f t="shared" si="2"/>
        <v>0</v>
      </c>
    </row>
    <row r="16" spans="1:8">
      <c r="A16" s="318">
        <f t="shared" si="0"/>
        <v>10</v>
      </c>
      <c r="B16" s="318" t="s">
        <v>13</v>
      </c>
      <c r="D16" s="334">
        <f>+'GRC Impacts'!C14</f>
        <v>1939505.2741896487</v>
      </c>
      <c r="E16" s="9">
        <v>4774664</v>
      </c>
      <c r="F16" s="145">
        <f>+'UE-190231 Sch 142'!H18</f>
        <v>-1.27E-4</v>
      </c>
      <c r="G16" s="145">
        <f>+'UE-190231 Sch 142'!H20</f>
        <v>0.37</v>
      </c>
      <c r="H16" s="430">
        <f t="shared" si="2"/>
        <v>1520</v>
      </c>
    </row>
    <row r="17" spans="1:8">
      <c r="A17" s="318">
        <f t="shared" si="0"/>
        <v>11</v>
      </c>
      <c r="B17" s="318">
        <v>29</v>
      </c>
      <c r="C17" s="4"/>
      <c r="D17" s="9">
        <f>+'GRC Impacts'!C15</f>
        <v>16475.530158172358</v>
      </c>
      <c r="E17" s="9"/>
      <c r="F17" s="145">
        <f>+'UE-190231 Sch 142'!H21</f>
        <v>-6.5700000000000003E-4</v>
      </c>
      <c r="G17" s="145"/>
      <c r="H17" s="430">
        <f t="shared" si="2"/>
        <v>-11</v>
      </c>
    </row>
    <row r="18" spans="1:8">
      <c r="A18" s="318">
        <f t="shared" si="0"/>
        <v>12</v>
      </c>
      <c r="B18" s="318"/>
      <c r="C18" s="12" t="s">
        <v>14</v>
      </c>
      <c r="D18" s="13">
        <f>SUM(D11:D17)</f>
        <v>7644747.2014553631</v>
      </c>
      <c r="E18" s="13">
        <f>SUM(E11:E17)</f>
        <v>4774664</v>
      </c>
      <c r="F18" s="334"/>
      <c r="G18" s="334"/>
      <c r="H18" s="454">
        <f t="shared" ref="H18" si="3">SUM(H11:H17)</f>
        <v>7154</v>
      </c>
    </row>
    <row r="19" spans="1:8">
      <c r="A19" s="318">
        <f t="shared" si="0"/>
        <v>13</v>
      </c>
      <c r="B19" s="318"/>
      <c r="C19" s="4"/>
      <c r="D19" s="9"/>
      <c r="E19" s="9"/>
      <c r="F19" s="145"/>
      <c r="G19" s="145"/>
      <c r="H19" s="430"/>
    </row>
    <row r="20" spans="1:8">
      <c r="A20" s="318">
        <f t="shared" si="0"/>
        <v>14</v>
      </c>
      <c r="B20" s="318">
        <v>10</v>
      </c>
      <c r="D20" s="334"/>
      <c r="E20" s="9"/>
      <c r="F20" s="145">
        <f>+'UE-190231 Sch 142'!H24</f>
        <v>-2.5399999999999999E-4</v>
      </c>
      <c r="G20" s="145">
        <f>+'UE-190231 Sch 142'!H26</f>
        <v>0.16</v>
      </c>
      <c r="H20" s="430">
        <f>ROUND(D20*F20+G20*E20/1000,0)</f>
        <v>0</v>
      </c>
    </row>
    <row r="21" spans="1:8">
      <c r="A21" s="318">
        <f t="shared" si="0"/>
        <v>15</v>
      </c>
      <c r="B21" s="318">
        <v>31</v>
      </c>
      <c r="C21" s="4"/>
      <c r="D21" s="334">
        <f>+'GRC Impacts'!C18</f>
        <v>1407595.349170306</v>
      </c>
      <c r="E21" s="9">
        <v>3463815</v>
      </c>
      <c r="F21" s="145">
        <f>+'UE-190231 Sch 142'!H25</f>
        <v>-2.5399999999999999E-4</v>
      </c>
      <c r="G21" s="145">
        <f>+'UE-190231 Sch 142'!H27</f>
        <v>0.16</v>
      </c>
      <c r="H21" s="430">
        <f>ROUND(D21*F21+G21*E21/1000,0)</f>
        <v>197</v>
      </c>
    </row>
    <row r="22" spans="1:8">
      <c r="A22" s="318">
        <f t="shared" si="0"/>
        <v>16</v>
      </c>
      <c r="B22" s="318">
        <v>35</v>
      </c>
      <c r="C22" s="4"/>
      <c r="D22" s="9">
        <f>+'GRC Impacts'!C19</f>
        <v>4443.66</v>
      </c>
      <c r="E22" s="9"/>
      <c r="F22" s="145">
        <f>+'UE-190231 Sch 142'!H28</f>
        <v>-6.5700000000000003E-4</v>
      </c>
      <c r="G22" s="145"/>
      <c r="H22" s="430">
        <f>ROUND(D22*F22+G22*E22/1000,0)</f>
        <v>-3</v>
      </c>
    </row>
    <row r="23" spans="1:8">
      <c r="A23" s="318">
        <f t="shared" si="0"/>
        <v>17</v>
      </c>
      <c r="B23" s="318">
        <v>43</v>
      </c>
      <c r="C23" s="4"/>
      <c r="D23" s="9">
        <f>+'GRC Impacts'!C20</f>
        <v>123102.08801083639</v>
      </c>
      <c r="E23" s="9"/>
      <c r="F23" s="145">
        <f>+'UE-190231 Sch 142'!H29</f>
        <v>-6.5700000000000003E-4</v>
      </c>
      <c r="G23" s="145"/>
      <c r="H23" s="430">
        <f>ROUND(D23*F23+G23*E23/1000,0)</f>
        <v>-81</v>
      </c>
    </row>
    <row r="24" spans="1:8">
      <c r="A24" s="318">
        <f t="shared" si="0"/>
        <v>18</v>
      </c>
      <c r="B24" s="318"/>
      <c r="C24" s="4" t="s">
        <v>15</v>
      </c>
      <c r="D24" s="13">
        <f>SUM(D20:D23)</f>
        <v>1535141.0971811423</v>
      </c>
      <c r="E24" s="13">
        <f>SUM(E20:E23)</f>
        <v>3463815</v>
      </c>
      <c r="F24" s="334"/>
      <c r="G24" s="334"/>
      <c r="H24" s="454">
        <f t="shared" ref="H24" si="4">SUM(H20:H23)</f>
        <v>113</v>
      </c>
    </row>
    <row r="25" spans="1:8">
      <c r="A25" s="340">
        <f t="shared" si="0"/>
        <v>19</v>
      </c>
      <c r="B25" s="318"/>
      <c r="C25" s="4"/>
      <c r="D25" s="9"/>
      <c r="E25" s="9"/>
      <c r="F25" s="145"/>
      <c r="G25" s="145"/>
      <c r="H25" s="430"/>
    </row>
    <row r="26" spans="1:8">
      <c r="A26" s="340">
        <f t="shared" si="0"/>
        <v>20</v>
      </c>
      <c r="B26" s="318">
        <v>46</v>
      </c>
      <c r="C26" s="4"/>
      <c r="D26" s="9">
        <f>+'GRC Impacts'!C23</f>
        <v>78351.491999999998</v>
      </c>
      <c r="E26" s="9"/>
      <c r="F26" s="145">
        <f>+'UE-190231 Sch 142'!H34</f>
        <v>1.84E-4</v>
      </c>
      <c r="G26" s="145"/>
      <c r="H26" s="430">
        <f>ROUND(D26*F26+G26*E26/1000,0)</f>
        <v>14</v>
      </c>
    </row>
    <row r="27" spans="1:8">
      <c r="A27" s="340">
        <f t="shared" si="0"/>
        <v>21</v>
      </c>
      <c r="B27" s="318">
        <v>49</v>
      </c>
      <c r="C27" s="4"/>
      <c r="D27" s="9">
        <f>+'GRC Impacts'!C24</f>
        <v>542259.32140199991</v>
      </c>
      <c r="E27" s="9"/>
      <c r="F27" s="145">
        <f>+'UE-190231 Sch 142'!H35</f>
        <v>1.84E-4</v>
      </c>
      <c r="G27" s="145"/>
      <c r="H27" s="430">
        <f>ROUND(D27*F27+G27*E27/1000,0)</f>
        <v>100</v>
      </c>
    </row>
    <row r="28" spans="1:8">
      <c r="A28" s="340">
        <f t="shared" si="0"/>
        <v>22</v>
      </c>
      <c r="B28" s="318"/>
      <c r="C28" s="4" t="s">
        <v>16</v>
      </c>
      <c r="D28" s="13">
        <f>SUM(D26:D27)</f>
        <v>620610.81340199988</v>
      </c>
      <c r="E28" s="9"/>
      <c r="F28" s="334"/>
      <c r="G28" s="334"/>
      <c r="H28" s="454">
        <f t="shared" ref="H28" si="5">SUM(H26:H27)</f>
        <v>114</v>
      </c>
    </row>
    <row r="29" spans="1:8">
      <c r="A29" s="340">
        <f t="shared" si="0"/>
        <v>23</v>
      </c>
      <c r="B29" s="318"/>
      <c r="C29" s="4"/>
      <c r="D29" s="9"/>
      <c r="E29" s="9"/>
      <c r="F29" s="145"/>
      <c r="G29" s="145"/>
      <c r="H29" s="430"/>
    </row>
    <row r="30" spans="1:8">
      <c r="A30" s="340">
        <f t="shared" si="0"/>
        <v>24</v>
      </c>
      <c r="B30" s="318" t="s">
        <v>17</v>
      </c>
      <c r="C30" s="4"/>
      <c r="D30" s="13">
        <f>+'GRC Impacts'!C27</f>
        <v>69969.105296000009</v>
      </c>
      <c r="E30" s="9"/>
      <c r="F30" s="334"/>
      <c r="G30" s="334"/>
      <c r="H30" s="454">
        <f>ROUND(D30*F30+G30*E30/1000,0)</f>
        <v>0</v>
      </c>
    </row>
    <row r="31" spans="1:8">
      <c r="A31" s="466">
        <f t="shared" si="0"/>
        <v>25</v>
      </c>
      <c r="B31" s="466"/>
      <c r="C31" s="320"/>
      <c r="D31" s="334"/>
      <c r="E31" s="145"/>
      <c r="F31" s="323"/>
      <c r="G31" s="334"/>
      <c r="H31" s="430"/>
    </row>
    <row r="32" spans="1:8">
      <c r="A32" s="466">
        <f t="shared" si="0"/>
        <v>26</v>
      </c>
      <c r="B32" s="467" t="s">
        <v>18</v>
      </c>
      <c r="C32" s="320"/>
      <c r="D32" s="334">
        <f>+'GRC Impacts'!C29</f>
        <v>2028727.0061700002</v>
      </c>
      <c r="E32" s="334"/>
      <c r="F32" s="145">
        <f>+'UE-190231 Sch 142'!H40</f>
        <v>0</v>
      </c>
      <c r="G32" s="145"/>
      <c r="H32" s="430">
        <f>ROUND(D32*F32+G32*E32/1000,0)</f>
        <v>0</v>
      </c>
    </row>
    <row r="33" spans="1:8">
      <c r="A33" s="466">
        <f t="shared" si="0"/>
        <v>27</v>
      </c>
      <c r="B33" s="467" t="s">
        <v>508</v>
      </c>
      <c r="C33" s="320"/>
      <c r="D33" s="334">
        <f>+'GRC Impacts'!C30</f>
        <v>335987.76400000002</v>
      </c>
      <c r="E33" s="145"/>
      <c r="F33" s="145">
        <f>+'UE-190231 Sch 142'!$H$32</f>
        <v>4.182E-3</v>
      </c>
      <c r="G33" s="145"/>
      <c r="H33" s="430">
        <f>ROUND(D33*F33+G33*E33/1000,0)</f>
        <v>1405</v>
      </c>
    </row>
    <row r="34" spans="1:8">
      <c r="A34" s="466">
        <f t="shared" si="0"/>
        <v>28</v>
      </c>
      <c r="B34" s="467"/>
      <c r="C34" s="320" t="s">
        <v>509</v>
      </c>
      <c r="D34" s="322">
        <f>+'GRC Impacts'!C31</f>
        <v>2364714.7701700004</v>
      </c>
      <c r="E34" s="334"/>
      <c r="F34" s="334"/>
      <c r="G34" s="334"/>
      <c r="H34" s="454">
        <f t="shared" ref="H34" si="6">SUM(H32:H33)</f>
        <v>1405</v>
      </c>
    </row>
    <row r="35" spans="1:8">
      <c r="A35" s="318">
        <f t="shared" si="0"/>
        <v>29</v>
      </c>
      <c r="B35" s="318"/>
      <c r="C35" s="4"/>
      <c r="D35" s="9"/>
      <c r="E35" s="9"/>
      <c r="F35" s="334"/>
      <c r="G35" s="334"/>
      <c r="H35" s="430"/>
    </row>
    <row r="36" spans="1:8" ht="13.5" thickBot="1">
      <c r="A36" s="318">
        <f t="shared" si="0"/>
        <v>30</v>
      </c>
      <c r="B36" s="318"/>
      <c r="C36" s="12" t="s">
        <v>89</v>
      </c>
      <c r="D36" s="14">
        <f>SUM(D9,D18,D24,D28,D30,D34)</f>
        <v>22893265.698041596</v>
      </c>
      <c r="E36" s="14">
        <f>SUM(E9,E18,E24,E28,E30,E34)</f>
        <v>8238479</v>
      </c>
      <c r="F36" s="334"/>
      <c r="G36" s="334"/>
      <c r="H36" s="455">
        <f>SUM(H9,H18,H24,H28,H30,H34)</f>
        <v>15405</v>
      </c>
    </row>
    <row r="37" spans="1:8" ht="13.5" thickTop="1">
      <c r="A37" s="318">
        <f t="shared" si="0"/>
        <v>31</v>
      </c>
      <c r="B37" s="318"/>
      <c r="E37" s="9"/>
      <c r="F37" s="334"/>
      <c r="G37" s="334"/>
      <c r="H37" s="430"/>
    </row>
    <row r="38" spans="1:8">
      <c r="A38" s="318">
        <f t="shared" si="0"/>
        <v>32</v>
      </c>
      <c r="B38" s="318">
        <v>5</v>
      </c>
      <c r="C38" s="1" t="s">
        <v>90</v>
      </c>
      <c r="D38" s="9">
        <f>+'GRC Impacts'!C35</f>
        <v>7197.5754843382783</v>
      </c>
      <c r="E38" s="9"/>
      <c r="F38" s="334"/>
      <c r="G38" s="334"/>
      <c r="H38" s="430">
        <f>ROUND(D38*F38+G38*E38/1000,0)</f>
        <v>0</v>
      </c>
    </row>
    <row r="39" spans="1:8">
      <c r="A39" s="318">
        <f t="shared" si="0"/>
        <v>33</v>
      </c>
      <c r="B39" s="318"/>
      <c r="E39" s="9"/>
      <c r="H39" s="430"/>
    </row>
    <row r="40" spans="1:8" ht="13.5" thickBot="1">
      <c r="A40" s="318">
        <f t="shared" si="0"/>
        <v>34</v>
      </c>
      <c r="B40" s="318"/>
      <c r="C40" s="12" t="s">
        <v>91</v>
      </c>
      <c r="D40" s="14">
        <f>SUM(D36,D38)</f>
        <v>22900463.273525935</v>
      </c>
      <c r="E40" s="9"/>
      <c r="H40" s="455">
        <f t="shared" ref="H40" si="7">SUM(H36,H38)</f>
        <v>15405</v>
      </c>
    </row>
    <row r="41" spans="1:8" ht="13.5" thickTop="1">
      <c r="E41" s="9"/>
      <c r="H41" s="430"/>
    </row>
    <row r="42" spans="1:8">
      <c r="E42" s="9"/>
    </row>
    <row r="43" spans="1:8">
      <c r="C43" s="335"/>
      <c r="E43" s="9"/>
    </row>
    <row r="44" spans="1:8">
      <c r="E44" s="9"/>
    </row>
    <row r="45" spans="1:8">
      <c r="E45" s="9"/>
    </row>
    <row r="46" spans="1:8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5"/>
  <sheetViews>
    <sheetView workbookViewId="0">
      <selection sqref="A1:F1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2.42578125" bestFit="1" customWidth="1"/>
    <col min="6" max="6" width="13" bestFit="1" customWidth="1"/>
  </cols>
  <sheetData>
    <row r="1" spans="1:9">
      <c r="A1" s="550" t="s">
        <v>0</v>
      </c>
      <c r="B1" s="550"/>
      <c r="C1" s="550"/>
      <c r="D1" s="550"/>
      <c r="E1" s="550"/>
      <c r="F1" s="550"/>
    </row>
    <row r="2" spans="1:9">
      <c r="A2" s="551" t="s">
        <v>220</v>
      </c>
      <c r="B2" s="550"/>
      <c r="C2" s="550"/>
      <c r="D2" s="550"/>
      <c r="E2" s="550"/>
      <c r="F2" s="550"/>
    </row>
    <row r="3" spans="1:9">
      <c r="A3" s="550" t="str">
        <f>+'GRC Impacts'!A3</f>
        <v>Test Year ended December 2018</v>
      </c>
      <c r="B3" s="550"/>
      <c r="C3" s="550"/>
      <c r="D3" s="550"/>
      <c r="E3" s="550"/>
      <c r="F3" s="550"/>
    </row>
    <row r="4" spans="1:9">
      <c r="A4" s="550"/>
      <c r="B4" s="550"/>
      <c r="C4" s="550"/>
      <c r="D4" s="550"/>
      <c r="E4" s="550"/>
      <c r="F4" s="550"/>
    </row>
    <row r="5" spans="1:9">
      <c r="A5" s="2"/>
      <c r="B5" s="3"/>
      <c r="C5" s="3"/>
      <c r="D5" s="3"/>
      <c r="E5" s="4"/>
      <c r="F5" s="4" t="s">
        <v>125</v>
      </c>
    </row>
    <row r="6" spans="1:9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7" t="s">
        <v>335</v>
      </c>
      <c r="F6" s="7" t="s">
        <v>221</v>
      </c>
      <c r="I6" t="s">
        <v>624</v>
      </c>
    </row>
    <row r="7" spans="1:9">
      <c r="A7" s="3">
        <v>1</v>
      </c>
      <c r="B7" s="3">
        <v>7</v>
      </c>
      <c r="C7" s="4"/>
      <c r="D7" s="9">
        <v>10494946.737496169</v>
      </c>
      <c r="E7" s="145">
        <f>-'UE-170946 Sch 194'!D18</f>
        <v>-7.4058380000000005E-3</v>
      </c>
      <c r="F7" s="146">
        <f>ROUND(D7*E7,0)</f>
        <v>-77724</v>
      </c>
      <c r="I7" s="334" t="s">
        <v>607</v>
      </c>
    </row>
    <row r="8" spans="1:9">
      <c r="A8" s="3">
        <f t="shared" ref="A8:A42" si="0">+A7+1</f>
        <v>2</v>
      </c>
      <c r="B8" s="2" t="s">
        <v>11</v>
      </c>
      <c r="C8" s="4"/>
      <c r="D8" s="9">
        <v>0</v>
      </c>
      <c r="E8" s="145"/>
      <c r="F8" s="146">
        <f>ROUND(D8*E8,0)</f>
        <v>0</v>
      </c>
      <c r="I8" s="334">
        <v>0</v>
      </c>
    </row>
    <row r="9" spans="1:9">
      <c r="A9" s="3">
        <f t="shared" si="0"/>
        <v>3</v>
      </c>
      <c r="B9" s="3"/>
      <c r="C9" s="4" t="s">
        <v>12</v>
      </c>
      <c r="D9" s="13">
        <f>SUM(D7:D8)</f>
        <v>10494946.737496169</v>
      </c>
      <c r="E9" s="147"/>
      <c r="F9" s="148">
        <f t="shared" ref="F9" si="1">SUM(F7:F8)</f>
        <v>-77724</v>
      </c>
      <c r="I9" s="322" t="s">
        <v>608</v>
      </c>
    </row>
    <row r="10" spans="1:9">
      <c r="A10" s="3">
        <f t="shared" si="0"/>
        <v>4</v>
      </c>
      <c r="B10" s="3"/>
      <c r="C10" s="4"/>
      <c r="D10" s="9"/>
      <c r="E10" s="145"/>
      <c r="F10" s="146"/>
      <c r="I10" s="334"/>
    </row>
    <row r="11" spans="1:9">
      <c r="A11" s="3">
        <f t="shared" si="0"/>
        <v>5</v>
      </c>
      <c r="B11" s="3">
        <v>8</v>
      </c>
      <c r="C11" s="4"/>
      <c r="D11" s="9">
        <v>0</v>
      </c>
      <c r="E11" s="145">
        <f>+$E$7</f>
        <v>-7.4058380000000005E-3</v>
      </c>
      <c r="F11" s="146">
        <f t="shared" ref="F11:F17" si="2">ROUND(D11*E11,0)</f>
        <v>0</v>
      </c>
      <c r="I11" s="334">
        <v>0</v>
      </c>
    </row>
    <row r="12" spans="1:9">
      <c r="A12" s="3">
        <f t="shared" si="0"/>
        <v>6</v>
      </c>
      <c r="B12" s="3">
        <v>24</v>
      </c>
      <c r="C12" s="1"/>
      <c r="D12" s="9">
        <v>250681.08714269023</v>
      </c>
      <c r="E12" s="145">
        <f t="shared" ref="E12:E17" si="3">+$E$7</f>
        <v>-7.4058380000000005E-3</v>
      </c>
      <c r="F12" s="146">
        <f t="shared" si="2"/>
        <v>-1857</v>
      </c>
      <c r="I12" s="334" t="s">
        <v>609</v>
      </c>
    </row>
    <row r="13" spans="1:9">
      <c r="A13" s="3">
        <f t="shared" si="0"/>
        <v>7</v>
      </c>
      <c r="B13" s="2">
        <v>11</v>
      </c>
      <c r="C13" s="4"/>
      <c r="D13" s="9">
        <v>0</v>
      </c>
      <c r="E13" s="145">
        <f t="shared" si="3"/>
        <v>-7.4058380000000005E-3</v>
      </c>
      <c r="F13" s="146">
        <f t="shared" si="2"/>
        <v>0</v>
      </c>
      <c r="I13" s="334">
        <v>0</v>
      </c>
    </row>
    <row r="14" spans="1:9">
      <c r="A14" s="3">
        <f t="shared" si="0"/>
        <v>8</v>
      </c>
      <c r="B14" s="2">
        <v>25</v>
      </c>
      <c r="C14" s="1"/>
      <c r="D14" s="9">
        <v>146070.963299</v>
      </c>
      <c r="E14" s="145">
        <f t="shared" si="3"/>
        <v>-7.4058380000000005E-3</v>
      </c>
      <c r="F14" s="146">
        <f t="shared" si="2"/>
        <v>-1082</v>
      </c>
      <c r="I14" s="334" t="s">
        <v>610</v>
      </c>
    </row>
    <row r="15" spans="1:9">
      <c r="A15" s="3">
        <f t="shared" si="0"/>
        <v>9</v>
      </c>
      <c r="B15" s="3">
        <v>12</v>
      </c>
      <c r="C15" s="4"/>
      <c r="D15" s="9">
        <v>0</v>
      </c>
      <c r="E15" s="145">
        <f t="shared" si="3"/>
        <v>-7.4058380000000005E-3</v>
      </c>
      <c r="F15" s="146">
        <f t="shared" si="2"/>
        <v>0</v>
      </c>
      <c r="I15" s="334">
        <v>0</v>
      </c>
    </row>
    <row r="16" spans="1:9">
      <c r="A16" s="3">
        <f t="shared" si="0"/>
        <v>10</v>
      </c>
      <c r="B16" s="3" t="s">
        <v>13</v>
      </c>
      <c r="C16" s="1"/>
      <c r="D16" s="9">
        <v>16784.689999999999</v>
      </c>
      <c r="E16" s="145">
        <f t="shared" si="3"/>
        <v>-7.4058380000000005E-3</v>
      </c>
      <c r="F16" s="146">
        <f t="shared" si="2"/>
        <v>-124</v>
      </c>
      <c r="I16" s="334" t="s">
        <v>611</v>
      </c>
    </row>
    <row r="17" spans="1:9">
      <c r="A17" s="3">
        <f t="shared" si="0"/>
        <v>11</v>
      </c>
      <c r="B17" s="3">
        <v>29</v>
      </c>
      <c r="C17" s="4"/>
      <c r="D17" s="9">
        <v>16475.530202172358</v>
      </c>
      <c r="E17" s="145">
        <f t="shared" si="3"/>
        <v>-7.4058380000000005E-3</v>
      </c>
      <c r="F17" s="146">
        <f t="shared" si="2"/>
        <v>-122</v>
      </c>
      <c r="I17" s="334" t="s">
        <v>612</v>
      </c>
    </row>
    <row r="18" spans="1:9">
      <c r="A18" s="3">
        <f t="shared" si="0"/>
        <v>12</v>
      </c>
      <c r="B18" s="3"/>
      <c r="C18" s="12" t="s">
        <v>14</v>
      </c>
      <c r="D18" s="13">
        <f>SUM(D11:D17)</f>
        <v>430012.2706438626</v>
      </c>
      <c r="E18" s="147"/>
      <c r="F18" s="148">
        <f t="shared" ref="F18" si="4">SUM(F11:F17)</f>
        <v>-3185</v>
      </c>
      <c r="I18" s="322" t="s">
        <v>613</v>
      </c>
    </row>
    <row r="19" spans="1:9">
      <c r="A19" s="3">
        <f t="shared" si="0"/>
        <v>13</v>
      </c>
      <c r="B19" s="3"/>
      <c r="C19" s="4"/>
      <c r="D19" s="9"/>
      <c r="E19" s="145"/>
      <c r="F19" s="146"/>
      <c r="I19" s="334"/>
    </row>
    <row r="20" spans="1:9">
      <c r="A20" s="3">
        <f t="shared" si="0"/>
        <v>14</v>
      </c>
      <c r="B20" s="3">
        <v>10</v>
      </c>
      <c r="C20" s="1"/>
      <c r="D20" s="9">
        <v>0</v>
      </c>
      <c r="E20" s="145">
        <f t="shared" ref="E20:E22" si="5">+$E$7</f>
        <v>-7.4058380000000005E-3</v>
      </c>
      <c r="F20" s="146">
        <f>ROUND(D20*E20,0)</f>
        <v>0</v>
      </c>
      <c r="I20" s="334">
        <v>0</v>
      </c>
    </row>
    <row r="21" spans="1:9">
      <c r="A21" s="3">
        <f t="shared" si="0"/>
        <v>15</v>
      </c>
      <c r="B21" s="3">
        <v>31</v>
      </c>
      <c r="C21" s="4"/>
      <c r="D21" s="9">
        <v>30627.212307692309</v>
      </c>
      <c r="E21" s="145">
        <f t="shared" si="5"/>
        <v>-7.4058380000000005E-3</v>
      </c>
      <c r="F21" s="146">
        <f>ROUND(D21*E21,0)</f>
        <v>-227</v>
      </c>
      <c r="I21" s="334" t="s">
        <v>614</v>
      </c>
    </row>
    <row r="22" spans="1:9">
      <c r="A22" s="3">
        <f t="shared" si="0"/>
        <v>16</v>
      </c>
      <c r="B22" s="3">
        <v>35</v>
      </c>
      <c r="C22" s="4"/>
      <c r="D22" s="9">
        <v>4443.66</v>
      </c>
      <c r="E22" s="145">
        <f t="shared" si="5"/>
        <v>-7.4058380000000005E-3</v>
      </c>
      <c r="F22" s="146">
        <f>ROUND(D22*E22,0)</f>
        <v>-33</v>
      </c>
      <c r="I22" s="334" t="s">
        <v>615</v>
      </c>
    </row>
    <row r="23" spans="1:9">
      <c r="A23" s="3">
        <f t="shared" si="0"/>
        <v>17</v>
      </c>
      <c r="B23" s="3">
        <v>43</v>
      </c>
      <c r="C23" s="4"/>
      <c r="D23" s="9">
        <v>0</v>
      </c>
      <c r="E23" s="145"/>
      <c r="F23" s="146">
        <f>ROUND(D23*E23,0)</f>
        <v>0</v>
      </c>
      <c r="I23" s="334">
        <v>0</v>
      </c>
    </row>
    <row r="24" spans="1:9">
      <c r="A24" s="3">
        <f t="shared" si="0"/>
        <v>18</v>
      </c>
      <c r="B24" s="3"/>
      <c r="C24" s="4" t="s">
        <v>15</v>
      </c>
      <c r="D24" s="13">
        <f>SUM(D20:D23)</f>
        <v>35070.872307692305</v>
      </c>
      <c r="E24" s="147"/>
      <c r="F24" s="148">
        <f t="shared" ref="F24" si="6">SUM(F20:F23)</f>
        <v>-260</v>
      </c>
      <c r="I24" s="322" t="s">
        <v>616</v>
      </c>
    </row>
    <row r="25" spans="1:9">
      <c r="A25" s="3">
        <f t="shared" si="0"/>
        <v>19</v>
      </c>
      <c r="B25" s="3"/>
      <c r="C25" s="4"/>
      <c r="D25" s="9"/>
      <c r="E25" s="145"/>
      <c r="F25" s="146"/>
      <c r="I25" s="334"/>
    </row>
    <row r="26" spans="1:9">
      <c r="A26" s="3">
        <f t="shared" si="0"/>
        <v>20</v>
      </c>
      <c r="B26" s="3">
        <v>40</v>
      </c>
      <c r="C26" s="4"/>
      <c r="D26" s="13">
        <v>0</v>
      </c>
      <c r="E26" s="147"/>
      <c r="F26" s="148">
        <f>ROUND(D26*E26,0)</f>
        <v>0</v>
      </c>
      <c r="I26" s="322">
        <v>0</v>
      </c>
    </row>
    <row r="27" spans="1:9">
      <c r="A27" s="3">
        <f t="shared" si="0"/>
        <v>21</v>
      </c>
      <c r="B27" s="3"/>
      <c r="C27" s="4"/>
      <c r="D27" s="9"/>
      <c r="E27" s="145"/>
      <c r="F27" s="146"/>
      <c r="I27" s="334"/>
    </row>
    <row r="28" spans="1:9">
      <c r="A28" s="3">
        <f t="shared" si="0"/>
        <v>22</v>
      </c>
      <c r="B28" s="3">
        <v>46</v>
      </c>
      <c r="C28" s="4"/>
      <c r="D28" s="9">
        <v>0</v>
      </c>
      <c r="E28" s="145"/>
      <c r="F28" s="146">
        <f>ROUND(D28*E28,0)</f>
        <v>0</v>
      </c>
      <c r="I28" s="334">
        <v>0</v>
      </c>
    </row>
    <row r="29" spans="1:9">
      <c r="A29" s="3">
        <f t="shared" si="0"/>
        <v>23</v>
      </c>
      <c r="B29" s="3">
        <v>49</v>
      </c>
      <c r="C29" s="4"/>
      <c r="D29" s="9">
        <v>0</v>
      </c>
      <c r="E29" s="145"/>
      <c r="F29" s="146">
        <f>ROUND(D29*E29,0)</f>
        <v>0</v>
      </c>
      <c r="I29" s="334">
        <v>0</v>
      </c>
    </row>
    <row r="30" spans="1:9">
      <c r="A30" s="3">
        <f t="shared" si="0"/>
        <v>24</v>
      </c>
      <c r="B30" s="3"/>
      <c r="C30" s="4" t="s">
        <v>16</v>
      </c>
      <c r="D30" s="13">
        <f>SUM(D28:D29)</f>
        <v>0</v>
      </c>
      <c r="E30" s="147"/>
      <c r="F30" s="148">
        <f t="shared" ref="F30" si="7">SUM(F28:F29)</f>
        <v>0</v>
      </c>
      <c r="I30" s="322" t="s">
        <v>617</v>
      </c>
    </row>
    <row r="31" spans="1:9">
      <c r="A31" s="3">
        <f t="shared" si="0"/>
        <v>25</v>
      </c>
      <c r="B31" s="3"/>
      <c r="C31" s="4"/>
      <c r="D31" s="9"/>
      <c r="E31" s="145"/>
      <c r="F31" s="146"/>
      <c r="I31" s="334"/>
    </row>
    <row r="32" spans="1:9">
      <c r="A32" s="3">
        <f t="shared" si="0"/>
        <v>26</v>
      </c>
      <c r="B32" s="3" t="s">
        <v>17</v>
      </c>
      <c r="C32" s="4"/>
      <c r="D32" s="13">
        <v>5989.1934809999993</v>
      </c>
      <c r="E32" s="147">
        <f>+E7</f>
        <v>-7.4058380000000005E-3</v>
      </c>
      <c r="F32" s="148">
        <f>ROUND(D32*E32,0)</f>
        <v>-44</v>
      </c>
      <c r="I32" s="322" t="s">
        <v>618</v>
      </c>
    </row>
    <row r="33" spans="1:9">
      <c r="A33" s="466">
        <f t="shared" si="0"/>
        <v>27</v>
      </c>
      <c r="B33" s="466"/>
      <c r="C33" s="320"/>
      <c r="D33" s="334"/>
      <c r="E33" s="145"/>
      <c r="F33" s="323"/>
      <c r="I33" s="334"/>
    </row>
    <row r="34" spans="1:9">
      <c r="A34" s="466">
        <f t="shared" si="0"/>
        <v>28</v>
      </c>
      <c r="B34" s="467" t="s">
        <v>18</v>
      </c>
      <c r="C34" s="320"/>
      <c r="D34" s="334">
        <v>0</v>
      </c>
      <c r="E34" s="145">
        <v>0</v>
      </c>
      <c r="F34" s="323">
        <f>ROUND(D34*E34,0)</f>
        <v>0</v>
      </c>
      <c r="I34" s="334">
        <v>0</v>
      </c>
    </row>
    <row r="35" spans="1:9">
      <c r="A35" s="466">
        <f t="shared" si="0"/>
        <v>29</v>
      </c>
      <c r="B35" s="467" t="s">
        <v>508</v>
      </c>
      <c r="C35" s="320"/>
      <c r="D35" s="334">
        <f>+'GRC Impacts'!C32</f>
        <v>0</v>
      </c>
      <c r="E35" s="145">
        <v>0</v>
      </c>
      <c r="F35" s="323">
        <f>ROUND(D35*E35,0)</f>
        <v>0</v>
      </c>
      <c r="I35" s="334" t="s">
        <v>619</v>
      </c>
    </row>
    <row r="36" spans="1:9">
      <c r="A36" s="466">
        <f t="shared" si="0"/>
        <v>30</v>
      </c>
      <c r="B36" s="467"/>
      <c r="C36" s="320" t="s">
        <v>509</v>
      </c>
      <c r="D36" s="322">
        <f>SUM(D34:D35)</f>
        <v>0</v>
      </c>
      <c r="E36" s="147"/>
      <c r="F36" s="324">
        <f t="shared" ref="F36" si="8">SUM(F34:F35)</f>
        <v>0</v>
      </c>
      <c r="I36" s="322" t="s">
        <v>620</v>
      </c>
    </row>
    <row r="37" spans="1:9">
      <c r="A37" s="3">
        <f t="shared" si="0"/>
        <v>31</v>
      </c>
      <c r="B37" s="3"/>
      <c r="C37" s="4"/>
      <c r="D37" s="9"/>
      <c r="E37" s="145"/>
      <c r="F37" s="146"/>
      <c r="I37" s="334"/>
    </row>
    <row r="38" spans="1:9" ht="13.5" thickBot="1">
      <c r="A38" s="3">
        <f t="shared" si="0"/>
        <v>32</v>
      </c>
      <c r="B38" s="3"/>
      <c r="C38" s="12" t="s">
        <v>89</v>
      </c>
      <c r="D38" s="14">
        <f>SUM(D9,D18,D24,D26,D30,D32,D36)</f>
        <v>10966019.073928723</v>
      </c>
      <c r="E38" s="150"/>
      <c r="F38" s="151">
        <f t="shared" ref="F38" si="9">SUM(F9,F18,F24,F26,F30,F32,F36)</f>
        <v>-81213</v>
      </c>
      <c r="I38" s="14" t="s">
        <v>621</v>
      </c>
    </row>
    <row r="39" spans="1:9" ht="13.5" thickTop="1">
      <c r="A39" s="3">
        <f t="shared" si="0"/>
        <v>33</v>
      </c>
      <c r="B39" s="3"/>
      <c r="C39" s="1"/>
      <c r="D39" s="1"/>
      <c r="E39" s="1"/>
      <c r="F39" s="146"/>
      <c r="I39" s="1"/>
    </row>
    <row r="40" spans="1:9">
      <c r="A40" s="3">
        <f t="shared" si="0"/>
        <v>34</v>
      </c>
      <c r="B40" s="3">
        <v>5</v>
      </c>
      <c r="C40" s="1" t="s">
        <v>90</v>
      </c>
      <c r="D40" s="9">
        <v>0</v>
      </c>
      <c r="E40" s="147">
        <v>0</v>
      </c>
      <c r="F40" s="148">
        <f>ROUND(D40*E40,-3)</f>
        <v>0</v>
      </c>
      <c r="I40" s="334">
        <v>0</v>
      </c>
    </row>
    <row r="41" spans="1:9">
      <c r="A41" s="3">
        <f t="shared" si="0"/>
        <v>35</v>
      </c>
      <c r="B41" s="3"/>
      <c r="C41" s="1"/>
      <c r="D41" s="1"/>
      <c r="E41" s="1"/>
      <c r="F41" s="146"/>
      <c r="I41" s="1"/>
    </row>
    <row r="42" spans="1:9" ht="13.5" thickBot="1">
      <c r="A42" s="3">
        <f t="shared" si="0"/>
        <v>36</v>
      </c>
      <c r="B42" s="3"/>
      <c r="C42" s="12" t="s">
        <v>91</v>
      </c>
      <c r="D42" s="14">
        <f>SUM(D38,D40)</f>
        <v>10966019.073928723</v>
      </c>
      <c r="E42" s="1"/>
      <c r="F42" s="151">
        <f t="shared" ref="F42" si="10">SUM(F38,F40)</f>
        <v>-81213</v>
      </c>
      <c r="I42" s="14" t="s">
        <v>622</v>
      </c>
    </row>
    <row r="43" spans="1:9" ht="13.5" thickTop="1">
      <c r="D43" s="1"/>
      <c r="I43" s="1"/>
    </row>
    <row r="44" spans="1:9">
      <c r="D44" s="199">
        <v>10966019.073928727</v>
      </c>
      <c r="I44" s="199" t="s">
        <v>623</v>
      </c>
    </row>
    <row r="45" spans="1:9">
      <c r="D45" s="199">
        <f>+D44-D42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2"/>
  <sheetViews>
    <sheetView workbookViewId="0">
      <selection sqref="A1:O1"/>
    </sheetView>
  </sheetViews>
  <sheetFormatPr defaultColWidth="8.85546875" defaultRowHeight="12.75"/>
  <cols>
    <col min="1" max="1" width="8.28515625" style="1" bestFit="1" customWidth="1"/>
    <col min="2" max="2" width="30.140625" style="1" customWidth="1"/>
    <col min="3" max="3" width="13" style="1" bestFit="1" customWidth="1"/>
    <col min="4" max="4" width="12.28515625" style="1" bestFit="1" customWidth="1"/>
    <col min="5" max="5" width="16" style="1" bestFit="1" customWidth="1"/>
    <col min="6" max="6" width="12.28515625" style="1" bestFit="1" customWidth="1"/>
    <col min="7" max="7" width="16" style="1" bestFit="1" customWidth="1"/>
    <col min="8" max="10" width="11" style="1" bestFit="1" customWidth="1"/>
    <col min="11" max="11" width="12.28515625" style="1" bestFit="1" customWidth="1"/>
    <col min="12" max="12" width="10.7109375" style="1" bestFit="1" customWidth="1"/>
    <col min="13" max="14" width="11" style="1" bestFit="1" customWidth="1"/>
    <col min="15" max="16" width="10.7109375" style="1" bestFit="1" customWidth="1"/>
    <col min="17" max="16384" width="8.85546875" style="1"/>
  </cols>
  <sheetData>
    <row r="1" spans="1:16">
      <c r="A1" s="552" t="s">
        <v>0</v>
      </c>
      <c r="B1" s="553"/>
      <c r="C1" s="553"/>
      <c r="D1" s="554"/>
      <c r="E1" s="554"/>
      <c r="F1" s="554"/>
      <c r="G1" s="554"/>
      <c r="H1" s="554"/>
      <c r="I1" s="554"/>
      <c r="J1" s="554"/>
      <c r="K1" s="554"/>
      <c r="L1" s="554"/>
      <c r="M1" s="555"/>
      <c r="N1" s="555"/>
      <c r="O1" s="555"/>
      <c r="P1" s="352"/>
    </row>
    <row r="2" spans="1:16">
      <c r="A2" s="552" t="s">
        <v>394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5"/>
      <c r="N2" s="555"/>
      <c r="O2" s="555"/>
      <c r="P2" s="352"/>
    </row>
    <row r="3" spans="1:16">
      <c r="A3" s="552" t="s">
        <v>395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5"/>
      <c r="N3" s="555"/>
      <c r="O3" s="555"/>
      <c r="P3" s="352"/>
    </row>
    <row r="4" spans="1:16" ht="13.5" thickBot="1">
      <c r="A4" s="353"/>
      <c r="B4" s="352"/>
      <c r="C4" s="354"/>
      <c r="D4" s="355"/>
      <c r="E4" s="352"/>
      <c r="F4" s="355"/>
      <c r="G4" s="352"/>
      <c r="H4" s="352"/>
      <c r="I4" s="352"/>
      <c r="J4" s="352"/>
      <c r="K4" s="352"/>
      <c r="L4" s="352"/>
      <c r="M4" s="352"/>
      <c r="N4" s="352"/>
      <c r="O4" s="352"/>
      <c r="P4" s="356"/>
    </row>
    <row r="5" spans="1:16" ht="79.5" thickBot="1">
      <c r="A5" s="357" t="s">
        <v>2</v>
      </c>
      <c r="B5" s="358" t="s">
        <v>129</v>
      </c>
      <c r="C5" s="359" t="s">
        <v>194</v>
      </c>
      <c r="D5" s="360" t="s">
        <v>396</v>
      </c>
      <c r="E5" s="360" t="s">
        <v>397</v>
      </c>
      <c r="F5" s="360" t="s">
        <v>398</v>
      </c>
      <c r="G5" s="360" t="s">
        <v>399</v>
      </c>
      <c r="H5" s="359" t="s">
        <v>400</v>
      </c>
      <c r="I5" s="361" t="s">
        <v>401</v>
      </c>
      <c r="J5" s="361" t="s">
        <v>402</v>
      </c>
      <c r="K5" s="361" t="s">
        <v>403</v>
      </c>
      <c r="L5" s="362" t="s">
        <v>404</v>
      </c>
      <c r="M5" s="361" t="s">
        <v>405</v>
      </c>
      <c r="N5" s="361" t="s">
        <v>405</v>
      </c>
      <c r="O5" s="362" t="s">
        <v>406</v>
      </c>
      <c r="P5" s="362" t="s">
        <v>407</v>
      </c>
    </row>
    <row r="6" spans="1:16">
      <c r="A6" s="363"/>
      <c r="B6" s="364"/>
      <c r="C6" s="364"/>
      <c r="D6" s="365" t="s">
        <v>96</v>
      </c>
      <c r="E6" s="366" t="s">
        <v>408</v>
      </c>
      <c r="F6" s="365" t="s">
        <v>98</v>
      </c>
      <c r="G6" s="366" t="s">
        <v>409</v>
      </c>
      <c r="H6" s="364" t="s">
        <v>410</v>
      </c>
      <c r="I6" s="364" t="s">
        <v>196</v>
      </c>
      <c r="J6" s="367" t="s">
        <v>411</v>
      </c>
      <c r="K6" s="368" t="s">
        <v>212</v>
      </c>
      <c r="L6" s="369" t="s">
        <v>412</v>
      </c>
      <c r="M6" s="364" t="s">
        <v>214</v>
      </c>
      <c r="N6" s="364" t="s">
        <v>215</v>
      </c>
      <c r="O6" s="369" t="s">
        <v>378</v>
      </c>
      <c r="P6" s="369" t="s">
        <v>413</v>
      </c>
    </row>
    <row r="7" spans="1:16">
      <c r="A7" s="370"/>
      <c r="B7" s="356"/>
      <c r="C7" s="356"/>
      <c r="D7" s="371"/>
      <c r="E7" s="372"/>
      <c r="F7" s="371"/>
      <c r="G7" s="372"/>
      <c r="H7" s="356"/>
      <c r="I7" s="356"/>
      <c r="J7" s="356"/>
      <c r="K7" s="356"/>
      <c r="L7" s="373"/>
      <c r="M7" s="356"/>
      <c r="N7" s="356"/>
      <c r="O7" s="373"/>
      <c r="P7" s="373"/>
    </row>
    <row r="8" spans="1:16">
      <c r="A8" s="374">
        <v>1</v>
      </c>
      <c r="B8" s="352" t="s">
        <v>12</v>
      </c>
      <c r="C8" s="375">
        <v>7</v>
      </c>
      <c r="D8" s="376">
        <v>11362694034.5944</v>
      </c>
      <c r="E8" s="377">
        <v>0.38975572707142847</v>
      </c>
      <c r="F8" s="376">
        <v>2401760.8159533199</v>
      </c>
      <c r="G8" s="377">
        <v>0.15471846189564545</v>
      </c>
      <c r="H8" s="377">
        <v>0.54447418896707389</v>
      </c>
      <c r="I8" s="378"/>
      <c r="J8" s="379">
        <v>1612357.9571011111</v>
      </c>
      <c r="K8" s="355">
        <v>10838149000</v>
      </c>
      <c r="L8" s="380">
        <v>1.4876691186854057E-4</v>
      </c>
      <c r="M8" s="378"/>
      <c r="N8" s="381">
        <v>0</v>
      </c>
      <c r="O8" s="382">
        <v>0</v>
      </c>
      <c r="P8" s="382">
        <v>1.4876691186854057E-4</v>
      </c>
    </row>
    <row r="9" spans="1:16">
      <c r="A9" s="374">
        <v>2</v>
      </c>
      <c r="B9" s="383" t="s">
        <v>104</v>
      </c>
      <c r="C9" s="384" t="s">
        <v>320</v>
      </c>
      <c r="D9" s="376">
        <v>2983833723.3713889</v>
      </c>
      <c r="E9" s="377">
        <v>0.10234952017295748</v>
      </c>
      <c r="F9" s="376">
        <v>483797.35950569448</v>
      </c>
      <c r="G9" s="377">
        <v>3.1165627665627839E-2</v>
      </c>
      <c r="H9" s="377">
        <v>0.13351514783858531</v>
      </c>
      <c r="I9" s="378"/>
      <c r="J9" s="379">
        <v>395380.01134539099</v>
      </c>
      <c r="K9" s="355">
        <v>3117609000</v>
      </c>
      <c r="L9" s="380">
        <v>1.2682155181916366E-4</v>
      </c>
      <c r="M9" s="378"/>
      <c r="N9" s="381">
        <v>0</v>
      </c>
      <c r="O9" s="382">
        <v>0</v>
      </c>
      <c r="P9" s="382">
        <v>1.2682155181916366E-4</v>
      </c>
    </row>
    <row r="10" spans="1:16">
      <c r="A10" s="374">
        <v>3</v>
      </c>
      <c r="B10" s="352" t="s">
        <v>106</v>
      </c>
      <c r="C10" s="384" t="s">
        <v>321</v>
      </c>
      <c r="D10" s="376">
        <v>3065348902.0678535</v>
      </c>
      <c r="E10" s="377">
        <v>0.10514560071895029</v>
      </c>
      <c r="F10" s="376">
        <v>452114.2470296041</v>
      </c>
      <c r="G10" s="377">
        <v>2.9124640737284716E-2</v>
      </c>
      <c r="H10" s="377">
        <v>0.13427024145623501</v>
      </c>
      <c r="I10" s="378"/>
      <c r="J10" s="379">
        <v>397616.07914703176</v>
      </c>
      <c r="K10" s="355">
        <v>3283165000</v>
      </c>
      <c r="L10" s="380">
        <v>1.2110755297008581E-4</v>
      </c>
      <c r="M10" s="378"/>
      <c r="N10" s="381">
        <v>0</v>
      </c>
      <c r="O10" s="382">
        <v>0</v>
      </c>
      <c r="P10" s="382">
        <v>1.2110755297008581E-4</v>
      </c>
    </row>
    <row r="11" spans="1:16">
      <c r="A11" s="374">
        <v>4</v>
      </c>
      <c r="B11" s="352" t="s">
        <v>108</v>
      </c>
      <c r="C11" s="384" t="s">
        <v>322</v>
      </c>
      <c r="D11" s="376">
        <v>2051022389.543107</v>
      </c>
      <c r="E11" s="377">
        <v>7.0352833601110623E-2</v>
      </c>
      <c r="F11" s="376">
        <v>261562.891393383</v>
      </c>
      <c r="G11" s="377">
        <v>1.6849558031155971E-2</v>
      </c>
      <c r="H11" s="377">
        <v>8.720239163226659E-2</v>
      </c>
      <c r="I11" s="378"/>
      <c r="J11" s="379">
        <v>258233.48999016554</v>
      </c>
      <c r="K11" s="355">
        <v>1942526000</v>
      </c>
      <c r="L11" s="380">
        <v>1.3293695424934624E-4</v>
      </c>
      <c r="M11" s="378"/>
      <c r="N11" s="381">
        <v>0</v>
      </c>
      <c r="O11" s="382">
        <v>0</v>
      </c>
      <c r="P11" s="382">
        <v>1.3293695424934624E-4</v>
      </c>
    </row>
    <row r="12" spans="1:16">
      <c r="A12" s="374">
        <v>5</v>
      </c>
      <c r="B12" s="352" t="s">
        <v>110</v>
      </c>
      <c r="C12" s="375">
        <v>29</v>
      </c>
      <c r="D12" s="376">
        <v>15235983.417815696</v>
      </c>
      <c r="E12" s="377">
        <v>5.2261477573711291E-4</v>
      </c>
      <c r="F12" s="376">
        <v>358.31112419307749</v>
      </c>
      <c r="G12" s="377">
        <v>2.3081959555264064E-5</v>
      </c>
      <c r="H12" s="377">
        <v>5.4569673529237693E-4</v>
      </c>
      <c r="I12" s="378"/>
      <c r="J12" s="379">
        <v>1615.9782982219024</v>
      </c>
      <c r="K12" s="355">
        <v>16292000</v>
      </c>
      <c r="L12" s="380">
        <v>9.9188454347035499E-5</v>
      </c>
      <c r="M12" s="378"/>
      <c r="N12" s="381">
        <v>0</v>
      </c>
      <c r="O12" s="382">
        <v>0</v>
      </c>
      <c r="P12" s="382">
        <v>9.9188454347035499E-5</v>
      </c>
    </row>
    <row r="13" spans="1:16">
      <c r="A13" s="374">
        <v>6</v>
      </c>
      <c r="B13" s="352" t="s">
        <v>112</v>
      </c>
      <c r="C13" s="384" t="s">
        <v>323</v>
      </c>
      <c r="D13" s="376">
        <v>1342870567.1184549</v>
      </c>
      <c r="E13" s="377">
        <v>4.6062271205805437E-2</v>
      </c>
      <c r="F13" s="376">
        <v>179157.07260351363</v>
      </c>
      <c r="G13" s="377">
        <v>1.1541077082623554E-2</v>
      </c>
      <c r="H13" s="377">
        <v>5.7603348288428988E-2</v>
      </c>
      <c r="I13" s="378"/>
      <c r="J13" s="379">
        <v>170581.48733315204</v>
      </c>
      <c r="K13" s="355">
        <v>1420073000</v>
      </c>
      <c r="L13" s="380">
        <v>1.2012163271405909E-4</v>
      </c>
      <c r="M13" s="378"/>
      <c r="N13" s="381">
        <v>0</v>
      </c>
      <c r="O13" s="382">
        <v>0</v>
      </c>
      <c r="P13" s="382">
        <v>1.2012163271405909E-4</v>
      </c>
    </row>
    <row r="14" spans="1:16">
      <c r="A14" s="374">
        <v>7</v>
      </c>
      <c r="B14" s="352" t="s">
        <v>114</v>
      </c>
      <c r="C14" s="375">
        <v>35</v>
      </c>
      <c r="D14" s="376">
        <v>4594563.3633324662</v>
      </c>
      <c r="E14" s="377">
        <v>1.5759971876381826E-4</v>
      </c>
      <c r="F14" s="376">
        <v>4.0419526549894496</v>
      </c>
      <c r="G14" s="377">
        <v>2.6037759200712292E-7</v>
      </c>
      <c r="H14" s="377">
        <v>1.5786009635582537E-4</v>
      </c>
      <c r="I14" s="378"/>
      <c r="J14" s="379">
        <v>467.47299986970586</v>
      </c>
      <c r="K14" s="355">
        <v>5174000</v>
      </c>
      <c r="L14" s="380">
        <v>9.0350405850349029E-5</v>
      </c>
      <c r="M14" s="378"/>
      <c r="N14" s="381">
        <v>0</v>
      </c>
      <c r="O14" s="382">
        <v>0</v>
      </c>
      <c r="P14" s="382">
        <v>9.0350405850349029E-5</v>
      </c>
    </row>
    <row r="15" spans="1:16">
      <c r="A15" s="374">
        <v>8</v>
      </c>
      <c r="B15" s="352" t="s">
        <v>115</v>
      </c>
      <c r="C15" s="375">
        <v>43</v>
      </c>
      <c r="D15" s="376">
        <v>124979540.86316925</v>
      </c>
      <c r="E15" s="377">
        <v>4.2869667765296493E-3</v>
      </c>
      <c r="F15" s="376">
        <v>0</v>
      </c>
      <c r="G15" s="377">
        <v>0</v>
      </c>
      <c r="H15" s="377">
        <v>4.2869667765296493E-3</v>
      </c>
      <c r="I15" s="378"/>
      <c r="J15" s="379">
        <v>12695.046218956173</v>
      </c>
      <c r="K15" s="355">
        <v>127202000</v>
      </c>
      <c r="L15" s="380">
        <v>9.9802253258252021E-5</v>
      </c>
      <c r="M15" s="378"/>
      <c r="N15" s="381">
        <v>0</v>
      </c>
      <c r="O15" s="382">
        <v>0</v>
      </c>
      <c r="P15" s="382">
        <v>9.9802253258252021E-5</v>
      </c>
    </row>
    <row r="16" spans="1:16">
      <c r="A16" s="374">
        <v>9</v>
      </c>
      <c r="B16" s="352"/>
      <c r="C16" s="354"/>
      <c r="D16" s="355"/>
      <c r="E16" s="378"/>
      <c r="F16" s="355"/>
      <c r="G16" s="378"/>
      <c r="H16" s="378"/>
      <c r="I16" s="378"/>
      <c r="J16" s="379"/>
      <c r="K16" s="355"/>
      <c r="L16" s="385"/>
      <c r="M16" s="378"/>
      <c r="N16" s="381"/>
      <c r="O16" s="382"/>
      <c r="P16" s="382"/>
    </row>
    <row r="17" spans="1:16">
      <c r="A17" s="374">
        <v>10</v>
      </c>
      <c r="B17" s="383"/>
      <c r="C17" s="354"/>
      <c r="D17" s="355"/>
      <c r="E17" s="378"/>
      <c r="F17" s="355"/>
      <c r="G17" s="378"/>
      <c r="H17" s="378"/>
      <c r="I17" s="378"/>
      <c r="J17" s="379"/>
      <c r="K17" s="355"/>
      <c r="L17" s="385"/>
      <c r="M17" s="378"/>
      <c r="N17" s="381"/>
      <c r="O17" s="382"/>
      <c r="P17" s="382"/>
    </row>
    <row r="18" spans="1:16">
      <c r="A18" s="374">
        <v>11</v>
      </c>
      <c r="B18" s="383" t="s">
        <v>414</v>
      </c>
      <c r="C18" s="375" t="s">
        <v>415</v>
      </c>
      <c r="D18" s="376">
        <v>192800042.09802258</v>
      </c>
      <c r="E18" s="377">
        <v>6.613301419411066E-3</v>
      </c>
      <c r="F18" s="376">
        <v>19619.565981487205</v>
      </c>
      <c r="G18" s="377">
        <v>1.2638681801921893E-3</v>
      </c>
      <c r="H18" s="377">
        <v>7.8771695996032558E-3</v>
      </c>
      <c r="I18" s="378"/>
      <c r="J18" s="379">
        <v>23326.75697162082</v>
      </c>
      <c r="K18" s="355">
        <v>133138000</v>
      </c>
      <c r="L18" s="380">
        <v>1.752073560637896E-4</v>
      </c>
      <c r="M18" s="378"/>
      <c r="N18" s="381">
        <v>0</v>
      </c>
      <c r="O18" s="382">
        <v>0</v>
      </c>
      <c r="P18" s="382">
        <v>1.752073560637896E-4</v>
      </c>
    </row>
    <row r="19" spans="1:16">
      <c r="A19" s="374">
        <v>12</v>
      </c>
      <c r="B19" s="386"/>
      <c r="C19" s="384"/>
      <c r="D19" s="355"/>
      <c r="E19" s="378"/>
      <c r="F19" s="355"/>
      <c r="G19" s="378"/>
      <c r="H19" s="378"/>
      <c r="I19" s="378"/>
      <c r="J19" s="379"/>
      <c r="K19" s="355"/>
      <c r="L19" s="385"/>
      <c r="M19" s="378"/>
      <c r="N19" s="378"/>
      <c r="O19" s="382"/>
      <c r="P19" s="382"/>
    </row>
    <row r="20" spans="1:16">
      <c r="A20" s="374">
        <v>13</v>
      </c>
      <c r="B20" s="387" t="s">
        <v>416</v>
      </c>
      <c r="C20" s="375">
        <v>46</v>
      </c>
      <c r="D20" s="376">
        <v>58540365.538649537</v>
      </c>
      <c r="E20" s="377">
        <v>2.0080134749802751E-3</v>
      </c>
      <c r="F20" s="376">
        <v>0</v>
      </c>
      <c r="G20" s="377">
        <v>0</v>
      </c>
      <c r="H20" s="377">
        <v>2.0080134749802751E-3</v>
      </c>
      <c r="I20" s="378"/>
      <c r="J20" s="379">
        <v>5946.3544277330093</v>
      </c>
      <c r="K20" s="355">
        <v>76029000</v>
      </c>
      <c r="L20" s="380">
        <v>7.8211661704520767E-5</v>
      </c>
      <c r="M20" s="388"/>
      <c r="N20" s="388">
        <v>25824.735880422842</v>
      </c>
      <c r="O20" s="382">
        <v>4.3999999999999942E-4</v>
      </c>
      <c r="P20" s="382">
        <v>5.1821166170452015E-4</v>
      </c>
    </row>
    <row r="21" spans="1:16">
      <c r="A21" s="374">
        <v>14</v>
      </c>
      <c r="B21" s="387" t="s">
        <v>76</v>
      </c>
      <c r="C21" s="375">
        <v>49</v>
      </c>
      <c r="D21" s="376">
        <v>574347448.1834321</v>
      </c>
      <c r="E21" s="377">
        <v>1.9700891934325837E-2</v>
      </c>
      <c r="F21" s="376">
        <v>67179.705291231017</v>
      </c>
      <c r="G21" s="377">
        <v>4.3276335446152236E-3</v>
      </c>
      <c r="H21" s="377">
        <v>2.4028525478941062E-2</v>
      </c>
      <c r="I21" s="378"/>
      <c r="J21" s="379">
        <v>71155.961179493665</v>
      </c>
      <c r="K21" s="355">
        <v>606297000</v>
      </c>
      <c r="L21" s="380">
        <v>1.1736155907004928E-4</v>
      </c>
      <c r="M21" s="378"/>
      <c r="N21" s="388">
        <v>253369.97841496815</v>
      </c>
      <c r="O21" s="382">
        <v>4.3999999999999942E-4</v>
      </c>
      <c r="P21" s="382">
        <v>5.5736155907004864E-4</v>
      </c>
    </row>
    <row r="22" spans="1:16">
      <c r="A22" s="374">
        <v>15</v>
      </c>
      <c r="B22" s="383"/>
      <c r="C22" s="389"/>
      <c r="D22" s="355"/>
      <c r="E22" s="378"/>
      <c r="F22" s="355"/>
      <c r="G22" s="378"/>
      <c r="H22" s="378"/>
      <c r="I22" s="378"/>
      <c r="J22" s="379"/>
      <c r="K22" s="355"/>
      <c r="L22" s="385"/>
      <c r="M22" s="378"/>
      <c r="N22" s="378"/>
      <c r="O22" s="382"/>
      <c r="P22" s="382"/>
    </row>
    <row r="23" spans="1:16">
      <c r="A23" s="374">
        <v>16</v>
      </c>
      <c r="B23" s="352" t="s">
        <v>121</v>
      </c>
      <c r="C23" s="354" t="s">
        <v>17</v>
      </c>
      <c r="D23" s="376">
        <v>81534389.017231286</v>
      </c>
      <c r="E23" s="377">
        <v>2.796739485898691E-3</v>
      </c>
      <c r="F23" s="376">
        <v>13772.381425311305</v>
      </c>
      <c r="G23" s="377">
        <v>8.8719978134814274E-4</v>
      </c>
      <c r="H23" s="377">
        <v>3.6839392672468338E-3</v>
      </c>
      <c r="I23" s="378"/>
      <c r="J23" s="379">
        <v>10909.293610944465</v>
      </c>
      <c r="K23" s="355">
        <v>71427000</v>
      </c>
      <c r="L23" s="380">
        <v>1.5273347068957768E-4</v>
      </c>
      <c r="M23" s="388"/>
      <c r="N23" s="388">
        <v>38799.611728854012</v>
      </c>
      <c r="O23" s="382">
        <v>5.4699999999999888E-4</v>
      </c>
      <c r="P23" s="382">
        <v>6.9973347068957652E-4</v>
      </c>
    </row>
    <row r="24" spans="1:16">
      <c r="A24" s="374">
        <v>17</v>
      </c>
      <c r="B24" s="352"/>
      <c r="C24" s="354"/>
      <c r="D24" s="355"/>
      <c r="E24" s="378"/>
      <c r="F24" s="355"/>
      <c r="G24" s="352"/>
      <c r="H24" s="352"/>
      <c r="I24" s="352"/>
      <c r="J24" s="379"/>
      <c r="K24" s="352"/>
      <c r="L24" s="385"/>
      <c r="M24" s="388"/>
      <c r="N24" s="388"/>
      <c r="O24" s="382"/>
      <c r="P24" s="382"/>
    </row>
    <row r="25" spans="1:16">
      <c r="A25" s="374">
        <v>18</v>
      </c>
      <c r="B25" s="352" t="s">
        <v>90</v>
      </c>
      <c r="C25" s="354">
        <v>5</v>
      </c>
      <c r="D25" s="376">
        <v>7227693.8231415441</v>
      </c>
      <c r="E25" s="377">
        <v>2.4791964410126449E-4</v>
      </c>
      <c r="F25" s="376">
        <v>1530.4662657410647</v>
      </c>
      <c r="G25" s="377">
        <v>9.8590744359629832E-5</v>
      </c>
      <c r="H25" s="378">
        <v>3.4651038846089433E-4</v>
      </c>
      <c r="I25" s="378"/>
      <c r="J25" s="379">
        <v>1026.1253763250591</v>
      </c>
      <c r="K25" s="355">
        <v>7066000</v>
      </c>
      <c r="L25" s="380">
        <v>1.4522012118950737E-4</v>
      </c>
      <c r="M25" s="388"/>
      <c r="N25" s="388">
        <v>3610.7055540751026</v>
      </c>
      <c r="O25" s="382">
        <v>4.9900000000000291E-4</v>
      </c>
      <c r="P25" s="382">
        <v>6.4422012118951029E-4</v>
      </c>
    </row>
    <row r="26" spans="1:16">
      <c r="A26" s="374">
        <v>19</v>
      </c>
      <c r="B26" s="352"/>
      <c r="C26" s="354"/>
      <c r="D26" s="355"/>
      <c r="E26" s="378"/>
      <c r="F26" s="355"/>
      <c r="G26" s="352"/>
      <c r="H26" s="352"/>
      <c r="I26" s="352"/>
      <c r="J26" s="379"/>
      <c r="K26" s="352"/>
      <c r="L26" s="385"/>
      <c r="M26" s="352"/>
      <c r="N26" s="352"/>
      <c r="O26" s="390"/>
      <c r="P26" s="390"/>
    </row>
    <row r="27" spans="1:16">
      <c r="A27" s="374">
        <v>20</v>
      </c>
      <c r="B27" s="352" t="s">
        <v>122</v>
      </c>
      <c r="C27" s="354"/>
      <c r="D27" s="355">
        <v>21865029643</v>
      </c>
      <c r="E27" s="378">
        <v>0.75</v>
      </c>
      <c r="F27" s="355">
        <v>3880856.8585261339</v>
      </c>
      <c r="G27" s="378">
        <v>0.25</v>
      </c>
      <c r="H27" s="378">
        <v>1</v>
      </c>
      <c r="I27" s="379">
        <v>2961312.0140000163</v>
      </c>
      <c r="J27" s="379">
        <v>2961312.0140000163</v>
      </c>
      <c r="K27" s="355">
        <v>21644147000</v>
      </c>
      <c r="L27" s="380">
        <v>1.3681814367644133E-4</v>
      </c>
      <c r="M27" s="379">
        <v>321605.03157832008</v>
      </c>
      <c r="N27" s="379">
        <v>321605.03157832008</v>
      </c>
      <c r="O27" s="380"/>
      <c r="P27" s="382"/>
    </row>
    <row r="28" spans="1:16">
      <c r="A28" s="374">
        <v>21</v>
      </c>
      <c r="B28" s="352"/>
      <c r="C28" s="354"/>
      <c r="D28" s="355"/>
      <c r="E28" s="352"/>
      <c r="F28" s="355"/>
      <c r="G28" s="352"/>
      <c r="H28" s="352"/>
      <c r="I28" s="352"/>
      <c r="J28" s="379"/>
      <c r="K28" s="352"/>
      <c r="L28" s="391"/>
      <c r="M28" s="352"/>
      <c r="N28" s="352"/>
      <c r="O28" s="390"/>
      <c r="P28" s="390"/>
    </row>
    <row r="29" spans="1:16">
      <c r="A29" s="374">
        <v>22</v>
      </c>
      <c r="B29" s="383" t="s">
        <v>123</v>
      </c>
      <c r="C29" s="389" t="s">
        <v>374</v>
      </c>
      <c r="D29" s="355"/>
      <c r="E29" s="378"/>
      <c r="F29" s="355"/>
      <c r="G29" s="378"/>
      <c r="H29" s="378"/>
      <c r="I29" s="378"/>
      <c r="J29" s="379"/>
      <c r="K29" s="355">
        <v>2478455000</v>
      </c>
      <c r="L29" s="385"/>
      <c r="M29" s="378"/>
      <c r="N29" s="378"/>
      <c r="O29" s="390"/>
      <c r="P29" s="390"/>
    </row>
    <row r="30" spans="1:16">
      <c r="A30" s="374">
        <v>23</v>
      </c>
      <c r="B30" s="383"/>
      <c r="C30" s="389"/>
      <c r="D30" s="355"/>
      <c r="E30" s="378"/>
      <c r="F30" s="355"/>
      <c r="G30" s="378"/>
      <c r="H30" s="378"/>
      <c r="I30" s="378"/>
      <c r="J30" s="379"/>
      <c r="K30" s="355"/>
      <c r="L30" s="385"/>
      <c r="M30" s="378"/>
      <c r="N30" s="378"/>
      <c r="O30" s="390"/>
      <c r="P30" s="390"/>
    </row>
    <row r="31" spans="1:16">
      <c r="A31" s="374">
        <v>24</v>
      </c>
      <c r="B31" s="352" t="s">
        <v>19</v>
      </c>
      <c r="C31" s="354"/>
      <c r="D31" s="355">
        <v>21865029643</v>
      </c>
      <c r="E31" s="378"/>
      <c r="F31" s="355">
        <v>3880856.8585261339</v>
      </c>
      <c r="G31" s="378"/>
      <c r="H31" s="378"/>
      <c r="I31" s="379"/>
      <c r="J31" s="379"/>
      <c r="K31" s="355">
        <v>24122602000</v>
      </c>
      <c r="L31" s="385"/>
      <c r="M31" s="379"/>
      <c r="N31" s="379"/>
      <c r="O31" s="390"/>
      <c r="P31" s="390"/>
    </row>
    <row r="32" spans="1:16" ht="13.5" thickBot="1">
      <c r="A32" s="392"/>
      <c r="B32" s="393"/>
      <c r="C32" s="394"/>
      <c r="D32" s="395"/>
      <c r="E32" s="393"/>
      <c r="F32" s="395"/>
      <c r="G32" s="393"/>
      <c r="H32" s="393"/>
      <c r="I32" s="393"/>
      <c r="J32" s="393"/>
      <c r="K32" s="393"/>
      <c r="L32" s="396"/>
      <c r="M32" s="393"/>
      <c r="N32" s="393"/>
      <c r="O32" s="396"/>
      <c r="P32" s="396"/>
    </row>
  </sheetData>
  <mergeCells count="3">
    <mergeCell ref="A1:O1"/>
    <mergeCell ref="A2:O2"/>
    <mergeCell ref="A3:O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workbookViewId="0"/>
  </sheetViews>
  <sheetFormatPr defaultRowHeight="12.75"/>
  <cols>
    <col min="1" max="1" width="7.7109375" bestFit="1" customWidth="1"/>
    <col min="2" max="2" width="22.5703125" bestFit="1" customWidth="1"/>
    <col min="3" max="3" width="11.7109375" bestFit="1" customWidth="1"/>
    <col min="4" max="4" width="16.28515625" bestFit="1" customWidth="1"/>
    <col min="5" max="5" width="24.5703125" bestFit="1" customWidth="1"/>
    <col min="6" max="6" width="12.42578125" bestFit="1" customWidth="1"/>
    <col min="7" max="7" width="15.28515625" bestFit="1" customWidth="1"/>
    <col min="8" max="8" width="17.7109375" bestFit="1" customWidth="1"/>
    <col min="9" max="9" width="16.28515625" bestFit="1" customWidth="1"/>
    <col min="10" max="10" width="12.28515625" bestFit="1" customWidth="1"/>
    <col min="11" max="11" width="9.8554687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180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3"/>
      <c r="D3" s="172"/>
      <c r="E3" s="172"/>
      <c r="F3" s="172"/>
      <c r="G3" s="171"/>
      <c r="H3" s="171"/>
      <c r="I3" s="172"/>
      <c r="J3" s="171"/>
      <c r="K3" s="173"/>
    </row>
    <row r="4" spans="1:11">
      <c r="A4" s="134"/>
      <c r="B4" s="66"/>
      <c r="C4" s="66"/>
      <c r="D4" s="174"/>
      <c r="E4" s="174"/>
      <c r="F4" s="174"/>
      <c r="G4" s="135"/>
      <c r="H4" s="174"/>
      <c r="I4" s="174"/>
      <c r="J4" s="135"/>
      <c r="K4" s="175"/>
    </row>
    <row r="5" spans="1:11" ht="64.5" thickBot="1">
      <c r="A5" s="136" t="s">
        <v>2</v>
      </c>
      <c r="B5" s="137" t="s">
        <v>93</v>
      </c>
      <c r="C5" s="137" t="s">
        <v>127</v>
      </c>
      <c r="D5" s="64" t="s">
        <v>454</v>
      </c>
      <c r="E5" s="63" t="s">
        <v>455</v>
      </c>
      <c r="F5" s="63" t="s">
        <v>456</v>
      </c>
      <c r="G5" s="63" t="s">
        <v>457</v>
      </c>
      <c r="H5" s="63" t="s">
        <v>458</v>
      </c>
      <c r="I5" s="63" t="s">
        <v>459</v>
      </c>
      <c r="J5" s="137" t="s">
        <v>181</v>
      </c>
      <c r="K5" s="138" t="s">
        <v>182</v>
      </c>
    </row>
    <row r="6" spans="1:11" ht="25.5">
      <c r="A6" s="139"/>
      <c r="B6" s="195"/>
      <c r="C6" s="195"/>
      <c r="D6" s="140" t="s">
        <v>96</v>
      </c>
      <c r="E6" s="140" t="s">
        <v>97</v>
      </c>
      <c r="F6" s="141" t="s">
        <v>98</v>
      </c>
      <c r="G6" s="195" t="s">
        <v>99</v>
      </c>
      <c r="H6" s="140" t="s">
        <v>183</v>
      </c>
      <c r="I6" s="140" t="s">
        <v>184</v>
      </c>
      <c r="J6" s="195" t="s">
        <v>102</v>
      </c>
      <c r="K6" s="142" t="s">
        <v>103</v>
      </c>
    </row>
    <row r="7" spans="1:11">
      <c r="A7" s="170"/>
      <c r="B7" s="171"/>
      <c r="C7" s="333"/>
      <c r="D7" s="172"/>
      <c r="E7" s="172"/>
      <c r="F7" s="172"/>
      <c r="G7" s="171"/>
      <c r="H7" s="171"/>
      <c r="I7" s="172"/>
      <c r="J7" s="171"/>
      <c r="K7" s="173"/>
    </row>
    <row r="8" spans="1:11">
      <c r="A8" s="170">
        <v>1</v>
      </c>
      <c r="B8" s="171" t="s">
        <v>12</v>
      </c>
      <c r="C8" s="333">
        <v>7</v>
      </c>
      <c r="D8" s="172">
        <v>10808199000</v>
      </c>
      <c r="E8" s="188">
        <v>1127443000</v>
      </c>
      <c r="F8" s="176">
        <v>-2.0720000000000001E-3</v>
      </c>
      <c r="G8" s="176">
        <v>-1.913E-3</v>
      </c>
      <c r="H8" s="188">
        <v>1105048411.6719999</v>
      </c>
      <c r="I8" s="188">
        <v>1106766915.313</v>
      </c>
      <c r="J8" s="188">
        <v>1718503.6410000324</v>
      </c>
      <c r="K8" s="189">
        <v>1.5551387820193691E-3</v>
      </c>
    </row>
    <row r="9" spans="1:11">
      <c r="A9" s="170">
        <v>2</v>
      </c>
      <c r="B9" s="171"/>
      <c r="C9" s="333"/>
      <c r="D9" s="172"/>
      <c r="E9" s="188"/>
      <c r="F9" s="188"/>
      <c r="G9" s="188"/>
      <c r="H9" s="177"/>
      <c r="I9" s="188"/>
      <c r="J9" s="188"/>
      <c r="K9" s="189"/>
    </row>
    <row r="10" spans="1:11">
      <c r="A10" s="170">
        <v>3</v>
      </c>
      <c r="B10" s="178" t="s">
        <v>104</v>
      </c>
      <c r="C10" s="333" t="s">
        <v>105</v>
      </c>
      <c r="D10" s="172">
        <v>3088796000</v>
      </c>
      <c r="E10" s="188">
        <v>324889000</v>
      </c>
      <c r="F10" s="176">
        <v>-1.6739999999999999E-3</v>
      </c>
      <c r="G10" s="176">
        <v>-1.6410000000000001E-3</v>
      </c>
      <c r="H10" s="188">
        <v>319718355.49599999</v>
      </c>
      <c r="I10" s="188">
        <v>319820285.764</v>
      </c>
      <c r="J10" s="188">
        <v>101930.26800000668</v>
      </c>
      <c r="K10" s="189">
        <v>3.1881268700345838E-4</v>
      </c>
    </row>
    <row r="11" spans="1:11">
      <c r="A11" s="170">
        <v>4</v>
      </c>
      <c r="B11" s="179" t="s">
        <v>106</v>
      </c>
      <c r="C11" s="101" t="s">
        <v>107</v>
      </c>
      <c r="D11" s="172">
        <v>3251471000</v>
      </c>
      <c r="E11" s="188">
        <v>319869000</v>
      </c>
      <c r="F11" s="176">
        <v>-1.7129999999999999E-3</v>
      </c>
      <c r="G11" s="176">
        <v>-1.5679999999999999E-3</v>
      </c>
      <c r="H11" s="188">
        <v>314299230.17699999</v>
      </c>
      <c r="I11" s="188">
        <v>314770693.472</v>
      </c>
      <c r="J11" s="188">
        <v>471463.29500001669</v>
      </c>
      <c r="K11" s="189">
        <v>1.5000459744508715E-3</v>
      </c>
    </row>
    <row r="12" spans="1:11">
      <c r="A12" s="170">
        <v>5</v>
      </c>
      <c r="B12" s="179" t="s">
        <v>108</v>
      </c>
      <c r="C12" s="333" t="s">
        <v>109</v>
      </c>
      <c r="D12" s="172">
        <v>1936207000</v>
      </c>
      <c r="E12" s="188">
        <v>173043000</v>
      </c>
      <c r="F12" s="176">
        <v>-1.786E-3</v>
      </c>
      <c r="G12" s="176">
        <v>-1.7099999999999999E-3</v>
      </c>
      <c r="H12" s="188">
        <v>169584934.29800001</v>
      </c>
      <c r="I12" s="188">
        <v>169732086.03</v>
      </c>
      <c r="J12" s="188">
        <v>147151.73199999332</v>
      </c>
      <c r="K12" s="189">
        <v>8.677170092327521E-4</v>
      </c>
    </row>
    <row r="13" spans="1:11">
      <c r="A13" s="170">
        <v>6</v>
      </c>
      <c r="B13" s="179" t="s">
        <v>110</v>
      </c>
      <c r="C13" s="333">
        <v>29</v>
      </c>
      <c r="D13" s="172">
        <v>16225000</v>
      </c>
      <c r="E13" s="188">
        <v>1308000</v>
      </c>
      <c r="F13" s="176">
        <v>-1.562E-3</v>
      </c>
      <c r="G13" s="176">
        <v>-1.276E-3</v>
      </c>
      <c r="H13" s="188">
        <v>1282656.55</v>
      </c>
      <c r="I13" s="188">
        <v>1287296.8999999999</v>
      </c>
      <c r="J13" s="188">
        <v>4640.3499999998603</v>
      </c>
      <c r="K13" s="189">
        <v>3.6177650205737929E-3</v>
      </c>
    </row>
    <row r="14" spans="1:11">
      <c r="A14" s="170">
        <v>7</v>
      </c>
      <c r="B14" s="171"/>
      <c r="C14" s="333"/>
      <c r="D14" s="172"/>
      <c r="E14" s="188"/>
      <c r="F14" s="177"/>
      <c r="G14" s="177"/>
      <c r="H14" s="177"/>
      <c r="I14" s="188"/>
      <c r="J14" s="188"/>
      <c r="K14" s="189"/>
    </row>
    <row r="15" spans="1:11">
      <c r="A15" s="170">
        <v>8</v>
      </c>
      <c r="B15" s="171" t="s">
        <v>111</v>
      </c>
      <c r="C15" s="333"/>
      <c r="D15" s="172">
        <v>8292699000</v>
      </c>
      <c r="E15" s="188">
        <v>819109000</v>
      </c>
      <c r="F15" s="176">
        <v>-1.715222447962961E-3</v>
      </c>
      <c r="G15" s="176">
        <v>-1.6277737602679177E-3</v>
      </c>
      <c r="H15" s="188">
        <v>804885176.52099991</v>
      </c>
      <c r="I15" s="188">
        <v>805610362.16600001</v>
      </c>
      <c r="J15" s="188">
        <v>725185.64500001655</v>
      </c>
      <c r="K15" s="189">
        <v>9.0098024681548603E-4</v>
      </c>
    </row>
    <row r="16" spans="1:11">
      <c r="A16" s="170">
        <v>9</v>
      </c>
      <c r="B16" s="171"/>
      <c r="C16" s="333"/>
      <c r="D16" s="172"/>
      <c r="E16" s="188"/>
      <c r="F16" s="177"/>
      <c r="G16" s="177"/>
      <c r="H16" s="177"/>
      <c r="I16" s="188"/>
      <c r="J16" s="188"/>
      <c r="K16" s="189"/>
    </row>
    <row r="17" spans="1:11">
      <c r="A17" s="170">
        <v>10</v>
      </c>
      <c r="B17" s="179" t="s">
        <v>112</v>
      </c>
      <c r="C17" s="333" t="s">
        <v>113</v>
      </c>
      <c r="D17" s="172">
        <v>1417061000</v>
      </c>
      <c r="E17" s="188">
        <v>124121000</v>
      </c>
      <c r="F17" s="176">
        <v>-1.668E-3</v>
      </c>
      <c r="G17" s="176">
        <v>-1.5430000000000001E-3</v>
      </c>
      <c r="H17" s="188">
        <v>121757342.252</v>
      </c>
      <c r="I17" s="188">
        <v>121934474.877</v>
      </c>
      <c r="J17" s="188">
        <v>177132.625</v>
      </c>
      <c r="K17" s="189">
        <v>1.4548003572005563E-3</v>
      </c>
    </row>
    <row r="18" spans="1:11">
      <c r="A18" s="170">
        <v>11</v>
      </c>
      <c r="B18" s="179" t="s">
        <v>114</v>
      </c>
      <c r="C18" s="333">
        <v>35</v>
      </c>
      <c r="D18" s="172">
        <v>5167000</v>
      </c>
      <c r="E18" s="188">
        <v>294000</v>
      </c>
      <c r="F18" s="176">
        <v>-1.129E-3</v>
      </c>
      <c r="G18" s="176">
        <v>-1.1590000000000001E-3</v>
      </c>
      <c r="H18" s="188">
        <v>288166.45699999999</v>
      </c>
      <c r="I18" s="188">
        <v>288011.44699999999</v>
      </c>
      <c r="J18" s="188">
        <v>-155.01000000000931</v>
      </c>
      <c r="K18" s="189">
        <v>-5.379182629850958E-4</v>
      </c>
    </row>
    <row r="19" spans="1:11">
      <c r="A19" s="170">
        <v>12</v>
      </c>
      <c r="B19" s="179" t="s">
        <v>115</v>
      </c>
      <c r="C19" s="333">
        <v>43</v>
      </c>
      <c r="D19" s="172">
        <v>125684000</v>
      </c>
      <c r="E19" s="188">
        <v>12142000</v>
      </c>
      <c r="F19" s="176">
        <v>-1.508E-3</v>
      </c>
      <c r="G19" s="176">
        <v>-1.294E-3</v>
      </c>
      <c r="H19" s="188">
        <v>11952468.528000001</v>
      </c>
      <c r="I19" s="188">
        <v>11979364.903999999</v>
      </c>
      <c r="J19" s="188">
        <v>26896.375999998301</v>
      </c>
      <c r="K19" s="189">
        <v>2.2502779184894331E-3</v>
      </c>
    </row>
    <row r="20" spans="1:11">
      <c r="A20" s="170">
        <v>13</v>
      </c>
      <c r="B20" s="345"/>
      <c r="C20" s="333"/>
      <c r="D20" s="172"/>
      <c r="E20" s="188"/>
      <c r="F20" s="177"/>
      <c r="G20" s="177"/>
      <c r="H20" s="177"/>
      <c r="I20" s="188"/>
      <c r="J20" s="188"/>
      <c r="K20" s="189"/>
    </row>
    <row r="21" spans="1:11">
      <c r="A21" s="170">
        <v>14</v>
      </c>
      <c r="B21" s="345" t="s">
        <v>116</v>
      </c>
      <c r="C21" s="333"/>
      <c r="D21" s="172">
        <v>1547912000</v>
      </c>
      <c r="E21" s="188">
        <v>136557000</v>
      </c>
      <c r="F21" s="176">
        <v>-1.6532094608737449E-3</v>
      </c>
      <c r="G21" s="176">
        <v>-1.5215004289649539E-3</v>
      </c>
      <c r="H21" s="188">
        <v>133997977.237</v>
      </c>
      <c r="I21" s="188">
        <v>134201851.228</v>
      </c>
      <c r="J21" s="188">
        <v>203873.99099999829</v>
      </c>
      <c r="K21" s="189">
        <v>1.5214706610041564E-3</v>
      </c>
    </row>
    <row r="22" spans="1:11">
      <c r="A22" s="170">
        <v>15</v>
      </c>
      <c r="B22" s="345"/>
      <c r="C22" s="333"/>
      <c r="D22" s="172"/>
      <c r="E22" s="188"/>
      <c r="F22" s="177"/>
      <c r="G22" s="177"/>
      <c r="H22" s="177"/>
      <c r="I22" s="188"/>
      <c r="J22" s="188"/>
      <c r="K22" s="189"/>
    </row>
    <row r="23" spans="1:11">
      <c r="A23" s="170">
        <v>16</v>
      </c>
      <c r="B23" s="180" t="s">
        <v>73</v>
      </c>
      <c r="C23" s="333">
        <v>40</v>
      </c>
      <c r="D23" s="172">
        <v>586557000</v>
      </c>
      <c r="E23" s="188">
        <v>47406000</v>
      </c>
      <c r="F23" s="176">
        <v>-1.7719999999999999E-3</v>
      </c>
      <c r="G23" s="176">
        <v>-1.755E-3</v>
      </c>
      <c r="H23" s="188">
        <v>46366620.995999999</v>
      </c>
      <c r="I23" s="188">
        <v>46376592.465000004</v>
      </c>
      <c r="J23" s="188">
        <v>9971.4690000042319</v>
      </c>
      <c r="K23" s="189">
        <v>2.1505705582609654E-4</v>
      </c>
    </row>
    <row r="24" spans="1:11">
      <c r="A24" s="170">
        <v>17</v>
      </c>
      <c r="B24" s="345"/>
      <c r="C24" s="333"/>
      <c r="D24" s="172"/>
      <c r="E24" s="188"/>
      <c r="F24" s="177"/>
      <c r="G24" s="177"/>
      <c r="H24" s="177"/>
      <c r="I24" s="188"/>
      <c r="J24" s="188"/>
      <c r="K24" s="189"/>
    </row>
    <row r="25" spans="1:11">
      <c r="A25" s="170">
        <v>18</v>
      </c>
      <c r="B25" s="179" t="s">
        <v>118</v>
      </c>
      <c r="C25" s="333">
        <v>46</v>
      </c>
      <c r="D25" s="172">
        <v>76343000</v>
      </c>
      <c r="E25" s="188">
        <v>5523000</v>
      </c>
      <c r="F25" s="176">
        <v>-8.5300000000000003E-4</v>
      </c>
      <c r="G25" s="176">
        <v>-9.9700000000000006E-4</v>
      </c>
      <c r="H25" s="188">
        <v>5457879.4210000001</v>
      </c>
      <c r="I25" s="188">
        <v>5446886.0290000001</v>
      </c>
      <c r="J25" s="188">
        <v>-10993.391999999993</v>
      </c>
      <c r="K25" s="189">
        <v>-2.014224051506394E-3</v>
      </c>
    </row>
    <row r="26" spans="1:11">
      <c r="A26" s="170">
        <v>19</v>
      </c>
      <c r="B26" s="178" t="s">
        <v>119</v>
      </c>
      <c r="C26" s="333">
        <v>49</v>
      </c>
      <c r="D26" s="172">
        <v>603277000</v>
      </c>
      <c r="E26" s="188">
        <v>43323000</v>
      </c>
      <c r="F26" s="176">
        <v>-1.6949999999999999E-3</v>
      </c>
      <c r="G26" s="176">
        <v>-1.5120000000000001E-3</v>
      </c>
      <c r="H26" s="188">
        <v>42300445.484999999</v>
      </c>
      <c r="I26" s="188">
        <v>42410845.175999999</v>
      </c>
      <c r="J26" s="188">
        <v>110399.69099999964</v>
      </c>
      <c r="K26" s="189">
        <v>2.6098942867906214E-3</v>
      </c>
    </row>
    <row r="27" spans="1:11">
      <c r="A27" s="170">
        <v>20</v>
      </c>
      <c r="B27" s="171"/>
      <c r="C27" s="333"/>
      <c r="D27" s="172"/>
      <c r="E27" s="188"/>
      <c r="F27" s="177"/>
      <c r="G27" s="177"/>
      <c r="H27" s="177"/>
      <c r="I27" s="188"/>
      <c r="J27" s="188"/>
      <c r="K27" s="189"/>
    </row>
    <row r="28" spans="1:11">
      <c r="A28" s="170">
        <v>21</v>
      </c>
      <c r="B28" s="180" t="s">
        <v>120</v>
      </c>
      <c r="C28" s="333"/>
      <c r="D28" s="172">
        <v>679620000</v>
      </c>
      <c r="E28" s="188">
        <v>48846000</v>
      </c>
      <c r="F28" s="176">
        <v>-1.6004165474824163E-3</v>
      </c>
      <c r="G28" s="176">
        <v>-1.4541490759542098E-3</v>
      </c>
      <c r="H28" s="172">
        <v>47758324.906000003</v>
      </c>
      <c r="I28" s="172">
        <v>47857731.204999998</v>
      </c>
      <c r="J28" s="188">
        <v>99406.29899999965</v>
      </c>
      <c r="K28" s="189">
        <v>2.0814444224259419E-3</v>
      </c>
    </row>
    <row r="29" spans="1:11">
      <c r="A29" s="170">
        <v>22</v>
      </c>
      <c r="B29" s="171"/>
      <c r="C29" s="333"/>
      <c r="D29" s="172"/>
      <c r="E29" s="188"/>
      <c r="F29" s="177"/>
      <c r="G29" s="177"/>
      <c r="H29" s="177"/>
      <c r="I29" s="188"/>
      <c r="J29" s="188"/>
      <c r="K29" s="189"/>
    </row>
    <row r="30" spans="1:11">
      <c r="A30" s="170">
        <v>23</v>
      </c>
      <c r="B30" s="171" t="s">
        <v>121</v>
      </c>
      <c r="C30" s="333" t="s">
        <v>17</v>
      </c>
      <c r="D30" s="172">
        <v>71132000</v>
      </c>
      <c r="E30" s="188">
        <v>16951000</v>
      </c>
      <c r="F30" s="176">
        <v>-2.1120000000000002E-3</v>
      </c>
      <c r="G30" s="176">
        <v>-1.9659999999999999E-3</v>
      </c>
      <c r="H30" s="188">
        <v>16800769.215999998</v>
      </c>
      <c r="I30" s="188">
        <v>16811154.488000002</v>
      </c>
      <c r="J30" s="188">
        <v>10385.272000003606</v>
      </c>
      <c r="K30" s="189">
        <v>6.1814264968971329E-4</v>
      </c>
    </row>
    <row r="31" spans="1:11">
      <c r="A31" s="170">
        <v>24</v>
      </c>
      <c r="B31" s="171"/>
      <c r="C31" s="333"/>
      <c r="D31" s="172"/>
      <c r="E31" s="188"/>
      <c r="F31" s="177"/>
      <c r="G31" s="177"/>
      <c r="H31" s="171"/>
      <c r="I31" s="188"/>
      <c r="J31" s="188"/>
      <c r="K31" s="189"/>
    </row>
    <row r="32" spans="1:11">
      <c r="A32" s="170">
        <v>25</v>
      </c>
      <c r="B32" s="143" t="s">
        <v>185</v>
      </c>
      <c r="C32" s="101" t="s">
        <v>186</v>
      </c>
      <c r="D32" s="172">
        <v>7036000</v>
      </c>
      <c r="E32" s="188">
        <v>695000</v>
      </c>
      <c r="F32" s="176">
        <v>-2.0140000000000002E-3</v>
      </c>
      <c r="G32" s="176">
        <v>-1.8699999999999999E-3</v>
      </c>
      <c r="H32" s="188">
        <v>680829.49600000004</v>
      </c>
      <c r="I32" s="188">
        <v>681842.68</v>
      </c>
      <c r="J32" s="188">
        <v>1013.1840000000084</v>
      </c>
      <c r="K32" s="189">
        <v>1.4881611415966155E-3</v>
      </c>
    </row>
    <row r="33" spans="1:11">
      <c r="A33" s="170">
        <v>26</v>
      </c>
      <c r="B33" s="143"/>
      <c r="C33" s="101"/>
      <c r="D33" s="172"/>
      <c r="E33" s="188"/>
      <c r="F33" s="177"/>
      <c r="G33" s="177"/>
      <c r="H33" s="177"/>
      <c r="I33" s="188"/>
      <c r="J33" s="188"/>
      <c r="K33" s="189"/>
    </row>
    <row r="34" spans="1:11">
      <c r="A34" s="170">
        <v>27</v>
      </c>
      <c r="B34" s="179" t="s">
        <v>122</v>
      </c>
      <c r="C34" s="333"/>
      <c r="D34" s="172">
        <v>21993155000</v>
      </c>
      <c r="E34" s="188">
        <v>2197007000</v>
      </c>
      <c r="F34" s="176">
        <v>-1.8855362023320434E-3</v>
      </c>
      <c r="G34" s="176">
        <v>-1.7595488610304114E-3</v>
      </c>
      <c r="H34" s="188">
        <v>2155538110.0439997</v>
      </c>
      <c r="I34" s="188">
        <v>2158306449.5449996</v>
      </c>
      <c r="J34" s="188">
        <v>2768339.5010000546</v>
      </c>
      <c r="K34" s="189">
        <v>1.2842916059338642E-3</v>
      </c>
    </row>
    <row r="35" spans="1:11">
      <c r="A35" s="170">
        <v>28</v>
      </c>
      <c r="B35" s="180"/>
      <c r="C35" s="333"/>
      <c r="D35" s="172"/>
      <c r="E35" s="188"/>
      <c r="F35" s="177"/>
      <c r="G35" s="177"/>
      <c r="H35" s="177"/>
      <c r="I35" s="188"/>
      <c r="J35" s="188"/>
      <c r="K35" s="189"/>
    </row>
    <row r="36" spans="1:11">
      <c r="A36" s="170">
        <v>29</v>
      </c>
      <c r="B36" s="180" t="s">
        <v>187</v>
      </c>
      <c r="C36" s="333"/>
      <c r="D36" s="172"/>
      <c r="E36" s="188"/>
      <c r="F36" s="188"/>
      <c r="G36" s="177"/>
      <c r="H36" s="177"/>
      <c r="I36" s="188"/>
      <c r="J36" s="188"/>
      <c r="K36" s="189"/>
    </row>
    <row r="37" spans="1:11">
      <c r="A37" s="170">
        <v>30</v>
      </c>
      <c r="B37" s="179" t="s">
        <v>123</v>
      </c>
      <c r="C37" s="101" t="s">
        <v>124</v>
      </c>
      <c r="D37" s="172">
        <v>2028599000</v>
      </c>
      <c r="E37" s="188">
        <v>9904000</v>
      </c>
      <c r="F37" s="188"/>
      <c r="G37" s="177"/>
      <c r="H37" s="188">
        <v>9904000</v>
      </c>
      <c r="I37" s="188">
        <v>9904000</v>
      </c>
      <c r="J37" s="188">
        <v>0</v>
      </c>
      <c r="K37" s="189"/>
    </row>
    <row r="38" spans="1:11">
      <c r="A38" s="170">
        <v>31</v>
      </c>
      <c r="B38" s="180"/>
      <c r="C38" s="333"/>
      <c r="D38" s="172"/>
      <c r="E38" s="188"/>
      <c r="F38" s="188"/>
      <c r="G38" s="177"/>
      <c r="H38" s="177"/>
      <c r="I38" s="188"/>
      <c r="J38" s="188"/>
      <c r="K38" s="189"/>
    </row>
    <row r="39" spans="1:11">
      <c r="A39" s="170">
        <v>32</v>
      </c>
      <c r="B39" s="180" t="s">
        <v>19</v>
      </c>
      <c r="C39" s="333"/>
      <c r="D39" s="172">
        <v>24021754000</v>
      </c>
      <c r="E39" s="188">
        <v>2206911000</v>
      </c>
      <c r="F39" s="188"/>
      <c r="G39" s="177"/>
      <c r="H39" s="188">
        <v>2165442110.0439997</v>
      </c>
      <c r="I39" s="188">
        <v>2168210449.5449996</v>
      </c>
      <c r="J39" s="188">
        <v>2768339.5010000546</v>
      </c>
      <c r="K39" s="189"/>
    </row>
    <row r="40" spans="1:11" ht="13.5" thickBot="1">
      <c r="A40" s="144"/>
      <c r="B40" s="182"/>
      <c r="C40" s="183"/>
      <c r="D40" s="184"/>
      <c r="E40" s="169"/>
      <c r="F40" s="169"/>
      <c r="G40" s="182"/>
      <c r="H40" s="182"/>
      <c r="I40" s="184"/>
      <c r="J40" s="182"/>
      <c r="K40" s="185"/>
    </row>
    <row r="43" spans="1:11">
      <c r="G43" s="431"/>
    </row>
  </sheetData>
  <pageMargins left="0.7" right="0.7" top="0.75" bottom="0.75" header="0.3" footer="0.3"/>
  <pageSetup scale="58" orientation="landscape" r:id="rId1"/>
  <customProperties>
    <customPr name="_pios_id" r:id="rId2"/>
  </customProperties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workbookViewId="0"/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9.42578125" style="1" bestFit="1" customWidth="1"/>
    <col min="4" max="5" width="15.140625" style="1" bestFit="1" customWidth="1"/>
    <col min="6" max="6" width="10.85546875" style="1" bestFit="1" customWidth="1"/>
    <col min="7" max="7" width="14.140625" style="1" bestFit="1" customWidth="1"/>
    <col min="8" max="9" width="15.140625" style="1" bestFit="1" customWidth="1"/>
    <col min="10" max="10" width="13.28515625" style="1" bestFit="1" customWidth="1"/>
    <col min="11" max="11" width="9.140625" style="1" bestFit="1" customWidth="1"/>
    <col min="12" max="12" width="8.85546875" style="1"/>
    <col min="13" max="13" width="14.140625" style="1" bestFit="1" customWidth="1"/>
    <col min="14" max="14" width="8.85546875" style="1"/>
    <col min="15" max="15" width="12.42578125" style="1" bestFit="1" customWidth="1"/>
    <col min="16" max="16384" width="8.85546875" style="1"/>
  </cols>
  <sheetData>
    <row r="1" spans="1:15">
      <c r="A1" s="397"/>
      <c r="B1" s="129" t="s">
        <v>362</v>
      </c>
      <c r="C1" s="129"/>
      <c r="D1" s="153"/>
      <c r="E1" s="153"/>
      <c r="F1" s="129"/>
      <c r="G1" s="129"/>
      <c r="H1" s="153"/>
      <c r="I1" s="153"/>
      <c r="J1" s="129"/>
      <c r="K1" s="130"/>
    </row>
    <row r="2" spans="1:15">
      <c r="A2" s="398"/>
      <c r="B2" s="132" t="s">
        <v>126</v>
      </c>
      <c r="C2" s="132"/>
      <c r="D2" s="156"/>
      <c r="E2" s="156"/>
      <c r="F2" s="132"/>
      <c r="G2" s="132"/>
      <c r="H2" s="156"/>
      <c r="I2" s="156"/>
      <c r="J2" s="132"/>
      <c r="K2" s="133"/>
    </row>
    <row r="3" spans="1:15">
      <c r="A3" s="398"/>
      <c r="B3" s="171"/>
      <c r="C3" s="333"/>
      <c r="D3" s="172"/>
      <c r="E3" s="172"/>
      <c r="F3" s="171"/>
      <c r="G3" s="171"/>
      <c r="H3" s="172"/>
      <c r="I3" s="172"/>
      <c r="J3" s="171"/>
      <c r="K3" s="173"/>
    </row>
    <row r="4" spans="1:15" ht="51">
      <c r="A4" s="399" t="s">
        <v>2</v>
      </c>
      <c r="B4" s="6" t="s">
        <v>93</v>
      </c>
      <c r="C4" s="6" t="s">
        <v>127</v>
      </c>
      <c r="D4" s="314" t="s">
        <v>417</v>
      </c>
      <c r="E4" s="314" t="s">
        <v>418</v>
      </c>
      <c r="F4" s="315" t="s">
        <v>419</v>
      </c>
      <c r="G4" s="315" t="s">
        <v>420</v>
      </c>
      <c r="H4" s="314" t="s">
        <v>363</v>
      </c>
      <c r="I4" s="314" t="s">
        <v>421</v>
      </c>
      <c r="J4" s="315" t="s">
        <v>94</v>
      </c>
      <c r="K4" s="400" t="s">
        <v>95</v>
      </c>
    </row>
    <row r="5" spans="1:15">
      <c r="A5" s="134"/>
      <c r="B5" s="66"/>
      <c r="C5" s="66"/>
      <c r="D5" s="65" t="s">
        <v>96</v>
      </c>
      <c r="E5" s="65" t="s">
        <v>97</v>
      </c>
      <c r="F5" s="66" t="s">
        <v>98</v>
      </c>
      <c r="G5" s="66" t="s">
        <v>99</v>
      </c>
      <c r="H5" s="174" t="s">
        <v>100</v>
      </c>
      <c r="I5" s="65" t="s">
        <v>101</v>
      </c>
      <c r="J5" s="66" t="s">
        <v>102</v>
      </c>
      <c r="K5" s="401" t="s">
        <v>103</v>
      </c>
    </row>
    <row r="6" spans="1:15">
      <c r="A6" s="170">
        <v>1</v>
      </c>
      <c r="B6" s="171"/>
      <c r="C6" s="333"/>
      <c r="D6" s="172"/>
      <c r="E6" s="172"/>
      <c r="F6" s="171"/>
      <c r="G6" s="171"/>
      <c r="H6" s="172"/>
      <c r="I6" s="172"/>
      <c r="J6" s="171"/>
      <c r="K6" s="173"/>
    </row>
    <row r="7" spans="1:15">
      <c r="A7" s="170">
        <v>2</v>
      </c>
      <c r="B7" s="180" t="s">
        <v>12</v>
      </c>
      <c r="C7" s="333">
        <v>7</v>
      </c>
      <c r="D7" s="172">
        <v>10838149000</v>
      </c>
      <c r="E7" s="188">
        <v>1059981000</v>
      </c>
      <c r="F7" s="176">
        <v>4.8599999999999997E-3</v>
      </c>
      <c r="G7" s="176">
        <v>3.9050000000000001E-3</v>
      </c>
      <c r="H7" s="188">
        <v>1112654404.1400001</v>
      </c>
      <c r="I7" s="188">
        <v>1102303971.845</v>
      </c>
      <c r="J7" s="188">
        <v>-10350432.295000076</v>
      </c>
      <c r="K7" s="402">
        <v>-9.3024682745045158E-3</v>
      </c>
      <c r="M7" s="429"/>
      <c r="O7" s="430"/>
    </row>
    <row r="8" spans="1:15">
      <c r="A8" s="170">
        <v>3</v>
      </c>
      <c r="B8" s="180"/>
      <c r="C8" s="333"/>
      <c r="D8" s="172"/>
      <c r="E8" s="188"/>
      <c r="F8" s="176"/>
      <c r="G8" s="176"/>
      <c r="H8" s="188"/>
      <c r="I8" s="188"/>
      <c r="J8" s="188"/>
      <c r="K8" s="402"/>
      <c r="M8" s="429"/>
    </row>
    <row r="9" spans="1:15">
      <c r="A9" s="170">
        <v>4</v>
      </c>
      <c r="B9" s="178" t="s">
        <v>104</v>
      </c>
      <c r="C9" s="101" t="s">
        <v>320</v>
      </c>
      <c r="D9" s="172">
        <v>3117609000</v>
      </c>
      <c r="E9" s="188">
        <v>310808000</v>
      </c>
      <c r="F9" s="176">
        <v>4.2079999999999999E-3</v>
      </c>
      <c r="G9" s="176">
        <v>3.3279999999999998E-3</v>
      </c>
      <c r="H9" s="188">
        <v>323926898.67199999</v>
      </c>
      <c r="I9" s="188">
        <v>321183402.75199997</v>
      </c>
      <c r="J9" s="188">
        <v>-2743495.9200000167</v>
      </c>
      <c r="K9" s="402">
        <v>-8.4694908982474153E-3</v>
      </c>
      <c r="M9" s="429"/>
      <c r="O9" s="430"/>
    </row>
    <row r="10" spans="1:15">
      <c r="A10" s="170">
        <v>5</v>
      </c>
      <c r="B10" s="179" t="s">
        <v>106</v>
      </c>
      <c r="C10" s="101" t="s">
        <v>321</v>
      </c>
      <c r="D10" s="172">
        <v>3283168000</v>
      </c>
      <c r="E10" s="188">
        <v>304933000</v>
      </c>
      <c r="F10" s="176">
        <v>4.2569999999999995E-3</v>
      </c>
      <c r="G10" s="176">
        <v>3.179E-3</v>
      </c>
      <c r="H10" s="188">
        <v>318909446.176</v>
      </c>
      <c r="I10" s="188">
        <v>315370191.07200003</v>
      </c>
      <c r="J10" s="188">
        <v>-3539255.1039999723</v>
      </c>
      <c r="K10" s="402">
        <v>-1.1097993949187462E-2</v>
      </c>
      <c r="M10" s="429"/>
      <c r="O10" s="430"/>
    </row>
    <row r="11" spans="1:15">
      <c r="A11" s="170">
        <v>6</v>
      </c>
      <c r="B11" s="179" t="s">
        <v>108</v>
      </c>
      <c r="C11" s="101" t="s">
        <v>322</v>
      </c>
      <c r="D11" s="172">
        <v>1942526000</v>
      </c>
      <c r="E11" s="188">
        <v>163047000</v>
      </c>
      <c r="F11" s="176">
        <v>4.3249999999999999E-3</v>
      </c>
      <c r="G11" s="176">
        <v>3.4889999999999999E-3</v>
      </c>
      <c r="H11" s="188">
        <v>171448424.94999999</v>
      </c>
      <c r="I11" s="188">
        <v>169824473.21399999</v>
      </c>
      <c r="J11" s="188">
        <v>-1623951.7360000014</v>
      </c>
      <c r="K11" s="402">
        <v>-9.4719548253277882E-3</v>
      </c>
      <c r="M11" s="429"/>
      <c r="O11" s="430"/>
    </row>
    <row r="12" spans="1:15">
      <c r="A12" s="170">
        <v>7</v>
      </c>
      <c r="B12" s="179" t="s">
        <v>110</v>
      </c>
      <c r="C12" s="333">
        <v>29</v>
      </c>
      <c r="D12" s="172">
        <v>16292000</v>
      </c>
      <c r="E12" s="188">
        <v>1226000</v>
      </c>
      <c r="F12" s="176">
        <v>3.1960000000000001E-3</v>
      </c>
      <c r="G12" s="176">
        <v>2.601E-3</v>
      </c>
      <c r="H12" s="188">
        <v>1278069.2320000001</v>
      </c>
      <c r="I12" s="188">
        <v>1268375.4920000001</v>
      </c>
      <c r="J12" s="188">
        <v>-9693.7399999999907</v>
      </c>
      <c r="K12" s="402">
        <v>-7.5846751938708672E-3</v>
      </c>
      <c r="M12" s="429"/>
      <c r="O12" s="430"/>
    </row>
    <row r="13" spans="1:15">
      <c r="A13" s="170">
        <v>8</v>
      </c>
      <c r="B13" s="180"/>
      <c r="C13" s="333"/>
      <c r="D13" s="172"/>
      <c r="E13" s="188"/>
      <c r="F13" s="176"/>
      <c r="G13" s="176"/>
      <c r="H13" s="188"/>
      <c r="I13" s="188"/>
      <c r="J13" s="188"/>
      <c r="K13" s="402"/>
      <c r="M13" s="429"/>
    </row>
    <row r="14" spans="1:15">
      <c r="A14" s="170">
        <v>9</v>
      </c>
      <c r="B14" s="180" t="s">
        <v>111</v>
      </c>
      <c r="C14" s="333"/>
      <c r="D14" s="172">
        <v>8359595000</v>
      </c>
      <c r="E14" s="188">
        <v>780014000</v>
      </c>
      <c r="F14" s="176">
        <v>4.2519999999999997E-3</v>
      </c>
      <c r="G14" s="176">
        <v>3.3050000000000002E-3</v>
      </c>
      <c r="H14" s="188">
        <v>815562839.03000009</v>
      </c>
      <c r="I14" s="188">
        <v>807646442.52999997</v>
      </c>
      <c r="J14" s="188">
        <v>-7916396.4999999907</v>
      </c>
      <c r="K14" s="402">
        <v>-9.70666651439815E-3</v>
      </c>
      <c r="M14" s="429"/>
    </row>
    <row r="15" spans="1:15">
      <c r="A15" s="170">
        <v>10</v>
      </c>
      <c r="B15" s="180"/>
      <c r="C15" s="333"/>
      <c r="D15" s="172"/>
      <c r="E15" s="188"/>
      <c r="F15" s="176"/>
      <c r="G15" s="176"/>
      <c r="H15" s="188"/>
      <c r="I15" s="188"/>
      <c r="J15" s="188"/>
      <c r="K15" s="402"/>
      <c r="M15" s="429"/>
    </row>
    <row r="16" spans="1:15">
      <c r="A16" s="170">
        <v>11</v>
      </c>
      <c r="B16" s="179" t="s">
        <v>112</v>
      </c>
      <c r="C16" s="101" t="s">
        <v>323</v>
      </c>
      <c r="D16" s="172">
        <v>1420073000</v>
      </c>
      <c r="E16" s="188">
        <v>116478000</v>
      </c>
      <c r="F16" s="176">
        <v>4.1519999999999994E-3</v>
      </c>
      <c r="G16" s="176">
        <v>3.1519999999999999E-3</v>
      </c>
      <c r="H16" s="188">
        <v>122374143.096</v>
      </c>
      <c r="I16" s="188">
        <v>120954070.096</v>
      </c>
      <c r="J16" s="188">
        <v>-1420073</v>
      </c>
      <c r="K16" s="402">
        <v>-1.1604355005664733E-2</v>
      </c>
      <c r="M16" s="429"/>
      <c r="O16" s="430"/>
    </row>
    <row r="17" spans="1:15">
      <c r="A17" s="170">
        <v>12</v>
      </c>
      <c r="B17" s="179" t="s">
        <v>114</v>
      </c>
      <c r="C17" s="333">
        <v>35</v>
      </c>
      <c r="D17" s="172">
        <v>5174000</v>
      </c>
      <c r="E17" s="188">
        <v>287000</v>
      </c>
      <c r="F17" s="176">
        <v>2.9009999999999999E-3</v>
      </c>
      <c r="G17" s="176">
        <v>2.369E-3</v>
      </c>
      <c r="H17" s="188">
        <v>302009.77399999998</v>
      </c>
      <c r="I17" s="188">
        <v>299257.20600000001</v>
      </c>
      <c r="J17" s="188">
        <v>-2752.5679999999702</v>
      </c>
      <c r="K17" s="402">
        <v>-9.1141686030332594E-3</v>
      </c>
      <c r="M17" s="429"/>
      <c r="O17" s="430"/>
    </row>
    <row r="18" spans="1:15">
      <c r="A18" s="170">
        <v>13</v>
      </c>
      <c r="B18" s="179" t="s">
        <v>115</v>
      </c>
      <c r="C18" s="333">
        <v>43</v>
      </c>
      <c r="D18" s="172">
        <v>127202000</v>
      </c>
      <c r="E18" s="188">
        <v>11685000</v>
      </c>
      <c r="F18" s="176">
        <v>3.2990000000000003E-3</v>
      </c>
      <c r="G18" s="176">
        <v>2.6159999999999998E-3</v>
      </c>
      <c r="H18" s="188">
        <v>12104639.398</v>
      </c>
      <c r="I18" s="188">
        <v>12017760.432</v>
      </c>
      <c r="J18" s="188">
        <v>-86878.966000000015</v>
      </c>
      <c r="K18" s="402">
        <v>-7.1773278941588848E-3</v>
      </c>
      <c r="M18" s="429"/>
      <c r="O18" s="430"/>
    </row>
    <row r="19" spans="1:15">
      <c r="A19" s="170">
        <v>14</v>
      </c>
      <c r="B19" s="345"/>
      <c r="C19" s="333"/>
      <c r="D19" s="172"/>
      <c r="E19" s="188"/>
      <c r="F19" s="176"/>
      <c r="G19" s="176"/>
      <c r="H19" s="188"/>
      <c r="I19" s="188"/>
      <c r="J19" s="188"/>
      <c r="K19" s="402"/>
      <c r="M19" s="429"/>
    </row>
    <row r="20" spans="1:15">
      <c r="A20" s="170">
        <v>15</v>
      </c>
      <c r="B20" s="345" t="s">
        <v>116</v>
      </c>
      <c r="C20" s="333"/>
      <c r="D20" s="172">
        <v>1552449000</v>
      </c>
      <c r="E20" s="188">
        <v>128450000</v>
      </c>
      <c r="F20" s="176">
        <v>4.078E-3</v>
      </c>
      <c r="G20" s="176">
        <v>3.1050000000000001E-3</v>
      </c>
      <c r="H20" s="188">
        <v>134780792.26800001</v>
      </c>
      <c r="I20" s="188">
        <v>133271087.734</v>
      </c>
      <c r="J20" s="188">
        <v>-1509704.534</v>
      </c>
      <c r="K20" s="402">
        <v>-1.120118459459774E-2</v>
      </c>
      <c r="M20" s="429"/>
    </row>
    <row r="21" spans="1:15">
      <c r="A21" s="170">
        <v>16</v>
      </c>
      <c r="B21" s="345"/>
      <c r="C21" s="333"/>
      <c r="D21" s="172"/>
      <c r="E21" s="188"/>
      <c r="F21" s="176"/>
      <c r="G21" s="176"/>
      <c r="H21" s="188"/>
      <c r="I21" s="188"/>
      <c r="J21" s="188"/>
      <c r="K21" s="402"/>
      <c r="M21" s="429"/>
    </row>
    <row r="22" spans="1:15">
      <c r="A22" s="170">
        <v>17</v>
      </c>
      <c r="B22" s="345" t="s">
        <v>117</v>
      </c>
      <c r="C22" s="333">
        <v>40</v>
      </c>
      <c r="D22" s="172">
        <v>586597000</v>
      </c>
      <c r="E22" s="188">
        <v>44394000</v>
      </c>
      <c r="F22" s="176">
        <v>3.79E-3</v>
      </c>
      <c r="G22" s="176">
        <v>3.5920000000000001E-3</v>
      </c>
      <c r="H22" s="188">
        <v>46617202.630000003</v>
      </c>
      <c r="I22" s="188">
        <v>46501056.424000002</v>
      </c>
      <c r="J22" s="188">
        <v>-116146.20600000024</v>
      </c>
      <c r="K22" s="402">
        <v>-2.4914881084103402E-3</v>
      </c>
      <c r="M22" s="429"/>
      <c r="O22" s="430"/>
    </row>
    <row r="23" spans="1:15">
      <c r="A23" s="170">
        <v>18</v>
      </c>
      <c r="B23" s="345"/>
      <c r="C23" s="333"/>
      <c r="D23" s="172"/>
      <c r="E23" s="188"/>
      <c r="F23" s="176"/>
      <c r="G23" s="176"/>
      <c r="H23" s="188"/>
      <c r="I23" s="188"/>
      <c r="J23" s="188"/>
      <c r="K23" s="402"/>
      <c r="M23" s="429"/>
    </row>
    <row r="24" spans="1:15">
      <c r="A24" s="170">
        <v>19</v>
      </c>
      <c r="B24" s="179" t="s">
        <v>118</v>
      </c>
      <c r="C24" s="333">
        <v>46</v>
      </c>
      <c r="D24" s="172">
        <v>76029000</v>
      </c>
      <c r="E24" s="188">
        <v>5254000</v>
      </c>
      <c r="F24" s="176">
        <v>2.6159999999999998E-3</v>
      </c>
      <c r="G24" s="176">
        <v>2.0509999999999999E-3</v>
      </c>
      <c r="H24" s="188">
        <v>5452891.8640000001</v>
      </c>
      <c r="I24" s="188">
        <v>5409935.4790000003</v>
      </c>
      <c r="J24" s="188">
        <v>-42956.384999999776</v>
      </c>
      <c r="K24" s="402">
        <v>-7.8777254475919274E-3</v>
      </c>
      <c r="M24" s="429"/>
      <c r="O24" s="430"/>
    </row>
    <row r="25" spans="1:15">
      <c r="A25" s="170">
        <v>20</v>
      </c>
      <c r="B25" s="178" t="s">
        <v>119</v>
      </c>
      <c r="C25" s="333">
        <v>49</v>
      </c>
      <c r="D25" s="172">
        <v>606297000</v>
      </c>
      <c r="E25" s="188">
        <v>40691000</v>
      </c>
      <c r="F25" s="176">
        <v>3.9040000000000004E-3</v>
      </c>
      <c r="G25" s="176">
        <v>3.0799999999999998E-3</v>
      </c>
      <c r="H25" s="188">
        <v>43057983.487999998</v>
      </c>
      <c r="I25" s="188">
        <v>42558394.759999998</v>
      </c>
      <c r="J25" s="188">
        <v>-499588.72800000012</v>
      </c>
      <c r="K25" s="402">
        <v>-1.1602696817867296E-2</v>
      </c>
      <c r="M25" s="429"/>
      <c r="O25" s="430"/>
    </row>
    <row r="26" spans="1:15">
      <c r="A26" s="170">
        <v>21</v>
      </c>
      <c r="B26" s="180"/>
      <c r="C26" s="333"/>
      <c r="D26" s="172"/>
      <c r="E26" s="188"/>
      <c r="F26" s="176"/>
      <c r="G26" s="176"/>
      <c r="H26" s="188"/>
      <c r="I26" s="188"/>
      <c r="J26" s="188"/>
      <c r="K26" s="402"/>
      <c r="M26" s="429"/>
    </row>
    <row r="27" spans="1:15">
      <c r="A27" s="170">
        <v>22</v>
      </c>
      <c r="B27" s="180" t="s">
        <v>120</v>
      </c>
      <c r="C27" s="333"/>
      <c r="D27" s="172">
        <v>682326000</v>
      </c>
      <c r="E27" s="188">
        <v>45945000</v>
      </c>
      <c r="F27" s="176">
        <v>3.7599999999999999E-3</v>
      </c>
      <c r="G27" s="176">
        <v>2.9650000000000002E-3</v>
      </c>
      <c r="H27" s="172">
        <v>48510875.351999998</v>
      </c>
      <c r="I27" s="172">
        <v>47968330.239</v>
      </c>
      <c r="J27" s="188">
        <v>-542545.1129999999</v>
      </c>
      <c r="K27" s="402">
        <v>-1.1183989343899397E-2</v>
      </c>
      <c r="M27" s="429"/>
    </row>
    <row r="28" spans="1:15">
      <c r="A28" s="170">
        <v>23</v>
      </c>
      <c r="B28" s="180"/>
      <c r="C28" s="333"/>
      <c r="D28" s="172"/>
      <c r="E28" s="188"/>
      <c r="F28" s="176"/>
      <c r="G28" s="176"/>
      <c r="H28" s="172"/>
      <c r="I28" s="172"/>
      <c r="J28" s="188"/>
      <c r="K28" s="402"/>
      <c r="M28" s="429"/>
    </row>
    <row r="29" spans="1:15">
      <c r="A29" s="170">
        <v>24</v>
      </c>
      <c r="B29" s="180" t="s">
        <v>324</v>
      </c>
      <c r="C29" s="333" t="s">
        <v>124</v>
      </c>
      <c r="D29" s="172">
        <v>2024995000</v>
      </c>
      <c r="E29" s="188">
        <v>8621000</v>
      </c>
      <c r="F29" s="176">
        <v>1.047E-3</v>
      </c>
      <c r="G29" s="176">
        <v>1.047E-3</v>
      </c>
      <c r="H29" s="188">
        <v>10741169.765000001</v>
      </c>
      <c r="I29" s="188">
        <v>10741169.765000001</v>
      </c>
      <c r="J29" s="188">
        <v>0</v>
      </c>
      <c r="K29" s="402">
        <v>0</v>
      </c>
      <c r="M29" s="429"/>
      <c r="O29" s="430"/>
    </row>
    <row r="30" spans="1:15">
      <c r="A30" s="170">
        <v>25</v>
      </c>
      <c r="B30" s="171"/>
      <c r="C30" s="333"/>
      <c r="D30" s="172"/>
      <c r="E30" s="188"/>
      <c r="F30" s="176"/>
      <c r="G30" s="176"/>
      <c r="H30" s="188"/>
      <c r="I30" s="188"/>
      <c r="J30" s="188"/>
      <c r="K30" s="402"/>
      <c r="M30" s="429"/>
    </row>
    <row r="31" spans="1:15">
      <c r="A31" s="170">
        <v>26</v>
      </c>
      <c r="B31" s="171" t="s">
        <v>121</v>
      </c>
      <c r="C31" s="101" t="s">
        <v>17</v>
      </c>
      <c r="D31" s="172">
        <v>71427000</v>
      </c>
      <c r="E31" s="188">
        <v>17368000</v>
      </c>
      <c r="F31" s="176">
        <v>4.5709999999999995E-3</v>
      </c>
      <c r="G31" s="176">
        <v>4.0090000000000004E-3</v>
      </c>
      <c r="H31" s="188">
        <v>17694492.817000002</v>
      </c>
      <c r="I31" s="188">
        <v>17654350.842999998</v>
      </c>
      <c r="J31" s="188">
        <v>-40141.974000003189</v>
      </c>
      <c r="K31" s="402">
        <v>-2.2686139927919689E-3</v>
      </c>
      <c r="M31" s="429"/>
      <c r="O31" s="430"/>
    </row>
    <row r="32" spans="1:15">
      <c r="A32" s="170">
        <v>27</v>
      </c>
      <c r="B32" s="171"/>
      <c r="C32" s="333"/>
      <c r="D32" s="172"/>
      <c r="E32" s="188"/>
      <c r="F32" s="176"/>
      <c r="G32" s="176"/>
      <c r="H32" s="188"/>
      <c r="I32" s="188"/>
      <c r="J32" s="188"/>
      <c r="K32" s="402"/>
      <c r="M32" s="429"/>
    </row>
    <row r="33" spans="1:15">
      <c r="A33" s="170">
        <v>28</v>
      </c>
      <c r="B33" s="180" t="s">
        <v>19</v>
      </c>
      <c r="C33" s="333"/>
      <c r="D33" s="172">
        <v>24115538000</v>
      </c>
      <c r="E33" s="188">
        <v>2084773000</v>
      </c>
      <c r="F33" s="176">
        <v>4.2209999999999999E-3</v>
      </c>
      <c r="G33" s="176">
        <v>3.372E-3</v>
      </c>
      <c r="H33" s="188">
        <v>2186561776.0019999</v>
      </c>
      <c r="I33" s="188">
        <v>2166086409.3800001</v>
      </c>
      <c r="J33" s="188">
        <v>-20475366.622000072</v>
      </c>
      <c r="K33" s="402">
        <v>-9.3641839195771921E-3</v>
      </c>
      <c r="M33" s="429"/>
      <c r="N33" s="429"/>
      <c r="O33" s="429"/>
    </row>
    <row r="34" spans="1:15" ht="13.5" thickBot="1">
      <c r="A34" s="181"/>
      <c r="B34" s="182"/>
      <c r="C34" s="183"/>
      <c r="D34" s="184"/>
      <c r="E34" s="184"/>
      <c r="F34" s="403"/>
      <c r="G34" s="182"/>
      <c r="H34" s="184"/>
      <c r="I34" s="184"/>
      <c r="J34" s="182"/>
      <c r="K34" s="185"/>
    </row>
    <row r="36" spans="1:15">
      <c r="G36" s="429"/>
    </row>
  </sheetData>
  <printOptions horizontalCentered="1"/>
  <pageMargins left="0.7" right="0.7" top="0.75" bottom="0.71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49"/>
  <sheetViews>
    <sheetView workbookViewId="0"/>
  </sheetViews>
  <sheetFormatPr defaultColWidth="8.85546875" defaultRowHeight="12.75"/>
  <cols>
    <col min="1" max="1" width="7.7109375" style="1" bestFit="1" customWidth="1"/>
    <col min="2" max="2" width="45" style="1" bestFit="1" customWidth="1"/>
    <col min="3" max="3" width="11.5703125" style="1" bestFit="1" customWidth="1"/>
    <col min="4" max="5" width="15.140625" style="1" bestFit="1" customWidth="1"/>
    <col min="6" max="6" width="10.85546875" style="1" bestFit="1" customWidth="1"/>
    <col min="7" max="7" width="15.140625" style="1" bestFit="1" customWidth="1"/>
    <col min="8" max="8" width="12.42578125" style="1" bestFit="1" customWidth="1"/>
    <col min="9" max="9" width="10.7109375" style="1" bestFit="1" customWidth="1"/>
    <col min="10" max="16384" width="8.85546875" style="1"/>
  </cols>
  <sheetData>
    <row r="1" spans="1:9">
      <c r="A1" s="432" t="s">
        <v>437</v>
      </c>
      <c r="B1" s="152"/>
      <c r="C1" s="152"/>
      <c r="D1" s="153"/>
      <c r="E1" s="153"/>
      <c r="F1" s="152"/>
      <c r="G1" s="153"/>
      <c r="H1" s="152"/>
      <c r="I1" s="154"/>
    </row>
    <row r="2" spans="1:9">
      <c r="A2" s="433" t="s">
        <v>128</v>
      </c>
      <c r="B2" s="155"/>
      <c r="C2" s="155"/>
      <c r="D2" s="156"/>
      <c r="E2" s="156"/>
      <c r="F2" s="155"/>
      <c r="G2" s="156"/>
      <c r="H2" s="155"/>
      <c r="I2" s="157"/>
    </row>
    <row r="3" spans="1:9">
      <c r="A3" s="162"/>
      <c r="B3" s="103"/>
      <c r="C3" s="346"/>
      <c r="D3" s="172"/>
      <c r="E3" s="172"/>
      <c r="F3" s="103"/>
      <c r="G3" s="172"/>
      <c r="H3" s="103"/>
      <c r="I3" s="163"/>
    </row>
    <row r="4" spans="1:9" ht="90" thickBot="1">
      <c r="A4" s="158" t="s">
        <v>2</v>
      </c>
      <c r="B4" s="159" t="s">
        <v>129</v>
      </c>
      <c r="C4" s="159" t="s">
        <v>130</v>
      </c>
      <c r="D4" s="161" t="s">
        <v>438</v>
      </c>
      <c r="E4" s="63" t="s">
        <v>439</v>
      </c>
      <c r="F4" s="160" t="s">
        <v>440</v>
      </c>
      <c r="G4" s="63" t="s">
        <v>441</v>
      </c>
      <c r="H4" s="160" t="s">
        <v>442</v>
      </c>
      <c r="I4" s="434" t="s">
        <v>443</v>
      </c>
    </row>
    <row r="5" spans="1:9" ht="26.25" thickBot="1">
      <c r="A5" s="158"/>
      <c r="B5" s="159"/>
      <c r="C5" s="159"/>
      <c r="D5" s="161" t="s">
        <v>131</v>
      </c>
      <c r="E5" s="161" t="s">
        <v>132</v>
      </c>
      <c r="F5" s="160" t="s">
        <v>444</v>
      </c>
      <c r="G5" s="159" t="s">
        <v>445</v>
      </c>
      <c r="H5" s="161" t="s">
        <v>446</v>
      </c>
      <c r="I5" s="434" t="s">
        <v>447</v>
      </c>
    </row>
    <row r="6" spans="1:9">
      <c r="A6" s="162"/>
      <c r="B6" s="103"/>
      <c r="C6" s="346"/>
      <c r="D6" s="172"/>
      <c r="E6" s="172"/>
      <c r="F6" s="103"/>
      <c r="G6" s="172"/>
      <c r="H6" s="103"/>
      <c r="I6" s="163"/>
    </row>
    <row r="7" spans="1:9">
      <c r="A7" s="435">
        <v>1</v>
      </c>
      <c r="B7" s="109" t="s">
        <v>12</v>
      </c>
      <c r="C7" s="436">
        <v>7</v>
      </c>
      <c r="D7" s="172">
        <v>10809562000</v>
      </c>
      <c r="E7" s="188">
        <v>1112711000</v>
      </c>
      <c r="F7" s="164">
        <v>8.9541873144173675E-4</v>
      </c>
      <c r="G7" s="188">
        <v>1122390084.2934809</v>
      </c>
      <c r="H7" s="188">
        <v>9679084.2934808023</v>
      </c>
      <c r="I7" s="165">
        <v>8.6986506770228775E-3</v>
      </c>
    </row>
    <row r="8" spans="1:9">
      <c r="A8" s="435">
        <v>2</v>
      </c>
      <c r="B8" s="109"/>
      <c r="C8" s="436"/>
      <c r="D8" s="172"/>
      <c r="E8" s="188"/>
      <c r="F8" s="166"/>
      <c r="G8" s="188"/>
      <c r="H8" s="188"/>
      <c r="I8" s="165"/>
    </row>
    <row r="9" spans="1:9">
      <c r="A9" s="435">
        <v>3</v>
      </c>
      <c r="B9" s="113" t="s">
        <v>104</v>
      </c>
      <c r="C9" s="437" t="s">
        <v>133</v>
      </c>
      <c r="D9" s="172">
        <v>3049254000</v>
      </c>
      <c r="E9" s="188">
        <v>300311000</v>
      </c>
      <c r="F9" s="164">
        <v>8.5670150255354833E-4</v>
      </c>
      <c r="G9" s="188">
        <v>300337123.00483465</v>
      </c>
      <c r="H9" s="188">
        <v>2612300.4834674173</v>
      </c>
      <c r="I9" s="165">
        <v>8.6986506770228775E-3</v>
      </c>
    </row>
    <row r="10" spans="1:9">
      <c r="A10" s="435">
        <v>4</v>
      </c>
      <c r="B10" s="113" t="s">
        <v>106</v>
      </c>
      <c r="C10" s="438" t="s">
        <v>134</v>
      </c>
      <c r="D10" s="172">
        <v>3208495000</v>
      </c>
      <c r="E10" s="188">
        <v>293729000</v>
      </c>
      <c r="F10" s="164">
        <v>7.9633783587359575E-4</v>
      </c>
      <c r="G10" s="188">
        <v>293754550.45964712</v>
      </c>
      <c r="H10" s="188">
        <v>2555045.9647112526</v>
      </c>
      <c r="I10" s="165">
        <v>8.6986506770228775E-3</v>
      </c>
    </row>
    <row r="11" spans="1:9">
      <c r="A11" s="435">
        <v>5</v>
      </c>
      <c r="B11" s="113" t="s">
        <v>108</v>
      </c>
      <c r="C11" s="438" t="s">
        <v>135</v>
      </c>
      <c r="D11" s="172">
        <v>1921550000</v>
      </c>
      <c r="E11" s="188">
        <v>158357000</v>
      </c>
      <c r="F11" s="164">
        <v>7.1686514806344444E-4</v>
      </c>
      <c r="G11" s="188">
        <v>158370774.92225263</v>
      </c>
      <c r="H11" s="188">
        <v>1377492.2252613117</v>
      </c>
      <c r="I11" s="165">
        <v>8.6986506770228775E-3</v>
      </c>
    </row>
    <row r="12" spans="1:9">
      <c r="A12" s="435">
        <v>6</v>
      </c>
      <c r="B12" s="439" t="s">
        <v>110</v>
      </c>
      <c r="C12" s="436">
        <v>29</v>
      </c>
      <c r="D12" s="172">
        <v>16140000</v>
      </c>
      <c r="E12" s="188">
        <v>1322000</v>
      </c>
      <c r="F12" s="164">
        <v>7.1249170972888752E-4</v>
      </c>
      <c r="G12" s="188">
        <v>1322114.9961619503</v>
      </c>
      <c r="H12" s="188">
        <v>11499.616195024244</v>
      </c>
      <c r="I12" s="165">
        <v>8.6986506770228775E-3</v>
      </c>
    </row>
    <row r="13" spans="1:9">
      <c r="A13" s="435">
        <v>7</v>
      </c>
      <c r="B13" s="109"/>
      <c r="C13" s="436"/>
      <c r="D13" s="172"/>
      <c r="E13" s="188"/>
      <c r="F13" s="166"/>
      <c r="G13" s="188"/>
      <c r="H13" s="188"/>
      <c r="I13" s="165"/>
    </row>
    <row r="14" spans="1:9">
      <c r="A14" s="435">
        <v>8</v>
      </c>
      <c r="B14" s="109" t="s">
        <v>111</v>
      </c>
      <c r="C14" s="436"/>
      <c r="D14" s="172">
        <v>8195439000</v>
      </c>
      <c r="E14" s="188">
        <v>753719000</v>
      </c>
      <c r="F14" s="164">
        <v>7.9999842468902582E-4</v>
      </c>
      <c r="G14" s="188">
        <v>753784563.38289642</v>
      </c>
      <c r="H14" s="188">
        <v>6556338.2896350054</v>
      </c>
      <c r="I14" s="165">
        <v>8.6986506770228757E-3</v>
      </c>
    </row>
    <row r="15" spans="1:9">
      <c r="A15" s="435">
        <v>9</v>
      </c>
      <c r="B15" s="109"/>
      <c r="C15" s="436"/>
      <c r="D15" s="172"/>
      <c r="E15" s="188"/>
      <c r="F15" s="166"/>
      <c r="G15" s="188"/>
      <c r="H15" s="188"/>
      <c r="I15" s="165"/>
    </row>
    <row r="16" spans="1:9">
      <c r="A16" s="435">
        <v>10</v>
      </c>
      <c r="B16" s="113" t="s">
        <v>112</v>
      </c>
      <c r="C16" s="438" t="s">
        <v>136</v>
      </c>
      <c r="D16" s="172">
        <v>1409546000</v>
      </c>
      <c r="E16" s="188">
        <v>114140000</v>
      </c>
      <c r="F16" s="164">
        <v>7.0438565912385356E-4</v>
      </c>
      <c r="G16" s="188">
        <v>114149928.63988276</v>
      </c>
      <c r="H16" s="188">
        <v>992863.98827539128</v>
      </c>
      <c r="I16" s="165">
        <v>8.6986506770228775E-3</v>
      </c>
    </row>
    <row r="17" spans="1:9">
      <c r="A17" s="435">
        <v>11</v>
      </c>
      <c r="B17" s="439" t="s">
        <v>114</v>
      </c>
      <c r="C17" s="436">
        <v>35</v>
      </c>
      <c r="D17" s="172">
        <v>5150000</v>
      </c>
      <c r="E17" s="188">
        <v>303000</v>
      </c>
      <c r="F17" s="164">
        <v>5.1178469031804496E-4</v>
      </c>
      <c r="G17" s="188">
        <v>303026.35691155138</v>
      </c>
      <c r="H17" s="188">
        <v>2635.6911551379317</v>
      </c>
      <c r="I17" s="165">
        <v>8.6986506770228775E-3</v>
      </c>
    </row>
    <row r="18" spans="1:9">
      <c r="A18" s="435">
        <v>12</v>
      </c>
      <c r="B18" s="439" t="s">
        <v>115</v>
      </c>
      <c r="C18" s="436">
        <v>43</v>
      </c>
      <c r="D18" s="172">
        <v>123766000</v>
      </c>
      <c r="E18" s="188">
        <v>11083000</v>
      </c>
      <c r="F18" s="164">
        <v>7.7894692769778901E-4</v>
      </c>
      <c r="G18" s="188">
        <v>11083964.071454534</v>
      </c>
      <c r="H18" s="188">
        <v>96407.145453444551</v>
      </c>
      <c r="I18" s="165">
        <v>8.6986506770228775E-3</v>
      </c>
    </row>
    <row r="19" spans="1:9">
      <c r="A19" s="435">
        <v>13</v>
      </c>
      <c r="B19" s="102"/>
      <c r="C19" s="436"/>
      <c r="D19" s="172"/>
      <c r="E19" s="188"/>
      <c r="F19" s="166"/>
      <c r="G19" s="188"/>
      <c r="H19" s="188"/>
      <c r="I19" s="165"/>
    </row>
    <row r="20" spans="1:9">
      <c r="A20" s="435">
        <v>14</v>
      </c>
      <c r="B20" s="102" t="s">
        <v>116</v>
      </c>
      <c r="C20" s="436"/>
      <c r="D20" s="172">
        <v>1538462000</v>
      </c>
      <c r="E20" s="188">
        <v>125526000</v>
      </c>
      <c r="F20" s="164">
        <v>7.0973922325281589E-4</v>
      </c>
      <c r="G20" s="188">
        <v>125536919.06824885</v>
      </c>
      <c r="H20" s="188">
        <v>1091906.8248839737</v>
      </c>
      <c r="I20" s="165">
        <v>8.6986506770228775E-3</v>
      </c>
    </row>
    <row r="21" spans="1:9">
      <c r="A21" s="435">
        <v>15</v>
      </c>
      <c r="B21" s="102"/>
      <c r="C21" s="436"/>
      <c r="D21" s="172"/>
      <c r="E21" s="188"/>
      <c r="F21" s="166"/>
      <c r="G21" s="188"/>
      <c r="H21" s="188"/>
      <c r="I21" s="165"/>
    </row>
    <row r="22" spans="1:9">
      <c r="A22" s="435">
        <v>16</v>
      </c>
      <c r="B22" s="109" t="s">
        <v>73</v>
      </c>
      <c r="C22" s="436">
        <v>40</v>
      </c>
      <c r="D22" s="172">
        <v>586365000</v>
      </c>
      <c r="E22" s="188">
        <v>43672000</v>
      </c>
      <c r="F22" s="164">
        <v>6.4786860124145041E-4</v>
      </c>
      <c r="G22" s="188">
        <v>43675798.874723673</v>
      </c>
      <c r="H22" s="188">
        <v>379887.47236694308</v>
      </c>
      <c r="I22" s="165">
        <v>8.6986506770228775E-3</v>
      </c>
    </row>
    <row r="23" spans="1:9">
      <c r="A23" s="435">
        <v>17</v>
      </c>
      <c r="B23" s="102"/>
      <c r="C23" s="436"/>
      <c r="D23" s="172"/>
      <c r="E23" s="188"/>
      <c r="F23" s="166"/>
      <c r="G23" s="188"/>
      <c r="H23" s="188"/>
      <c r="I23" s="165"/>
    </row>
    <row r="24" spans="1:9">
      <c r="A24" s="435">
        <v>18</v>
      </c>
      <c r="B24" s="439" t="s">
        <v>118</v>
      </c>
      <c r="C24" s="436">
        <v>46</v>
      </c>
      <c r="D24" s="172">
        <v>79268000</v>
      </c>
      <c r="E24" s="188">
        <v>5361000</v>
      </c>
      <c r="F24" s="164">
        <v>5.8830128525407031E-4</v>
      </c>
      <c r="G24" s="188">
        <v>5361466.3346627951</v>
      </c>
      <c r="H24" s="188">
        <v>46633.466279519649</v>
      </c>
      <c r="I24" s="165">
        <v>8.6986506770228775E-3</v>
      </c>
    </row>
    <row r="25" spans="1:9">
      <c r="A25" s="435">
        <v>19</v>
      </c>
      <c r="B25" s="113" t="s">
        <v>119</v>
      </c>
      <c r="C25" s="436">
        <v>49</v>
      </c>
      <c r="D25" s="172">
        <v>597895000</v>
      </c>
      <c r="E25" s="188">
        <v>39373000</v>
      </c>
      <c r="F25" s="164">
        <v>5.7282963247128971E-4</v>
      </c>
      <c r="G25" s="188">
        <v>39376424.919731066</v>
      </c>
      <c r="H25" s="188">
        <v>342491.97310642176</v>
      </c>
      <c r="I25" s="165">
        <v>8.6986506770228775E-3</v>
      </c>
    </row>
    <row r="26" spans="1:9">
      <c r="A26" s="435">
        <v>20</v>
      </c>
      <c r="B26" s="109"/>
      <c r="C26" s="436"/>
      <c r="D26" s="172"/>
      <c r="E26" s="188"/>
      <c r="F26" s="166"/>
      <c r="G26" s="188"/>
      <c r="H26" s="188"/>
      <c r="I26" s="165"/>
    </row>
    <row r="27" spans="1:9">
      <c r="A27" s="435">
        <v>21</v>
      </c>
      <c r="B27" s="109" t="s">
        <v>120</v>
      </c>
      <c r="C27" s="436"/>
      <c r="D27" s="172">
        <v>677163000</v>
      </c>
      <c r="E27" s="188">
        <v>44734000</v>
      </c>
      <c r="F27" s="164">
        <v>5.7464072813479385E-4</v>
      </c>
      <c r="G27" s="172">
        <v>44737891.254393861</v>
      </c>
      <c r="H27" s="188">
        <v>389125.43938594143</v>
      </c>
      <c r="I27" s="165">
        <v>8.6986506770228775E-3</v>
      </c>
    </row>
    <row r="28" spans="1:9">
      <c r="A28" s="435">
        <v>22</v>
      </c>
      <c r="B28" s="109"/>
      <c r="C28" s="436"/>
      <c r="D28" s="172"/>
      <c r="E28" s="188"/>
      <c r="F28" s="166"/>
      <c r="G28" s="188"/>
      <c r="H28" s="188"/>
      <c r="I28" s="165"/>
    </row>
    <row r="29" spans="1:9">
      <c r="A29" s="435">
        <v>23</v>
      </c>
      <c r="B29" s="109" t="s">
        <v>121</v>
      </c>
      <c r="C29" s="438" t="s">
        <v>448</v>
      </c>
      <c r="D29" s="172">
        <v>70960000</v>
      </c>
      <c r="E29" s="188">
        <v>15916000</v>
      </c>
      <c r="F29" s="164">
        <v>1.9510671388880511E-3</v>
      </c>
      <c r="G29" s="188">
        <v>15917384.477241755</v>
      </c>
      <c r="H29" s="188">
        <v>138447.72417549611</v>
      </c>
      <c r="I29" s="165">
        <v>8.6986506770228775E-3</v>
      </c>
    </row>
    <row r="30" spans="1:9">
      <c r="A30" s="435">
        <v>24</v>
      </c>
      <c r="B30" s="109"/>
      <c r="C30" s="438"/>
      <c r="D30" s="172"/>
      <c r="E30" s="188"/>
      <c r="F30" s="166"/>
      <c r="G30" s="188"/>
      <c r="H30" s="188"/>
      <c r="I30" s="165"/>
    </row>
    <row r="31" spans="1:9">
      <c r="A31" s="435">
        <v>25</v>
      </c>
      <c r="B31" s="109" t="s">
        <v>137</v>
      </c>
      <c r="C31" s="438" t="s">
        <v>124</v>
      </c>
      <c r="D31" s="172">
        <v>2030932000</v>
      </c>
      <c r="E31" s="188">
        <v>7703000</v>
      </c>
      <c r="F31" s="164">
        <v>3.2992589690401861E-5</v>
      </c>
      <c r="G31" s="188">
        <v>7703670.0570616508</v>
      </c>
      <c r="H31" s="188">
        <v>67005.706165107229</v>
      </c>
      <c r="I31" s="165">
        <v>8.6986506770228775E-3</v>
      </c>
    </row>
    <row r="32" spans="1:9">
      <c r="A32" s="435">
        <v>26</v>
      </c>
      <c r="B32" s="109"/>
      <c r="C32" s="346"/>
      <c r="D32" s="172"/>
      <c r="E32" s="188"/>
      <c r="F32" s="103"/>
      <c r="G32" s="188"/>
      <c r="H32" s="188"/>
      <c r="I32" s="163"/>
    </row>
    <row r="33" spans="1:9">
      <c r="A33" s="435">
        <v>27</v>
      </c>
      <c r="B33" s="102" t="s">
        <v>19</v>
      </c>
      <c r="C33" s="346"/>
      <c r="D33" s="172">
        <v>23908883000</v>
      </c>
      <c r="E33" s="188">
        <v>2103981000</v>
      </c>
      <c r="F33" s="164">
        <v>7.6548100344517463E-4</v>
      </c>
      <c r="G33" s="188">
        <v>2113746311.408047</v>
      </c>
      <c r="H33" s="188">
        <v>18301795.750093278</v>
      </c>
      <c r="I33" s="165">
        <v>8.6986506770228809E-3</v>
      </c>
    </row>
    <row r="34" spans="1:9" ht="13.5" thickBot="1">
      <c r="A34" s="440">
        <v>28</v>
      </c>
      <c r="B34" s="168"/>
      <c r="C34" s="167"/>
      <c r="D34" s="184"/>
      <c r="E34" s="184"/>
      <c r="F34" s="168"/>
      <c r="G34" s="184"/>
      <c r="H34" s="169"/>
      <c r="I34" s="441"/>
    </row>
    <row r="35" spans="1:9">
      <c r="A35" s="346">
        <v>29</v>
      </c>
      <c r="B35" s="103"/>
      <c r="C35" s="346"/>
      <c r="D35" s="172"/>
      <c r="E35" s="172"/>
      <c r="F35" s="103"/>
      <c r="G35" s="172"/>
      <c r="H35" s="103"/>
      <c r="I35" s="103"/>
    </row>
    <row r="36" spans="1:9">
      <c r="A36" s="346">
        <v>30</v>
      </c>
      <c r="B36" s="103" t="s">
        <v>90</v>
      </c>
      <c r="C36" s="346"/>
      <c r="D36" s="172">
        <v>7036000</v>
      </c>
      <c r="E36" s="188">
        <v>616000</v>
      </c>
      <c r="F36" s="103"/>
      <c r="G36" s="172"/>
      <c r="H36" s="103"/>
      <c r="I36" s="103"/>
    </row>
    <row r="37" spans="1:9">
      <c r="A37" s="346">
        <v>31</v>
      </c>
      <c r="B37" s="103"/>
      <c r="C37" s="346"/>
      <c r="D37" s="172"/>
      <c r="E37" s="188"/>
      <c r="F37" s="103"/>
      <c r="G37" s="172"/>
      <c r="H37" s="442"/>
      <c r="I37" s="103"/>
    </row>
    <row r="38" spans="1:9">
      <c r="A38" s="346">
        <v>32</v>
      </c>
      <c r="B38" s="103" t="s">
        <v>91</v>
      </c>
      <c r="C38" s="346"/>
      <c r="D38" s="172">
        <v>23915919000</v>
      </c>
      <c r="E38" s="188">
        <v>2104597000</v>
      </c>
      <c r="F38" s="103"/>
      <c r="G38" s="172"/>
      <c r="H38" s="103"/>
      <c r="I38" s="103"/>
    </row>
    <row r="39" spans="1:9">
      <c r="A39" s="346">
        <v>33</v>
      </c>
      <c r="B39" s="103"/>
      <c r="C39" s="346"/>
      <c r="D39" s="172"/>
      <c r="E39" s="188"/>
      <c r="F39" s="103"/>
      <c r="G39" s="172"/>
      <c r="H39" s="103"/>
      <c r="I39" s="103"/>
    </row>
    <row r="40" spans="1:9">
      <c r="A40" s="346">
        <v>34</v>
      </c>
      <c r="B40" s="103" t="s">
        <v>83</v>
      </c>
      <c r="C40" s="346"/>
      <c r="D40" s="172">
        <v>23915919000</v>
      </c>
      <c r="E40" s="188">
        <v>2104597000</v>
      </c>
      <c r="F40" s="103"/>
      <c r="G40" s="172"/>
      <c r="H40" s="103"/>
      <c r="I40" s="103"/>
    </row>
    <row r="41" spans="1:9">
      <c r="A41" s="346">
        <v>35</v>
      </c>
      <c r="B41" s="103"/>
      <c r="C41" s="346"/>
      <c r="D41" s="172"/>
      <c r="E41" s="188"/>
      <c r="F41" s="103"/>
      <c r="G41" s="172"/>
      <c r="H41" s="103"/>
      <c r="I41" s="103"/>
    </row>
    <row r="42" spans="1:9">
      <c r="A42" s="346">
        <v>36</v>
      </c>
      <c r="B42" s="103" t="s">
        <v>449</v>
      </c>
      <c r="C42" s="346"/>
      <c r="D42" s="172">
        <v>0</v>
      </c>
      <c r="E42" s="188">
        <v>0</v>
      </c>
      <c r="F42" s="103"/>
      <c r="G42" s="172"/>
      <c r="H42" s="103"/>
      <c r="I42" s="103"/>
    </row>
    <row r="43" spans="1:9">
      <c r="A43" s="346">
        <v>37</v>
      </c>
      <c r="B43" s="103"/>
      <c r="C43" s="346"/>
      <c r="D43" s="172"/>
      <c r="E43" s="172"/>
      <c r="F43" s="103"/>
      <c r="G43" s="172"/>
      <c r="H43" s="103"/>
      <c r="I43" s="103"/>
    </row>
    <row r="44" spans="1:9">
      <c r="A44" s="346">
        <v>38</v>
      </c>
      <c r="B44" s="103" t="s">
        <v>450</v>
      </c>
      <c r="C44" s="346"/>
      <c r="D44" s="172"/>
      <c r="E44" s="188">
        <v>18301795.75009327</v>
      </c>
      <c r="F44" s="443"/>
      <c r="G44" s="172"/>
      <c r="H44" s="103"/>
      <c r="I44" s="103"/>
    </row>
    <row r="45" spans="1:9" ht="13.5" thickBot="1">
      <c r="A45" s="346">
        <v>39</v>
      </c>
      <c r="B45" s="103"/>
      <c r="C45" s="346"/>
      <c r="D45" s="172"/>
      <c r="E45" s="172"/>
      <c r="F45" s="103"/>
      <c r="G45" s="172"/>
      <c r="H45" s="103"/>
      <c r="I45" s="103"/>
    </row>
    <row r="46" spans="1:9" ht="13.5" thickBot="1">
      <c r="A46" s="444">
        <v>40</v>
      </c>
      <c r="B46" s="445" t="s">
        <v>451</v>
      </c>
      <c r="C46" s="446"/>
      <c r="D46" s="447"/>
      <c r="E46" s="448">
        <v>8.6986506770228775E-3</v>
      </c>
      <c r="F46" s="449" t="s">
        <v>452</v>
      </c>
      <c r="G46" s="450"/>
      <c r="H46" s="451"/>
      <c r="I46" s="452"/>
    </row>
    <row r="47" spans="1:9">
      <c r="A47" s="103"/>
      <c r="B47" s="103"/>
      <c r="C47" s="346"/>
      <c r="D47" s="172"/>
      <c r="E47" s="172"/>
      <c r="F47" s="103"/>
      <c r="G47" s="172"/>
      <c r="H47" s="103"/>
      <c r="I47" s="103"/>
    </row>
    <row r="48" spans="1:9">
      <c r="A48" s="103"/>
      <c r="B48" s="103"/>
      <c r="C48" s="346"/>
      <c r="D48" s="172"/>
      <c r="E48" s="172"/>
      <c r="F48" s="103"/>
      <c r="G48" s="172"/>
      <c r="H48" s="103"/>
      <c r="I48" s="103"/>
    </row>
    <row r="49" spans="1:9">
      <c r="A49" s="556" t="s">
        <v>453</v>
      </c>
      <c r="B49" s="556"/>
      <c r="C49" s="556"/>
      <c r="D49" s="556"/>
      <c r="E49" s="556"/>
      <c r="F49" s="556"/>
      <c r="G49" s="556"/>
      <c r="H49" s="556"/>
      <c r="I49" s="556"/>
    </row>
  </sheetData>
  <mergeCells count="1">
    <mergeCell ref="A49:I49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5"/>
  <sheetViews>
    <sheetView workbookViewId="0"/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0.5703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200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3"/>
      <c r="D3" s="172"/>
      <c r="E3" s="172"/>
      <c r="F3" s="172"/>
      <c r="G3" s="171"/>
      <c r="H3" s="171"/>
      <c r="I3" s="172"/>
      <c r="J3" s="171"/>
      <c r="K3" s="173"/>
    </row>
    <row r="4" spans="1:11">
      <c r="A4" s="139"/>
      <c r="B4" s="195"/>
      <c r="C4" s="195"/>
      <c r="D4" s="140"/>
      <c r="E4" s="140"/>
      <c r="F4" s="141"/>
      <c r="G4" s="195"/>
      <c r="H4" s="140"/>
      <c r="I4" s="140"/>
      <c r="J4" s="195"/>
      <c r="K4" s="142"/>
    </row>
    <row r="5" spans="1:11">
      <c r="A5" s="134"/>
      <c r="B5" s="66"/>
      <c r="C5" s="66"/>
      <c r="D5" s="174"/>
      <c r="E5" s="174"/>
      <c r="F5" s="174"/>
      <c r="G5" s="135"/>
      <c r="H5" s="174"/>
      <c r="I5" s="174"/>
      <c r="J5" s="135"/>
      <c r="K5" s="175"/>
    </row>
    <row r="6" spans="1:11" ht="64.5" thickBot="1">
      <c r="A6" s="136" t="s">
        <v>2</v>
      </c>
      <c r="B6" s="137" t="s">
        <v>93</v>
      </c>
      <c r="C6" s="137" t="s">
        <v>127</v>
      </c>
      <c r="D6" s="64" t="s">
        <v>422</v>
      </c>
      <c r="E6" s="63" t="s">
        <v>423</v>
      </c>
      <c r="F6" s="63" t="s">
        <v>424</v>
      </c>
      <c r="G6" s="63" t="s">
        <v>425</v>
      </c>
      <c r="H6" s="63" t="s">
        <v>426</v>
      </c>
      <c r="I6" s="63" t="s">
        <v>201</v>
      </c>
      <c r="J6" s="137" t="s">
        <v>181</v>
      </c>
      <c r="K6" s="138" t="s">
        <v>182</v>
      </c>
    </row>
    <row r="7" spans="1:11" ht="25.5">
      <c r="A7" s="139"/>
      <c r="B7" s="195"/>
      <c r="C7" s="195"/>
      <c r="D7" s="140" t="s">
        <v>96</v>
      </c>
      <c r="E7" s="140" t="s">
        <v>97</v>
      </c>
      <c r="F7" s="141" t="s">
        <v>98</v>
      </c>
      <c r="G7" s="195" t="s">
        <v>99</v>
      </c>
      <c r="H7" s="140" t="s">
        <v>202</v>
      </c>
      <c r="I7" s="140" t="s">
        <v>203</v>
      </c>
      <c r="J7" s="195" t="s">
        <v>102</v>
      </c>
      <c r="K7" s="142" t="s">
        <v>103</v>
      </c>
    </row>
    <row r="8" spans="1:11">
      <c r="A8" s="170"/>
      <c r="B8" s="171"/>
      <c r="C8" s="333"/>
      <c r="D8" s="172"/>
      <c r="E8" s="172"/>
      <c r="F8" s="172"/>
      <c r="G8" s="171"/>
      <c r="H8" s="171"/>
      <c r="I8" s="172"/>
      <c r="J8" s="171"/>
      <c r="K8" s="173"/>
    </row>
    <row r="9" spans="1:11">
      <c r="A9" s="170">
        <v>1</v>
      </c>
      <c r="B9" s="171" t="s">
        <v>12</v>
      </c>
      <c r="C9" s="333">
        <v>7</v>
      </c>
      <c r="D9" s="172">
        <v>10808199000</v>
      </c>
      <c r="E9" s="188">
        <v>1104940000</v>
      </c>
      <c r="F9" s="176">
        <v>-3.4999999999999997E-5</v>
      </c>
      <c r="G9" s="176">
        <v>-7.2999999999999999E-5</v>
      </c>
      <c r="H9" s="188">
        <v>1104561713.0350001</v>
      </c>
      <c r="I9" s="188">
        <v>1104151001.473</v>
      </c>
      <c r="J9" s="188">
        <v>-410711.56200003624</v>
      </c>
      <c r="K9" s="189">
        <v>-3.7183215492009552E-4</v>
      </c>
    </row>
    <row r="10" spans="1:11">
      <c r="A10" s="170">
        <v>2</v>
      </c>
      <c r="B10" s="171"/>
      <c r="C10" s="333"/>
      <c r="D10" s="172"/>
      <c r="E10" s="188"/>
      <c r="F10" s="176"/>
      <c r="G10" s="176"/>
      <c r="H10" s="177"/>
      <c r="I10" s="188"/>
      <c r="J10" s="188"/>
      <c r="K10" s="189"/>
    </row>
    <row r="11" spans="1:11">
      <c r="A11" s="170">
        <v>3</v>
      </c>
      <c r="B11" s="178" t="s">
        <v>104</v>
      </c>
      <c r="C11" s="101" t="s">
        <v>133</v>
      </c>
      <c r="D11" s="172">
        <v>3088796000</v>
      </c>
      <c r="E11" s="188">
        <v>319592000</v>
      </c>
      <c r="F11" s="176">
        <v>-2.8E-5</v>
      </c>
      <c r="G11" s="176">
        <v>-6.3E-5</v>
      </c>
      <c r="H11" s="188">
        <v>319505513.71200001</v>
      </c>
      <c r="I11" s="188">
        <v>319397405.852</v>
      </c>
      <c r="J11" s="188">
        <v>-108107.86000001431</v>
      </c>
      <c r="K11" s="189">
        <v>-3.3835991981491113E-4</v>
      </c>
    </row>
    <row r="12" spans="1:11">
      <c r="A12" s="170">
        <v>4</v>
      </c>
      <c r="B12" s="179" t="s">
        <v>106</v>
      </c>
      <c r="C12" s="101" t="s">
        <v>134</v>
      </c>
      <c r="D12" s="172">
        <v>3251471000</v>
      </c>
      <c r="E12" s="188">
        <v>314167000</v>
      </c>
      <c r="F12" s="176">
        <v>-2.9E-5</v>
      </c>
      <c r="G12" s="176">
        <v>-6.0000000000000002E-5</v>
      </c>
      <c r="H12" s="188">
        <v>314072707.34100002</v>
      </c>
      <c r="I12" s="188">
        <v>313971911.74000001</v>
      </c>
      <c r="J12" s="188">
        <v>-100795.60100001097</v>
      </c>
      <c r="K12" s="189">
        <v>-3.2093078654737598E-4</v>
      </c>
    </row>
    <row r="13" spans="1:11">
      <c r="A13" s="170">
        <v>5</v>
      </c>
      <c r="B13" s="179" t="s">
        <v>108</v>
      </c>
      <c r="C13" s="101" t="s">
        <v>204</v>
      </c>
      <c r="D13" s="172">
        <v>1936207000</v>
      </c>
      <c r="E13" s="188">
        <v>169432000</v>
      </c>
      <c r="F13" s="176">
        <v>-3.0000000000000001E-5</v>
      </c>
      <c r="G13" s="176">
        <v>-6.4999999999999994E-5</v>
      </c>
      <c r="H13" s="188">
        <v>169373913.78999999</v>
      </c>
      <c r="I13" s="188">
        <v>169306146.54499999</v>
      </c>
      <c r="J13" s="188">
        <v>-67767.245000004768</v>
      </c>
      <c r="K13" s="189">
        <v>-4.0010438138677419E-4</v>
      </c>
    </row>
    <row r="14" spans="1:11">
      <c r="A14" s="170">
        <v>6</v>
      </c>
      <c r="B14" s="179" t="s">
        <v>110</v>
      </c>
      <c r="C14" s="333">
        <v>29</v>
      </c>
      <c r="D14" s="172">
        <v>16225000</v>
      </c>
      <c r="E14" s="188">
        <v>1282000</v>
      </c>
      <c r="F14" s="176">
        <v>-2.5999999999999998E-5</v>
      </c>
      <c r="G14" s="176">
        <v>-4.8999999999999998E-5</v>
      </c>
      <c r="H14" s="188">
        <v>1281578.1499999999</v>
      </c>
      <c r="I14" s="188">
        <v>1281204.9750000001</v>
      </c>
      <c r="J14" s="188">
        <v>-373.17499999981374</v>
      </c>
      <c r="K14" s="189">
        <v>-2.9118395940178423E-4</v>
      </c>
    </row>
    <row r="15" spans="1:11">
      <c r="A15" s="170">
        <v>7</v>
      </c>
      <c r="B15" s="171"/>
      <c r="C15" s="333"/>
      <c r="D15" s="172"/>
      <c r="E15" s="188"/>
      <c r="F15" s="176"/>
      <c r="G15" s="176"/>
      <c r="H15" s="177"/>
      <c r="I15" s="188"/>
      <c r="J15" s="188"/>
      <c r="K15" s="189"/>
    </row>
    <row r="16" spans="1:11">
      <c r="A16" s="170">
        <v>8</v>
      </c>
      <c r="B16" s="171" t="s">
        <v>111</v>
      </c>
      <c r="C16" s="333"/>
      <c r="D16" s="172">
        <v>8292699000</v>
      </c>
      <c r="E16" s="188">
        <v>804473000</v>
      </c>
      <c r="F16" s="176">
        <v>-2.8855141974886584E-5</v>
      </c>
      <c r="G16" s="176">
        <v>-6.226330993081987E-5</v>
      </c>
      <c r="H16" s="188">
        <v>804233712.99299991</v>
      </c>
      <c r="I16" s="188">
        <v>803956669.11199999</v>
      </c>
      <c r="J16" s="188">
        <v>-277043.88100002985</v>
      </c>
      <c r="K16" s="189">
        <v>-3.4448180488355287E-4</v>
      </c>
    </row>
    <row r="17" spans="1:11">
      <c r="A17" s="170">
        <v>9</v>
      </c>
      <c r="B17" s="171"/>
      <c r="C17" s="333"/>
      <c r="D17" s="172"/>
      <c r="E17" s="188"/>
      <c r="F17" s="176"/>
      <c r="G17" s="176"/>
      <c r="H17" s="177"/>
      <c r="I17" s="188"/>
      <c r="J17" s="188"/>
      <c r="K17" s="189"/>
    </row>
    <row r="18" spans="1:11">
      <c r="A18" s="170">
        <v>10</v>
      </c>
      <c r="B18" s="179" t="s">
        <v>112</v>
      </c>
      <c r="C18" s="101" t="s">
        <v>136</v>
      </c>
      <c r="D18" s="172">
        <v>1417061000</v>
      </c>
      <c r="E18" s="188">
        <v>121661000</v>
      </c>
      <c r="F18" s="176">
        <v>-2.8E-5</v>
      </c>
      <c r="G18" s="176">
        <v>-5.8999999999999998E-5</v>
      </c>
      <c r="H18" s="188">
        <v>121621322.292</v>
      </c>
      <c r="I18" s="188">
        <v>121577393.40099999</v>
      </c>
      <c r="J18" s="188">
        <v>-43928.891000002623</v>
      </c>
      <c r="K18" s="189">
        <v>-3.6119399273208013E-4</v>
      </c>
    </row>
    <row r="19" spans="1:11">
      <c r="A19" s="170">
        <v>11</v>
      </c>
      <c r="B19" s="179" t="s">
        <v>114</v>
      </c>
      <c r="C19" s="333">
        <v>35</v>
      </c>
      <c r="D19" s="172">
        <v>5167000</v>
      </c>
      <c r="E19" s="188">
        <v>288000</v>
      </c>
      <c r="F19" s="176">
        <v>-1.9000000000000001E-5</v>
      </c>
      <c r="G19" s="176">
        <v>-4.3999999999999999E-5</v>
      </c>
      <c r="H19" s="188">
        <v>287901.82699999999</v>
      </c>
      <c r="I19" s="188">
        <v>287772.652</v>
      </c>
      <c r="J19" s="188">
        <v>-129.17499999998836</v>
      </c>
      <c r="K19" s="189">
        <v>-4.4867724997100611E-4</v>
      </c>
    </row>
    <row r="20" spans="1:11">
      <c r="A20" s="170">
        <v>12</v>
      </c>
      <c r="B20" s="179" t="s">
        <v>115</v>
      </c>
      <c r="C20" s="333">
        <v>43</v>
      </c>
      <c r="D20" s="172">
        <v>125684000</v>
      </c>
      <c r="E20" s="188">
        <v>11947000</v>
      </c>
      <c r="F20" s="176">
        <v>-2.5000000000000001E-5</v>
      </c>
      <c r="G20" s="176">
        <v>-5.0000000000000002E-5</v>
      </c>
      <c r="H20" s="188">
        <v>11943857.9</v>
      </c>
      <c r="I20" s="188">
        <v>11940715.800000001</v>
      </c>
      <c r="J20" s="188">
        <v>-3142.0999999996275</v>
      </c>
      <c r="K20" s="189">
        <v>-2.6307245333181896E-4</v>
      </c>
    </row>
    <row r="21" spans="1:11">
      <c r="A21" s="170">
        <v>13</v>
      </c>
      <c r="B21" s="345"/>
      <c r="C21" s="333"/>
      <c r="D21" s="172"/>
      <c r="E21" s="188"/>
      <c r="F21" s="176"/>
      <c r="G21" s="176"/>
      <c r="H21" s="177"/>
      <c r="I21" s="188"/>
      <c r="J21" s="188"/>
      <c r="K21" s="189"/>
    </row>
    <row r="22" spans="1:11">
      <c r="A22" s="170">
        <v>14</v>
      </c>
      <c r="B22" s="345" t="s">
        <v>116</v>
      </c>
      <c r="C22" s="333"/>
      <c r="D22" s="172">
        <v>1547912000</v>
      </c>
      <c r="E22" s="188">
        <v>133896000</v>
      </c>
      <c r="F22" s="176">
        <v>-2.7726370103726825E-5</v>
      </c>
      <c r="G22" s="176">
        <v>-5.8219166851862377E-5</v>
      </c>
      <c r="H22" s="188">
        <v>133853082.01900001</v>
      </c>
      <c r="I22" s="188">
        <v>133805881.85299999</v>
      </c>
      <c r="J22" s="188">
        <v>-47200.166000002238</v>
      </c>
      <c r="K22" s="189">
        <v>-3.5262666565497779E-4</v>
      </c>
    </row>
    <row r="23" spans="1:11">
      <c r="A23" s="170">
        <v>15</v>
      </c>
      <c r="B23" s="345"/>
      <c r="C23" s="333"/>
      <c r="D23" s="172"/>
      <c r="E23" s="188"/>
      <c r="F23" s="176"/>
      <c r="G23" s="176"/>
      <c r="H23" s="177"/>
      <c r="I23" s="188"/>
      <c r="J23" s="188"/>
      <c r="K23" s="189"/>
    </row>
    <row r="24" spans="1:11">
      <c r="A24" s="170">
        <v>16</v>
      </c>
      <c r="B24" s="180" t="s">
        <v>73</v>
      </c>
      <c r="C24" s="333">
        <v>40</v>
      </c>
      <c r="D24" s="172">
        <v>586557000</v>
      </c>
      <c r="E24" s="188">
        <v>46341000</v>
      </c>
      <c r="F24" s="176">
        <v>-3.0000000000000001E-5</v>
      </c>
      <c r="G24" s="176">
        <v>-6.7000000000000002E-5</v>
      </c>
      <c r="H24" s="188">
        <v>46323403.289999999</v>
      </c>
      <c r="I24" s="188">
        <v>46301700.681000002</v>
      </c>
      <c r="J24" s="188">
        <v>-21702.608999997377</v>
      </c>
      <c r="K24" s="189">
        <v>-4.6850204127127246E-4</v>
      </c>
    </row>
    <row r="25" spans="1:11">
      <c r="A25" s="170">
        <v>17</v>
      </c>
      <c r="B25" s="345"/>
      <c r="C25" s="333"/>
      <c r="D25" s="172"/>
      <c r="E25" s="188"/>
      <c r="F25" s="176"/>
      <c r="G25" s="176"/>
      <c r="H25" s="177"/>
      <c r="I25" s="188"/>
      <c r="J25" s="188"/>
      <c r="K25" s="189"/>
    </row>
    <row r="26" spans="1:11">
      <c r="A26" s="170">
        <v>16</v>
      </c>
      <c r="B26" s="179" t="s">
        <v>118</v>
      </c>
      <c r="C26" s="333">
        <v>46</v>
      </c>
      <c r="D26" s="172">
        <v>76343000</v>
      </c>
      <c r="E26" s="188">
        <v>5454000</v>
      </c>
      <c r="F26" s="176">
        <v>-1.4E-5</v>
      </c>
      <c r="G26" s="176">
        <v>-3.8000000000000002E-5</v>
      </c>
      <c r="H26" s="188">
        <v>5452931.1979999999</v>
      </c>
      <c r="I26" s="188">
        <v>5451098.966</v>
      </c>
      <c r="J26" s="188">
        <v>-1832.2319999998435</v>
      </c>
      <c r="K26" s="189">
        <v>-3.3600864076037873E-4</v>
      </c>
    </row>
    <row r="27" spans="1:11">
      <c r="A27" s="170">
        <v>17</v>
      </c>
      <c r="B27" s="178" t="s">
        <v>119</v>
      </c>
      <c r="C27" s="333">
        <v>49</v>
      </c>
      <c r="D27" s="172">
        <v>603277000</v>
      </c>
      <c r="E27" s="188">
        <v>42279000</v>
      </c>
      <c r="F27" s="176">
        <v>-2.8E-5</v>
      </c>
      <c r="G27" s="176">
        <v>-5.8E-5</v>
      </c>
      <c r="H27" s="188">
        <v>42262108.244000003</v>
      </c>
      <c r="I27" s="188">
        <v>42244009.934</v>
      </c>
      <c r="J27" s="188">
        <v>-18098.310000002384</v>
      </c>
      <c r="K27" s="189">
        <v>-4.2823963952559846E-4</v>
      </c>
    </row>
    <row r="28" spans="1:11">
      <c r="A28" s="170">
        <v>18</v>
      </c>
      <c r="B28" s="171"/>
      <c r="C28" s="333"/>
      <c r="D28" s="172"/>
      <c r="E28" s="188"/>
      <c r="F28" s="176"/>
      <c r="G28" s="176"/>
      <c r="H28" s="177"/>
      <c r="I28" s="188"/>
      <c r="J28" s="188"/>
      <c r="K28" s="189"/>
    </row>
    <row r="29" spans="1:11">
      <c r="A29" s="170">
        <v>19</v>
      </c>
      <c r="B29" s="180" t="s">
        <v>120</v>
      </c>
      <c r="C29" s="333"/>
      <c r="D29" s="172">
        <v>679620000</v>
      </c>
      <c r="E29" s="188">
        <v>47733000</v>
      </c>
      <c r="F29" s="176">
        <v>-2.6427353521085313E-5</v>
      </c>
      <c r="G29" s="176">
        <v>-5.5753362172979019E-5</v>
      </c>
      <c r="H29" s="172">
        <v>47715039.442000002</v>
      </c>
      <c r="I29" s="172">
        <v>47695108.899999999</v>
      </c>
      <c r="J29" s="188">
        <v>-19930.542000002228</v>
      </c>
      <c r="K29" s="189">
        <v>-4.1769937179301277E-4</v>
      </c>
    </row>
    <row r="30" spans="1:11">
      <c r="A30" s="170">
        <v>20</v>
      </c>
      <c r="B30" s="171"/>
      <c r="C30" s="333"/>
      <c r="D30" s="172"/>
      <c r="E30" s="188"/>
      <c r="F30" s="176"/>
      <c r="G30" s="176"/>
      <c r="H30" s="177"/>
      <c r="I30" s="188"/>
      <c r="J30" s="188"/>
      <c r="K30" s="189"/>
    </row>
    <row r="31" spans="1:11">
      <c r="A31" s="170">
        <v>21</v>
      </c>
      <c r="B31" s="171" t="s">
        <v>121</v>
      </c>
      <c r="C31" s="333" t="s">
        <v>17</v>
      </c>
      <c r="D31" s="172">
        <v>71132000</v>
      </c>
      <c r="E31" s="188">
        <v>16814000</v>
      </c>
      <c r="F31" s="176">
        <v>-3.4999999999999997E-5</v>
      </c>
      <c r="G31" s="176">
        <v>-7.4999999999999993E-5</v>
      </c>
      <c r="H31" s="188">
        <v>16811510.379999999</v>
      </c>
      <c r="I31" s="188">
        <v>16808665.100000001</v>
      </c>
      <c r="J31" s="188">
        <v>-2845.2799999974668</v>
      </c>
      <c r="K31" s="189">
        <v>-1.6924594731133652E-4</v>
      </c>
    </row>
    <row r="32" spans="1:11">
      <c r="A32" s="170">
        <v>22</v>
      </c>
      <c r="B32" s="171"/>
      <c r="C32" s="333"/>
      <c r="D32" s="172"/>
      <c r="E32" s="188"/>
      <c r="F32" s="176"/>
      <c r="G32" s="176"/>
      <c r="H32" s="171"/>
      <c r="I32" s="188"/>
      <c r="J32" s="188"/>
      <c r="K32" s="189"/>
    </row>
    <row r="33" spans="1:11">
      <c r="A33" s="170">
        <v>23</v>
      </c>
      <c r="B33" s="143" t="s">
        <v>185</v>
      </c>
      <c r="C33" s="101" t="s">
        <v>186</v>
      </c>
      <c r="D33" s="172">
        <v>7036000</v>
      </c>
      <c r="E33" s="188">
        <v>321000</v>
      </c>
      <c r="F33" s="176">
        <v>-3.4E-5</v>
      </c>
      <c r="G33" s="176">
        <v>-7.2000000000000002E-5</v>
      </c>
      <c r="H33" s="188">
        <v>320760.77600000001</v>
      </c>
      <c r="I33" s="188">
        <v>320493.408</v>
      </c>
      <c r="J33" s="188">
        <v>-267.36800000001676</v>
      </c>
      <c r="K33" s="189">
        <v>-8.3354331328845753E-4</v>
      </c>
    </row>
    <row r="34" spans="1:11">
      <c r="A34" s="170">
        <v>24</v>
      </c>
      <c r="B34" s="143"/>
      <c r="C34" s="101"/>
      <c r="D34" s="172"/>
      <c r="E34" s="188"/>
      <c r="F34" s="176"/>
      <c r="G34" s="176"/>
      <c r="H34" s="177"/>
      <c r="I34" s="188"/>
      <c r="J34" s="188"/>
      <c r="K34" s="189"/>
    </row>
    <row r="35" spans="1:11">
      <c r="A35" s="170">
        <v>25</v>
      </c>
      <c r="B35" s="179" t="s">
        <v>122</v>
      </c>
      <c r="C35" s="333"/>
      <c r="D35" s="172">
        <v>21993155000</v>
      </c>
      <c r="E35" s="188">
        <v>2154518000</v>
      </c>
      <c r="F35" s="176">
        <v>-3.1772524906044628E-5</v>
      </c>
      <c r="G35" s="176">
        <v>-6.7224528404405821E-5</v>
      </c>
      <c r="H35" s="188">
        <v>2153819221.9349999</v>
      </c>
      <c r="I35" s="188">
        <v>2153039520.527</v>
      </c>
      <c r="J35" s="188">
        <v>-779701.40800006548</v>
      </c>
      <c r="K35" s="189">
        <v>-3.6200875173710196E-4</v>
      </c>
    </row>
    <row r="36" spans="1:11">
      <c r="A36" s="170">
        <v>26</v>
      </c>
      <c r="B36" s="180"/>
      <c r="C36" s="333"/>
      <c r="D36" s="172"/>
      <c r="E36" s="188"/>
      <c r="F36" s="177"/>
      <c r="G36" s="177"/>
      <c r="H36" s="177"/>
      <c r="I36" s="188"/>
      <c r="J36" s="188"/>
      <c r="K36" s="189"/>
    </row>
    <row r="37" spans="1:11">
      <c r="A37" s="170">
        <v>27</v>
      </c>
      <c r="B37" s="180" t="s">
        <v>187</v>
      </c>
      <c r="C37" s="333"/>
      <c r="D37" s="172"/>
      <c r="E37" s="188"/>
      <c r="F37" s="188"/>
      <c r="G37" s="177"/>
      <c r="H37" s="177"/>
      <c r="I37" s="188"/>
      <c r="J37" s="188"/>
      <c r="K37" s="189"/>
    </row>
    <row r="38" spans="1:11">
      <c r="A38" s="170">
        <v>28</v>
      </c>
      <c r="B38" s="179" t="s">
        <v>123</v>
      </c>
      <c r="C38" s="101" t="s">
        <v>124</v>
      </c>
      <c r="D38" s="172">
        <v>2028599000</v>
      </c>
      <c r="E38" s="188">
        <v>9906000</v>
      </c>
      <c r="F38" s="188"/>
      <c r="G38" s="177"/>
      <c r="H38" s="188">
        <v>9906000</v>
      </c>
      <c r="I38" s="188">
        <v>9906000</v>
      </c>
      <c r="J38" s="188">
        <v>0</v>
      </c>
      <c r="K38" s="189"/>
    </row>
    <row r="39" spans="1:11">
      <c r="A39" s="170">
        <v>29</v>
      </c>
      <c r="B39" s="178"/>
      <c r="C39" s="333"/>
      <c r="D39" s="172"/>
      <c r="E39" s="188"/>
      <c r="F39" s="188"/>
      <c r="G39" s="177"/>
      <c r="H39" s="177"/>
      <c r="I39" s="188"/>
      <c r="J39" s="188"/>
      <c r="K39" s="189"/>
    </row>
    <row r="40" spans="1:11">
      <c r="A40" s="170">
        <v>30</v>
      </c>
      <c r="B40" s="180"/>
      <c r="C40" s="333"/>
      <c r="D40" s="172"/>
      <c r="E40" s="188"/>
      <c r="F40" s="188"/>
      <c r="G40" s="177"/>
      <c r="H40" s="177"/>
      <c r="I40" s="188"/>
      <c r="J40" s="188"/>
      <c r="K40" s="189"/>
    </row>
    <row r="41" spans="1:11">
      <c r="A41" s="170">
        <v>31</v>
      </c>
      <c r="B41" s="180" t="s">
        <v>19</v>
      </c>
      <c r="C41" s="333"/>
      <c r="D41" s="172">
        <v>24021754000</v>
      </c>
      <c r="E41" s="188">
        <v>2164424000</v>
      </c>
      <c r="F41" s="188"/>
      <c r="G41" s="177"/>
      <c r="H41" s="188">
        <v>2163725221.9349999</v>
      </c>
      <c r="I41" s="188">
        <v>2162945520.527</v>
      </c>
      <c r="J41" s="188">
        <v>-779701.40800006548</v>
      </c>
      <c r="K41" s="189"/>
    </row>
    <row r="42" spans="1:11" ht="13.5" thickBot="1">
      <c r="A42" s="144"/>
      <c r="B42" s="182"/>
      <c r="C42" s="183"/>
      <c r="D42" s="184"/>
      <c r="E42" s="169"/>
      <c r="F42" s="169"/>
      <c r="G42" s="182"/>
      <c r="H42" s="182"/>
      <c r="I42" s="184"/>
      <c r="J42" s="182"/>
      <c r="K42" s="185"/>
    </row>
    <row r="45" spans="1:11">
      <c r="H45" s="431"/>
    </row>
  </sheetData>
  <printOptions horizontalCentered="1"/>
  <pageMargins left="0.7" right="0.7" top="0.75" bottom="0.71" header="0.3" footer="0.3"/>
  <pageSetup scale="6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57"/>
  <sheetViews>
    <sheetView tabSelected="1" view="pageBreakPreview" topLeftCell="A22" zoomScale="115" zoomScaleNormal="90" zoomScaleSheetLayoutView="115" workbookViewId="0">
      <selection activeCell="N42" sqref="N42"/>
    </sheetView>
  </sheetViews>
  <sheetFormatPr defaultColWidth="9.42578125" defaultRowHeight="15"/>
  <cols>
    <col min="1" max="1" width="2.28515625" style="203" customWidth="1"/>
    <col min="2" max="2" width="11" style="246" customWidth="1"/>
    <col min="3" max="3" width="1.7109375" style="246" customWidth="1"/>
    <col min="4" max="4" width="11" style="246" customWidth="1"/>
    <col min="5" max="5" width="1.7109375" style="246" customWidth="1"/>
    <col min="6" max="6" width="11" style="246" customWidth="1"/>
    <col min="7" max="7" width="1.7109375" style="246" customWidth="1"/>
    <col min="8" max="8" width="11" style="246" customWidth="1"/>
    <col min="9" max="9" width="1.7109375" style="246" customWidth="1"/>
    <col min="10" max="10" width="11" style="246" customWidth="1"/>
    <col min="11" max="11" width="1.7109375" style="246" customWidth="1"/>
    <col min="12" max="12" width="11" style="246" customWidth="1"/>
    <col min="13" max="13" width="3.28515625" style="246" customWidth="1"/>
    <col min="14" max="14" width="41.28515625" style="246" bestFit="1" customWidth="1"/>
    <col min="15" max="15" width="14.42578125" style="246" bestFit="1" customWidth="1"/>
    <col min="16" max="16" width="1.5703125" style="246" bestFit="1" customWidth="1"/>
    <col min="17" max="17" width="15.7109375" style="246" bestFit="1" customWidth="1"/>
    <col min="18" max="18" width="1.5703125" style="246" bestFit="1" customWidth="1"/>
    <col min="19" max="19" width="8.5703125" style="246" bestFit="1" customWidth="1"/>
    <col min="20" max="20" width="5.140625" style="246" customWidth="1"/>
    <col min="21" max="21" width="9.42578125" style="246"/>
    <col min="22" max="22" width="11" style="203" customWidth="1"/>
    <col min="23" max="23" width="2.28515625" style="203" bestFit="1" customWidth="1"/>
    <col min="24" max="24" width="11" style="203" customWidth="1"/>
    <col min="25" max="25" width="1.28515625" style="203" customWidth="1"/>
    <col min="26" max="26" width="11" style="203" customWidth="1"/>
    <col min="27" max="27" width="1.28515625" style="203" bestFit="1" customWidth="1"/>
    <col min="28" max="28" width="11" style="203" customWidth="1"/>
    <col min="29" max="29" width="1.28515625" style="203" bestFit="1" customWidth="1"/>
    <col min="30" max="30" width="11" style="203" customWidth="1"/>
    <col min="31" max="31" width="2" style="203" customWidth="1"/>
    <col min="32" max="32" width="11" style="203" customWidth="1"/>
    <col min="33" max="33" width="9.42578125" style="203"/>
    <col min="34" max="34" width="41.28515625" style="203" bestFit="1" customWidth="1"/>
    <col min="35" max="35" width="14.42578125" style="203" bestFit="1" customWidth="1"/>
    <col min="36" max="36" width="1.5703125" style="203" bestFit="1" customWidth="1"/>
    <col min="37" max="37" width="15.7109375" style="203" bestFit="1" customWidth="1"/>
    <col min="38" max="38" width="1.5703125" style="203" bestFit="1" customWidth="1"/>
    <col min="39" max="39" width="8.5703125" style="203" bestFit="1" customWidth="1"/>
    <col min="40" max="40" width="5.140625" style="203" customWidth="1"/>
    <col min="41" max="16384" width="9.42578125" style="203"/>
  </cols>
  <sheetData>
    <row r="1" spans="1:40" ht="18.75">
      <c r="B1" s="529" t="s">
        <v>585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V1" s="529" t="s">
        <v>0</v>
      </c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</row>
    <row r="2" spans="1:40" ht="18.75">
      <c r="A2" s="247"/>
      <c r="B2" s="529" t="str">
        <f>V2</f>
        <v>Monthly Billing Comparison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T2" s="247"/>
      <c r="V2" s="529" t="s">
        <v>244</v>
      </c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N2" s="247"/>
    </row>
    <row r="3" spans="1:40" ht="18.75">
      <c r="A3" s="247"/>
      <c r="B3" s="529" t="str">
        <f t="shared" ref="B3:B4" si="0">V3</f>
        <v>PSE 2019 GRC UE-190529 &amp; UG-190530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T3" s="247"/>
      <c r="V3" s="530" t="s">
        <v>584</v>
      </c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N3" s="247"/>
    </row>
    <row r="4" spans="1:40" ht="18.75">
      <c r="A4" s="247"/>
      <c r="B4" s="529" t="str">
        <f t="shared" si="0"/>
        <v>Residential Service - Schedule 7 (All Customers)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T4" s="247"/>
      <c r="V4" s="530" t="s">
        <v>587</v>
      </c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N4" s="247"/>
    </row>
    <row r="6" spans="1:40">
      <c r="F6" s="527" t="s">
        <v>243</v>
      </c>
      <c r="G6" s="528"/>
      <c r="H6" s="528"/>
      <c r="I6" s="528"/>
      <c r="J6" s="528"/>
      <c r="K6" s="528"/>
      <c r="L6" s="528"/>
      <c r="M6" s="247"/>
      <c r="Z6" s="527" t="s">
        <v>243</v>
      </c>
      <c r="AA6" s="528"/>
      <c r="AB6" s="528"/>
      <c r="AC6" s="528"/>
      <c r="AD6" s="528"/>
      <c r="AE6" s="528"/>
      <c r="AF6" s="528"/>
      <c r="AG6" s="247"/>
      <c r="AH6" s="246"/>
    </row>
    <row r="7" spans="1:40" ht="15.75" thickBot="1">
      <c r="D7" s="245" t="s">
        <v>42</v>
      </c>
      <c r="F7" s="244" t="s">
        <v>21</v>
      </c>
      <c r="G7" s="243"/>
      <c r="H7" s="243" t="s">
        <v>21</v>
      </c>
      <c r="J7" s="528" t="s">
        <v>242</v>
      </c>
      <c r="K7" s="528"/>
      <c r="L7" s="528"/>
      <c r="M7" s="243"/>
      <c r="X7" s="245" t="s">
        <v>42</v>
      </c>
      <c r="Z7" s="244" t="s">
        <v>21</v>
      </c>
      <c r="AA7" s="243"/>
      <c r="AB7" s="243" t="s">
        <v>21</v>
      </c>
      <c r="AD7" s="528" t="s">
        <v>242</v>
      </c>
      <c r="AE7" s="528"/>
      <c r="AF7" s="528"/>
      <c r="AG7" s="243"/>
    </row>
    <row r="8" spans="1:40" ht="18">
      <c r="B8" s="504" t="s">
        <v>241</v>
      </c>
      <c r="D8" s="242" t="s">
        <v>240</v>
      </c>
      <c r="F8" s="242" t="s">
        <v>341</v>
      </c>
      <c r="G8" s="242"/>
      <c r="H8" s="242" t="s">
        <v>342</v>
      </c>
      <c r="I8" s="241" t="s">
        <v>21</v>
      </c>
      <c r="J8" s="504" t="s">
        <v>239</v>
      </c>
      <c r="L8" s="239" t="s">
        <v>42</v>
      </c>
      <c r="N8" s="238"/>
      <c r="O8" s="237" t="s">
        <v>238</v>
      </c>
      <c r="P8" s="236"/>
      <c r="Q8" s="235" t="s">
        <v>237</v>
      </c>
      <c r="S8" s="226"/>
      <c r="V8" s="240" t="s">
        <v>241</v>
      </c>
      <c r="X8" s="242" t="s">
        <v>240</v>
      </c>
      <c r="Z8" s="242" t="s">
        <v>341</v>
      </c>
      <c r="AA8" s="242"/>
      <c r="AB8" s="242" t="s">
        <v>342</v>
      </c>
      <c r="AC8" s="241" t="s">
        <v>21</v>
      </c>
      <c r="AD8" s="240" t="s">
        <v>239</v>
      </c>
      <c r="AF8" s="239" t="s">
        <v>42</v>
      </c>
      <c r="AH8" s="238"/>
      <c r="AI8" s="237" t="s">
        <v>238</v>
      </c>
      <c r="AJ8" s="236"/>
      <c r="AK8" s="235" t="s">
        <v>237</v>
      </c>
      <c r="AM8" s="226"/>
    </row>
    <row r="9" spans="1:40">
      <c r="B9" s="214">
        <v>0</v>
      </c>
      <c r="D9" s="301">
        <v>6.6501808655939658E-3</v>
      </c>
      <c r="F9" s="260">
        <f>ROUND((($B9*O$11+$O$9)),2)</f>
        <v>7.49</v>
      </c>
      <c r="H9" s="260">
        <f>ROUND((($B9*Q$11+$Q$9)),2)</f>
        <v>7.49</v>
      </c>
      <c r="J9" s="260">
        <f t="shared" ref="J9:J31" si="1">H9-F9</f>
        <v>0</v>
      </c>
      <c r="L9" s="210">
        <f t="shared" ref="L9:L31" si="2">(H9-F9)/F9</f>
        <v>0</v>
      </c>
      <c r="N9" s="231" t="s">
        <v>236</v>
      </c>
      <c r="O9" s="234">
        <f>SUM(O17,O27,O30)</f>
        <v>7.49</v>
      </c>
      <c r="P9" s="229"/>
      <c r="Q9" s="284">
        <f>SUM(Q17,Q27,Q30)</f>
        <v>7.49</v>
      </c>
      <c r="R9" s="232"/>
      <c r="S9" s="226">
        <f>(Q9-O9)/O9</f>
        <v>0</v>
      </c>
      <c r="V9" s="214">
        <v>0</v>
      </c>
      <c r="X9" s="213">
        <v>6.6501808655939658E-3</v>
      </c>
      <c r="Z9" s="212">
        <f t="shared" ref="Z9:Z17" si="3">ROUND((($V9*AI$11+$AI$9)),2)</f>
        <v>7.49</v>
      </c>
      <c r="AB9" s="212">
        <f t="shared" ref="AB9:AB17" si="4">ROUND((($V9*AK$11+$AK$9)),2)</f>
        <v>7.49</v>
      </c>
      <c r="AD9" s="211">
        <f t="shared" ref="AD9:AD31" si="5">AB9-Z9</f>
        <v>0</v>
      </c>
      <c r="AF9" s="210">
        <f t="shared" ref="AF9:AF31" si="6">(AB9-Z9)/Z9</f>
        <v>0</v>
      </c>
      <c r="AH9" s="231" t="s">
        <v>236</v>
      </c>
      <c r="AI9" s="234">
        <f>SUM(AI17,AI29,AI32)</f>
        <v>7.49</v>
      </c>
      <c r="AJ9" s="229"/>
      <c r="AK9" s="284">
        <f>SUM(AK17,AK29,AK32)</f>
        <v>7.49</v>
      </c>
      <c r="AL9" s="232"/>
      <c r="AM9" s="226">
        <f>(AK9-AI9)/AI9</f>
        <v>0</v>
      </c>
    </row>
    <row r="10" spans="1:40">
      <c r="B10" s="214">
        <v>50</v>
      </c>
      <c r="D10" s="301">
        <v>8.0192947361504875E-3</v>
      </c>
      <c r="F10" s="260">
        <f t="shared" ref="F10:F17" si="7">ROUND((($B10*O$11+$O$9)),2)</f>
        <v>11.76</v>
      </c>
      <c r="H10" s="260">
        <f t="shared" ref="H10:H17" si="8">ROUND((($B10*Q$11+$Q$9)),2)</f>
        <v>11.82</v>
      </c>
      <c r="J10" s="260">
        <f t="shared" si="1"/>
        <v>6.0000000000000497E-2</v>
      </c>
      <c r="L10" s="210">
        <f t="shared" si="2"/>
        <v>5.1020408163265727E-3</v>
      </c>
      <c r="N10" s="231"/>
      <c r="O10" s="230"/>
      <c r="P10" s="229"/>
      <c r="Q10" s="228"/>
      <c r="S10" s="226"/>
      <c r="V10" s="214">
        <v>50</v>
      </c>
      <c r="X10" s="301">
        <v>8.0192947361504875E-3</v>
      </c>
      <c r="Z10" s="212">
        <f t="shared" si="3"/>
        <v>11.76</v>
      </c>
      <c r="AB10" s="212">
        <f t="shared" si="4"/>
        <v>11.76</v>
      </c>
      <c r="AD10" s="211">
        <f t="shared" si="5"/>
        <v>0</v>
      </c>
      <c r="AF10" s="210">
        <f t="shared" si="6"/>
        <v>0</v>
      </c>
      <c r="AH10" s="231"/>
      <c r="AI10" s="230"/>
      <c r="AJ10" s="229"/>
      <c r="AK10" s="228"/>
      <c r="AM10" s="226"/>
    </row>
    <row r="11" spans="1:40">
      <c r="B11" s="214">
        <v>100</v>
      </c>
      <c r="D11" s="301">
        <v>1.1284874527698368E-2</v>
      </c>
      <c r="F11" s="260">
        <f t="shared" si="7"/>
        <v>16.04</v>
      </c>
      <c r="H11" s="260">
        <f t="shared" si="8"/>
        <v>16.149999999999999</v>
      </c>
      <c r="J11" s="260">
        <f t="shared" si="1"/>
        <v>0.10999999999999943</v>
      </c>
      <c r="L11" s="210">
        <f t="shared" si="2"/>
        <v>6.8578553615959749E-3</v>
      </c>
      <c r="N11" s="231" t="s">
        <v>235</v>
      </c>
      <c r="O11" s="230">
        <f>SUM(O18,O21:O26,O28,O31,O33:O35)</f>
        <v>8.5471347643310283E-2</v>
      </c>
      <c r="P11" s="229"/>
      <c r="Q11" s="228">
        <f>SUM(Q18,Q21:Q26,Q28,Q31,Q33:Q35)</f>
        <v>8.6628580731441723E-2</v>
      </c>
      <c r="S11" s="226">
        <f>(Q11-O11)/O11</f>
        <v>1.3539427188638872E-2</v>
      </c>
      <c r="V11" s="214">
        <v>100</v>
      </c>
      <c r="X11" s="301">
        <v>1.1284874527698368E-2</v>
      </c>
      <c r="Z11" s="212">
        <f t="shared" si="3"/>
        <v>16.04</v>
      </c>
      <c r="AB11" s="212">
        <f t="shared" si="4"/>
        <v>16.02</v>
      </c>
      <c r="AD11" s="211">
        <f t="shared" si="5"/>
        <v>-1.9999999999999574E-2</v>
      </c>
      <c r="AF11" s="210">
        <f t="shared" si="6"/>
        <v>-1.2468827930174299E-3</v>
      </c>
      <c r="AH11" s="231" t="s">
        <v>235</v>
      </c>
      <c r="AI11" s="230">
        <f>SUM(AI18,AI23:AI28,AI30,AI33,AI35:AI37)</f>
        <v>8.5471347643310283E-2</v>
      </c>
      <c r="AJ11" s="229"/>
      <c r="AK11" s="228">
        <f>SUM(AK18,AK23:AK28,AK30,AK33,AK35:AK37)</f>
        <v>8.5322580731441736E-2</v>
      </c>
      <c r="AM11" s="226">
        <f>(AK11-AI11)/AI11</f>
        <v>-1.7405471654592694E-3</v>
      </c>
    </row>
    <row r="12" spans="1:40">
      <c r="B12" s="214">
        <v>150</v>
      </c>
      <c r="D12" s="301">
        <v>1.5338324352599278E-2</v>
      </c>
      <c r="F12" s="260">
        <f t="shared" si="7"/>
        <v>20.309999999999999</v>
      </c>
      <c r="H12" s="260">
        <f t="shared" si="8"/>
        <v>20.48</v>
      </c>
      <c r="J12" s="260">
        <f t="shared" si="1"/>
        <v>0.17000000000000171</v>
      </c>
      <c r="L12" s="210">
        <f t="shared" si="2"/>
        <v>8.3702609551945702E-3</v>
      </c>
      <c r="N12" s="231" t="s">
        <v>234</v>
      </c>
      <c r="O12" s="230">
        <f>SUM(O19,O21:O26,O29,O32:O35)</f>
        <v>0.10443234764331029</v>
      </c>
      <c r="P12" s="229"/>
      <c r="Q12" s="228">
        <f>SUM(Q19,Q21:Q26,Q29,Q32:Q35)</f>
        <v>0.10587349191354305</v>
      </c>
      <c r="S12" s="226">
        <f>(Q12-O12)/O12</f>
        <v>1.3799788118859499E-2</v>
      </c>
      <c r="V12" s="214">
        <v>150</v>
      </c>
      <c r="X12" s="301">
        <v>1.5338324352599278E-2</v>
      </c>
      <c r="Z12" s="212">
        <f t="shared" si="3"/>
        <v>20.309999999999999</v>
      </c>
      <c r="AB12" s="212">
        <f t="shared" si="4"/>
        <v>20.29</v>
      </c>
      <c r="AD12" s="211">
        <f t="shared" si="5"/>
        <v>-1.9999999999999574E-2</v>
      </c>
      <c r="AF12" s="210">
        <f t="shared" si="6"/>
        <v>-9.8473658296403615E-4</v>
      </c>
      <c r="AH12" s="231" t="s">
        <v>234</v>
      </c>
      <c r="AI12" s="230">
        <f>SUM(AI19,AI23:AI28,AI31,AI34:AI37)</f>
        <v>0.10443234764331029</v>
      </c>
      <c r="AJ12" s="229"/>
      <c r="AK12" s="228">
        <f>SUM(AK19,AK23:AK28,AK31,AK34:AK37)</f>
        <v>0.12307558073144179</v>
      </c>
      <c r="AM12" s="226">
        <f>(AK12-AI12)/AI12</f>
        <v>0.17851971643697645</v>
      </c>
    </row>
    <row r="13" spans="1:40" ht="15.75" thickBot="1">
      <c r="B13" s="214">
        <v>200</v>
      </c>
      <c r="D13" s="301">
        <v>2.1443435320053644E-2</v>
      </c>
      <c r="F13" s="260">
        <f t="shared" si="7"/>
        <v>24.58</v>
      </c>
      <c r="H13" s="260">
        <f t="shared" si="8"/>
        <v>24.82</v>
      </c>
      <c r="J13" s="260">
        <f t="shared" si="1"/>
        <v>0.24000000000000199</v>
      </c>
      <c r="L13" s="210">
        <f t="shared" si="2"/>
        <v>9.7640358014646871E-3</v>
      </c>
      <c r="N13" s="225"/>
      <c r="O13" s="224"/>
      <c r="P13" s="223"/>
      <c r="Q13" s="222"/>
      <c r="S13" s="226"/>
      <c r="V13" s="214">
        <v>200</v>
      </c>
      <c r="X13" s="301">
        <v>2.1443435320053644E-2</v>
      </c>
      <c r="Z13" s="212">
        <f t="shared" si="3"/>
        <v>24.58</v>
      </c>
      <c r="AB13" s="212">
        <f t="shared" si="4"/>
        <v>24.55</v>
      </c>
      <c r="AD13" s="211">
        <f t="shared" si="5"/>
        <v>-2.9999999999997584E-2</v>
      </c>
      <c r="AF13" s="210">
        <f t="shared" si="6"/>
        <v>-1.2205044751829775E-3</v>
      </c>
      <c r="AH13" s="225"/>
      <c r="AI13" s="224"/>
      <c r="AJ13" s="223"/>
      <c r="AK13" s="222"/>
      <c r="AM13" s="226"/>
    </row>
    <row r="14" spans="1:40">
      <c r="B14" s="510">
        <v>300</v>
      </c>
      <c r="D14" s="507">
        <v>6.537492073108761E-2</v>
      </c>
      <c r="F14" s="508">
        <f t="shared" si="7"/>
        <v>33.130000000000003</v>
      </c>
      <c r="H14" s="508">
        <f t="shared" si="8"/>
        <v>33.479999999999997</v>
      </c>
      <c r="J14" s="508">
        <f t="shared" si="1"/>
        <v>0.34999999999999432</v>
      </c>
      <c r="L14" s="509">
        <f t="shared" si="2"/>
        <v>1.0564443102927687E-2</v>
      </c>
      <c r="R14" s="227"/>
      <c r="S14" s="226"/>
      <c r="V14" s="214">
        <v>300</v>
      </c>
      <c r="X14" s="301">
        <v>6.537492073108761E-2</v>
      </c>
      <c r="Z14" s="212">
        <f t="shared" si="3"/>
        <v>33.130000000000003</v>
      </c>
      <c r="AB14" s="212">
        <f t="shared" si="4"/>
        <v>33.090000000000003</v>
      </c>
      <c r="AD14" s="211">
        <f t="shared" si="5"/>
        <v>-3.9999999999999147E-2</v>
      </c>
      <c r="AF14" s="210">
        <f t="shared" si="6"/>
        <v>-1.2073649260488724E-3</v>
      </c>
      <c r="AL14" s="227"/>
      <c r="AM14" s="226"/>
    </row>
    <row r="15" spans="1:40">
      <c r="B15" s="510">
        <v>400</v>
      </c>
      <c r="D15" s="507">
        <v>9.0873118309205483E-2</v>
      </c>
      <c r="F15" s="508">
        <f t="shared" si="7"/>
        <v>41.68</v>
      </c>
      <c r="H15" s="508">
        <f t="shared" si="8"/>
        <v>42.14</v>
      </c>
      <c r="J15" s="508">
        <f t="shared" si="1"/>
        <v>0.46000000000000085</v>
      </c>
      <c r="L15" s="509">
        <f t="shared" si="2"/>
        <v>1.1036468330134377E-2</v>
      </c>
      <c r="V15" s="214">
        <v>400</v>
      </c>
      <c r="X15" s="301">
        <v>9.0873118309205483E-2</v>
      </c>
      <c r="Z15" s="212">
        <f t="shared" si="3"/>
        <v>41.68</v>
      </c>
      <c r="AB15" s="212">
        <f t="shared" si="4"/>
        <v>41.62</v>
      </c>
      <c r="AD15" s="211">
        <f t="shared" si="5"/>
        <v>-6.0000000000002274E-2</v>
      </c>
      <c r="AF15" s="210">
        <f t="shared" si="6"/>
        <v>-1.4395393474088837E-3</v>
      </c>
    </row>
    <row r="16" spans="1:40">
      <c r="B16" s="510">
        <v>500</v>
      </c>
      <c r="D16" s="507">
        <v>0.10273841640338027</v>
      </c>
      <c r="F16" s="508">
        <f t="shared" si="7"/>
        <v>50.23</v>
      </c>
      <c r="H16" s="508">
        <f t="shared" si="8"/>
        <v>50.8</v>
      </c>
      <c r="J16" s="508">
        <f t="shared" si="1"/>
        <v>0.57000000000000028</v>
      </c>
      <c r="L16" s="509">
        <f t="shared" si="2"/>
        <v>1.1347800119450534E-2</v>
      </c>
      <c r="S16" s="246" t="s">
        <v>21</v>
      </c>
      <c r="V16" s="214">
        <v>500</v>
      </c>
      <c r="X16" s="301">
        <v>0.10273841640338027</v>
      </c>
      <c r="Z16" s="212">
        <f t="shared" si="3"/>
        <v>50.23</v>
      </c>
      <c r="AB16" s="212">
        <f t="shared" si="4"/>
        <v>50.15</v>
      </c>
      <c r="AD16" s="211">
        <f t="shared" si="5"/>
        <v>-7.9999999999998295E-2</v>
      </c>
      <c r="AF16" s="210">
        <f t="shared" si="6"/>
        <v>-1.5926737009754788E-3</v>
      </c>
      <c r="AM16" s="203" t="s">
        <v>21</v>
      </c>
    </row>
    <row r="17" spans="2:38">
      <c r="B17" s="510">
        <v>600</v>
      </c>
      <c r="D17" s="507">
        <v>0.10108278196785736</v>
      </c>
      <c r="F17" s="508">
        <f t="shared" si="7"/>
        <v>58.77</v>
      </c>
      <c r="H17" s="508">
        <f t="shared" si="8"/>
        <v>59.47</v>
      </c>
      <c r="J17" s="508">
        <f t="shared" si="1"/>
        <v>0.69999999999999574</v>
      </c>
      <c r="L17" s="509">
        <f t="shared" si="2"/>
        <v>1.1910838863365589E-2</v>
      </c>
      <c r="N17" s="246" t="str">
        <f>+N9</f>
        <v>Basic 1 Phase</v>
      </c>
      <c r="O17" s="456">
        <f>AI17</f>
        <v>7.49</v>
      </c>
      <c r="P17" s="456"/>
      <c r="Q17" s="456">
        <v>7.49</v>
      </c>
      <c r="V17" s="214">
        <v>600</v>
      </c>
      <c r="X17" s="301">
        <v>0.10108278196785736</v>
      </c>
      <c r="Z17" s="212">
        <f t="shared" si="3"/>
        <v>58.77</v>
      </c>
      <c r="AB17" s="212">
        <f t="shared" si="4"/>
        <v>58.68</v>
      </c>
      <c r="AD17" s="211">
        <f t="shared" si="5"/>
        <v>-9.0000000000003411E-2</v>
      </c>
      <c r="AF17" s="210">
        <f t="shared" si="6"/>
        <v>-1.5313935681470717E-3</v>
      </c>
      <c r="AH17" s="203" t="str">
        <f>+AH9</f>
        <v>Basic 1 Phase</v>
      </c>
      <c r="AI17" s="456">
        <v>7.49</v>
      </c>
      <c r="AJ17" s="456"/>
      <c r="AK17" s="456">
        <v>7.49</v>
      </c>
    </row>
    <row r="18" spans="2:38">
      <c r="B18" s="510">
        <v>700</v>
      </c>
      <c r="D18" s="507">
        <v>9.1101973842058676E-2</v>
      </c>
      <c r="F18" s="508">
        <f>ROUND((((600*O$11)+(($B18-600)*O$12)+$O$9)),2)</f>
        <v>69.22</v>
      </c>
      <c r="H18" s="508">
        <f>ROUND((((600*Q$11)+(($B18-600)*Q$12)+$Q$9)),2)</f>
        <v>70.05</v>
      </c>
      <c r="J18" s="508">
        <f t="shared" si="1"/>
        <v>0.82999999999999829</v>
      </c>
      <c r="L18" s="509">
        <f t="shared" si="2"/>
        <v>1.1990754117307113E-2</v>
      </c>
      <c r="N18" s="246" t="str">
        <f>+N11</f>
        <v>Energy - First 600</v>
      </c>
      <c r="O18" s="219">
        <f t="shared" ref="O18:O19" si="9">AI18</f>
        <v>8.7335999999999997E-2</v>
      </c>
      <c r="P18" s="219"/>
      <c r="Q18" s="219">
        <v>9.0066999999999994E-2</v>
      </c>
      <c r="R18" s="246" t="s">
        <v>21</v>
      </c>
      <c r="V18" s="214">
        <v>700</v>
      </c>
      <c r="X18" s="301">
        <v>9.1101973842058676E-2</v>
      </c>
      <c r="Z18" s="212">
        <f t="shared" ref="Z18:Z31" si="10">ROUND((((600*AI$11)+(($V18-600)*AI$12)+$AI$9)),2)</f>
        <v>69.22</v>
      </c>
      <c r="AB18" s="212">
        <f t="shared" ref="AB18:AB31" si="11">ROUND((((600*AK$11)+(($V18-600)*AK$12)+$AK$9)),2)</f>
        <v>70.989999999999995</v>
      </c>
      <c r="AD18" s="211">
        <f t="shared" si="5"/>
        <v>1.769999999999996</v>
      </c>
      <c r="AF18" s="210">
        <f t="shared" si="6"/>
        <v>2.5570644322450101E-2</v>
      </c>
      <c r="AH18" s="203" t="str">
        <f>+AH11</f>
        <v>Energy - First 600</v>
      </c>
      <c r="AI18" s="219">
        <v>8.7335999999999997E-2</v>
      </c>
      <c r="AJ18" s="219"/>
      <c r="AK18" s="219">
        <v>8.7335999999999997E-2</v>
      </c>
      <c r="AL18" s="203" t="s">
        <v>21</v>
      </c>
    </row>
    <row r="19" spans="2:38">
      <c r="B19" s="510">
        <v>800</v>
      </c>
      <c r="D19" s="507">
        <v>7.8352505931172559E-2</v>
      </c>
      <c r="F19" s="508">
        <f t="shared" ref="F19:F31" si="12">ROUND((((600*O$11)+(($B19-600)*O$12)+$O$9)),2)</f>
        <v>79.66</v>
      </c>
      <c r="H19" s="508">
        <f t="shared" ref="H19:H31" si="13">ROUND((((600*Q$11)+(($B19-600)*Q$12)+$Q$9)),2)</f>
        <v>80.64</v>
      </c>
      <c r="J19" s="508">
        <f t="shared" si="1"/>
        <v>0.98000000000000398</v>
      </c>
      <c r="L19" s="509">
        <f t="shared" si="2"/>
        <v>1.2302284710017625E-2</v>
      </c>
      <c r="N19" s="246" t="str">
        <f>+N12</f>
        <v>Energy - Over 600</v>
      </c>
      <c r="O19" s="219">
        <f t="shared" si="9"/>
        <v>0.106297</v>
      </c>
      <c r="P19" s="219"/>
      <c r="Q19" s="219">
        <v>0.10962091118210131</v>
      </c>
      <c r="V19" s="214">
        <v>800</v>
      </c>
      <c r="X19" s="301">
        <v>7.8352505931172559E-2</v>
      </c>
      <c r="Z19" s="212">
        <f t="shared" si="10"/>
        <v>79.66</v>
      </c>
      <c r="AB19" s="212">
        <f t="shared" si="11"/>
        <v>83.3</v>
      </c>
      <c r="AD19" s="211">
        <f t="shared" si="5"/>
        <v>3.6400000000000006</v>
      </c>
      <c r="AF19" s="210">
        <f t="shared" si="6"/>
        <v>4.5694200351493859E-2</v>
      </c>
      <c r="AH19" s="203" t="str">
        <f>+AH12</f>
        <v>Energy - Over 600</v>
      </c>
      <c r="AI19" s="219">
        <v>0.106297</v>
      </c>
      <c r="AJ19" s="219"/>
      <c r="AK19" s="219">
        <v>0.12508900000000001</v>
      </c>
    </row>
    <row r="20" spans="2:38">
      <c r="B20" s="510">
        <v>900</v>
      </c>
      <c r="C20" s="246" t="s">
        <v>230</v>
      </c>
      <c r="D20" s="507">
        <v>6.574289417925229E-2</v>
      </c>
      <c r="F20" s="508">
        <f t="shared" si="12"/>
        <v>90.1</v>
      </c>
      <c r="H20" s="508">
        <f t="shared" si="13"/>
        <v>91.23</v>
      </c>
      <c r="J20" s="508">
        <f t="shared" si="1"/>
        <v>1.1300000000000097</v>
      </c>
      <c r="L20" s="509">
        <f t="shared" si="2"/>
        <v>1.2541620421753715E-2</v>
      </c>
      <c r="N20" s="220"/>
      <c r="O20" s="220"/>
      <c r="P20" s="220"/>
      <c r="Q20" s="221"/>
      <c r="V20" s="214">
        <v>900</v>
      </c>
      <c r="W20" s="203" t="s">
        <v>230</v>
      </c>
      <c r="X20" s="301">
        <v>6.574289417925229E-2</v>
      </c>
      <c r="Z20" s="212">
        <f t="shared" si="10"/>
        <v>90.1</v>
      </c>
      <c r="AB20" s="212">
        <f t="shared" si="11"/>
        <v>95.61</v>
      </c>
      <c r="AD20" s="211">
        <f t="shared" si="5"/>
        <v>5.5100000000000051</v>
      </c>
      <c r="AF20" s="210">
        <f t="shared" si="6"/>
        <v>6.1154273029966767E-2</v>
      </c>
      <c r="AH20" s="220"/>
      <c r="AI20" s="220"/>
      <c r="AJ20" s="220"/>
      <c r="AK20" s="221"/>
    </row>
    <row r="21" spans="2:38">
      <c r="B21" s="510">
        <v>1000</v>
      </c>
      <c r="D21" s="507">
        <v>5.4722803042252882E-2</v>
      </c>
      <c r="F21" s="508">
        <f t="shared" si="12"/>
        <v>100.55</v>
      </c>
      <c r="H21" s="508">
        <f t="shared" si="13"/>
        <v>101.82</v>
      </c>
      <c r="J21" s="508">
        <f t="shared" si="1"/>
        <v>1.269999999999996</v>
      </c>
      <c r="L21" s="509">
        <f t="shared" si="2"/>
        <v>1.2630532073595187E-2</v>
      </c>
      <c r="N21" s="218" t="s">
        <v>233</v>
      </c>
      <c r="O21" s="219">
        <f t="shared" ref="O21:O35" si="14">AI23</f>
        <v>1.4876691186854057E-4</v>
      </c>
      <c r="P21" s="220"/>
      <c r="Q21" s="471">
        <v>0</v>
      </c>
      <c r="V21" s="214">
        <v>1000</v>
      </c>
      <c r="X21" s="301">
        <v>5.4722803042252882E-2</v>
      </c>
      <c r="Z21" s="212">
        <f t="shared" si="10"/>
        <v>100.55</v>
      </c>
      <c r="AB21" s="212">
        <f t="shared" si="11"/>
        <v>107.91</v>
      </c>
      <c r="AD21" s="211">
        <f t="shared" si="5"/>
        <v>7.3599999999999994</v>
      </c>
      <c r="AF21" s="210">
        <f t="shared" si="6"/>
        <v>7.3197414221780208E-2</v>
      </c>
    </row>
    <row r="22" spans="2:38">
      <c r="B22" s="510">
        <v>1100</v>
      </c>
      <c r="D22" s="507">
        <v>4.544586922735501E-2</v>
      </c>
      <c r="F22" s="508">
        <f t="shared" si="12"/>
        <v>110.99</v>
      </c>
      <c r="H22" s="508">
        <f t="shared" si="13"/>
        <v>112.4</v>
      </c>
      <c r="J22" s="508">
        <f t="shared" si="1"/>
        <v>1.4100000000000108</v>
      </c>
      <c r="L22" s="509">
        <f t="shared" si="2"/>
        <v>1.2703847193440948E-2</v>
      </c>
      <c r="N22" s="218" t="s">
        <v>232</v>
      </c>
      <c r="O22" s="219">
        <f t="shared" si="14"/>
        <v>-1.913E-3</v>
      </c>
      <c r="P22" s="220"/>
      <c r="Q22" s="219">
        <f t="shared" ref="Q22:Q27" si="15">+O22</f>
        <v>-1.913E-3</v>
      </c>
      <c r="V22" s="214">
        <v>1100</v>
      </c>
      <c r="X22" s="301">
        <v>4.544586922735501E-2</v>
      </c>
      <c r="Z22" s="212">
        <f t="shared" si="10"/>
        <v>110.99</v>
      </c>
      <c r="AB22" s="212">
        <f t="shared" si="11"/>
        <v>120.22</v>
      </c>
      <c r="AD22" s="211">
        <f t="shared" si="5"/>
        <v>9.230000000000004</v>
      </c>
      <c r="AF22" s="210">
        <f t="shared" si="6"/>
        <v>8.3160645103162484E-2</v>
      </c>
    </row>
    <row r="23" spans="2:38">
      <c r="B23" s="510">
        <v>1200</v>
      </c>
      <c r="D23" s="507">
        <v>3.7536162660341398E-2</v>
      </c>
      <c r="F23" s="508">
        <f t="shared" si="12"/>
        <v>121.43</v>
      </c>
      <c r="H23" s="508">
        <f t="shared" si="13"/>
        <v>122.99</v>
      </c>
      <c r="J23" s="508">
        <f t="shared" si="1"/>
        <v>1.5599999999999881</v>
      </c>
      <c r="L23" s="509">
        <f t="shared" si="2"/>
        <v>1.2846907683438919E-2</v>
      </c>
      <c r="N23" s="218" t="s">
        <v>231</v>
      </c>
      <c r="O23" s="219">
        <f t="shared" si="14"/>
        <v>3.9050000000000001E-3</v>
      </c>
      <c r="P23" s="220"/>
      <c r="Q23" s="219">
        <f t="shared" si="15"/>
        <v>3.9050000000000001E-3</v>
      </c>
      <c r="V23" s="214">
        <v>1200</v>
      </c>
      <c r="X23" s="301">
        <v>3.7536162660341398E-2</v>
      </c>
      <c r="Z23" s="212">
        <f t="shared" si="10"/>
        <v>121.43</v>
      </c>
      <c r="AB23" s="212">
        <f t="shared" si="11"/>
        <v>132.53</v>
      </c>
      <c r="AD23" s="211">
        <f t="shared" si="5"/>
        <v>11.099999999999994</v>
      </c>
      <c r="AF23" s="210">
        <f t="shared" si="6"/>
        <v>9.1410689286008345E-2</v>
      </c>
      <c r="AH23" s="218" t="s">
        <v>233</v>
      </c>
      <c r="AI23" s="219">
        <f>+'Sch 95'!E7</f>
        <v>1.4876691186854057E-4</v>
      </c>
      <c r="AJ23" s="220"/>
      <c r="AK23" s="471">
        <v>0</v>
      </c>
    </row>
    <row r="24" spans="2:38">
      <c r="B24" s="214">
        <v>1300</v>
      </c>
      <c r="D24" s="301">
        <v>3.1178080200657907E-2</v>
      </c>
      <c r="F24" s="260">
        <f t="shared" si="12"/>
        <v>131.88</v>
      </c>
      <c r="H24" s="260">
        <f t="shared" si="13"/>
        <v>133.58000000000001</v>
      </c>
      <c r="J24" s="260">
        <f t="shared" si="1"/>
        <v>1.7000000000000171</v>
      </c>
      <c r="L24" s="210">
        <f t="shared" si="2"/>
        <v>1.2890506521079899E-2</v>
      </c>
      <c r="N24" s="218" t="s">
        <v>193</v>
      </c>
      <c r="O24" s="219">
        <f t="shared" si="14"/>
        <v>8.9541873144173675E-4</v>
      </c>
      <c r="P24" s="246" t="s">
        <v>21</v>
      </c>
      <c r="Q24" s="219">
        <f t="shared" si="15"/>
        <v>8.9541873144173675E-4</v>
      </c>
      <c r="V24" s="214">
        <v>1300</v>
      </c>
      <c r="X24" s="301">
        <v>3.1178080200657907E-2</v>
      </c>
      <c r="Z24" s="212">
        <f t="shared" si="10"/>
        <v>131.88</v>
      </c>
      <c r="AB24" s="212">
        <f t="shared" si="11"/>
        <v>144.84</v>
      </c>
      <c r="AD24" s="211">
        <f t="shared" si="5"/>
        <v>12.960000000000008</v>
      </c>
      <c r="AF24" s="210">
        <f t="shared" si="6"/>
        <v>9.8271155595996418E-2</v>
      </c>
      <c r="AH24" s="218" t="s">
        <v>232</v>
      </c>
      <c r="AI24" s="219">
        <f>+'Sch 95a'!E7</f>
        <v>-1.913E-3</v>
      </c>
      <c r="AJ24" s="220"/>
      <c r="AK24" s="219">
        <f t="shared" ref="AK24:AK35" si="16">+AI24</f>
        <v>-1.913E-3</v>
      </c>
    </row>
    <row r="25" spans="2:38">
      <c r="B25" s="214">
        <v>1400</v>
      </c>
      <c r="D25" s="301">
        <v>2.5973708518601729E-2</v>
      </c>
      <c r="F25" s="260">
        <f t="shared" si="12"/>
        <v>142.32</v>
      </c>
      <c r="H25" s="260">
        <f t="shared" si="13"/>
        <v>144.16999999999999</v>
      </c>
      <c r="J25" s="260">
        <f t="shared" si="1"/>
        <v>1.8499999999999943</v>
      </c>
      <c r="L25" s="210">
        <f t="shared" si="2"/>
        <v>1.2998875772906088E-2</v>
      </c>
      <c r="N25" s="220" t="s">
        <v>229</v>
      </c>
      <c r="O25" s="219">
        <f t="shared" si="14"/>
        <v>-7.2999999999999999E-5</v>
      </c>
      <c r="Q25" s="219">
        <f t="shared" si="15"/>
        <v>-7.2999999999999999E-5</v>
      </c>
      <c r="V25" s="214">
        <v>1400</v>
      </c>
      <c r="X25" s="301">
        <v>2.5973708518601729E-2</v>
      </c>
      <c r="Z25" s="212">
        <f t="shared" si="10"/>
        <v>142.32</v>
      </c>
      <c r="AB25" s="212">
        <f t="shared" si="11"/>
        <v>157.13999999999999</v>
      </c>
      <c r="AD25" s="211">
        <f t="shared" si="5"/>
        <v>14.819999999999993</v>
      </c>
      <c r="AF25" s="210">
        <f t="shared" si="6"/>
        <v>0.1041315345699831</v>
      </c>
      <c r="AH25" s="218" t="s">
        <v>231</v>
      </c>
      <c r="AI25" s="219">
        <f>+'Sch 120'!E7</f>
        <v>3.9050000000000001E-3</v>
      </c>
      <c r="AJ25" s="220"/>
      <c r="AK25" s="219">
        <f t="shared" si="16"/>
        <v>3.9050000000000001E-3</v>
      </c>
    </row>
    <row r="26" spans="2:38">
      <c r="B26" s="214">
        <v>1600</v>
      </c>
      <c r="C26" s="246" t="s">
        <v>21</v>
      </c>
      <c r="D26" s="301">
        <v>3.9766888902614754E-2</v>
      </c>
      <c r="F26" s="260">
        <f t="shared" si="12"/>
        <v>163.21</v>
      </c>
      <c r="H26" s="260">
        <f t="shared" si="13"/>
        <v>165.34</v>
      </c>
      <c r="J26" s="260">
        <f t="shared" si="1"/>
        <v>2.1299999999999955</v>
      </c>
      <c r="L26" s="210">
        <f t="shared" si="2"/>
        <v>1.305067091477235E-2</v>
      </c>
      <c r="N26" s="218" t="s">
        <v>205</v>
      </c>
      <c r="O26" s="219">
        <f t="shared" si="14"/>
        <v>3.228E-3</v>
      </c>
      <c r="Q26" s="219">
        <f t="shared" si="15"/>
        <v>3.228E-3</v>
      </c>
      <c r="V26" s="214">
        <v>1600</v>
      </c>
      <c r="W26" s="203" t="s">
        <v>21</v>
      </c>
      <c r="X26" s="301">
        <v>3.9766888902614754E-2</v>
      </c>
      <c r="Z26" s="212">
        <f t="shared" si="10"/>
        <v>163.21</v>
      </c>
      <c r="AB26" s="212">
        <f t="shared" si="11"/>
        <v>181.76</v>
      </c>
      <c r="AD26" s="211">
        <f t="shared" si="5"/>
        <v>18.549999999999983</v>
      </c>
      <c r="AF26" s="210">
        <f t="shared" si="6"/>
        <v>0.11365725139390957</v>
      </c>
      <c r="AH26" s="218" t="s">
        <v>193</v>
      </c>
      <c r="AI26" s="219">
        <f>+'Sch 129'!E7</f>
        <v>8.9541873144173675E-4</v>
      </c>
      <c r="AJ26" s="246" t="s">
        <v>21</v>
      </c>
      <c r="AK26" s="219">
        <f t="shared" si="16"/>
        <v>8.9541873144173675E-4</v>
      </c>
    </row>
    <row r="27" spans="2:38">
      <c r="B27" s="214">
        <v>2000</v>
      </c>
      <c r="D27" s="301">
        <v>4.8592345709331984E-2</v>
      </c>
      <c r="F27" s="260">
        <f t="shared" si="12"/>
        <v>204.98</v>
      </c>
      <c r="H27" s="260">
        <f t="shared" si="13"/>
        <v>207.69</v>
      </c>
      <c r="J27" s="260">
        <f t="shared" si="1"/>
        <v>2.710000000000008</v>
      </c>
      <c r="L27" s="210">
        <f t="shared" si="2"/>
        <v>1.3220802029466329E-2</v>
      </c>
      <c r="N27" s="218" t="s">
        <v>228</v>
      </c>
      <c r="O27" s="219">
        <f t="shared" si="14"/>
        <v>0</v>
      </c>
      <c r="P27" s="459"/>
      <c r="Q27" s="456">
        <f t="shared" si="15"/>
        <v>0</v>
      </c>
      <c r="V27" s="214">
        <v>2000</v>
      </c>
      <c r="X27" s="301">
        <v>4.8592345709331984E-2</v>
      </c>
      <c r="Z27" s="212">
        <f t="shared" si="10"/>
        <v>204.98</v>
      </c>
      <c r="AB27" s="212">
        <f t="shared" si="11"/>
        <v>230.99</v>
      </c>
      <c r="AD27" s="211">
        <f t="shared" si="5"/>
        <v>26.010000000000019</v>
      </c>
      <c r="AF27" s="210">
        <f t="shared" si="6"/>
        <v>0.12689042833447176</v>
      </c>
      <c r="AH27" s="220" t="s">
        <v>229</v>
      </c>
      <c r="AI27" s="317">
        <f>+'Sch 137'!E7</f>
        <v>-7.2999999999999999E-5</v>
      </c>
      <c r="AJ27" s="246"/>
      <c r="AK27" s="219">
        <f t="shared" si="16"/>
        <v>-7.2999999999999999E-5</v>
      </c>
    </row>
    <row r="28" spans="2:38">
      <c r="B28" s="214">
        <v>2500</v>
      </c>
      <c r="D28" s="301">
        <v>2.9858428654943849E-2</v>
      </c>
      <c r="F28" s="260">
        <f t="shared" si="12"/>
        <v>257.19</v>
      </c>
      <c r="H28" s="260">
        <f t="shared" si="13"/>
        <v>260.63</v>
      </c>
      <c r="J28" s="260">
        <f t="shared" si="1"/>
        <v>3.4399999999999977</v>
      </c>
      <c r="L28" s="210">
        <f t="shared" si="2"/>
        <v>1.3375325634744733E-2</v>
      </c>
      <c r="N28" s="218" t="s">
        <v>227</v>
      </c>
      <c r="O28" s="219">
        <f t="shared" si="14"/>
        <v>1.4250000000000096E-3</v>
      </c>
      <c r="Q28" s="471">
        <v>0</v>
      </c>
      <c r="V28" s="214">
        <v>2500</v>
      </c>
      <c r="X28" s="301">
        <v>2.9858428654943849E-2</v>
      </c>
      <c r="Z28" s="212">
        <f t="shared" si="10"/>
        <v>257.19</v>
      </c>
      <c r="AB28" s="212">
        <f t="shared" si="11"/>
        <v>292.52999999999997</v>
      </c>
      <c r="AD28" s="211">
        <f t="shared" si="5"/>
        <v>35.339999999999975</v>
      </c>
      <c r="AF28" s="210">
        <f t="shared" si="6"/>
        <v>0.13740814184066244</v>
      </c>
      <c r="AH28" s="218" t="s">
        <v>205</v>
      </c>
      <c r="AI28" s="317">
        <f>+'Sch 140'!E7</f>
        <v>3.228E-3</v>
      </c>
      <c r="AJ28" s="246"/>
      <c r="AK28" s="219">
        <f t="shared" si="16"/>
        <v>3.228E-3</v>
      </c>
    </row>
    <row r="29" spans="2:38">
      <c r="B29" s="214">
        <v>3000</v>
      </c>
      <c r="D29" s="301">
        <v>1.3961746018426398E-2</v>
      </c>
      <c r="F29" s="260">
        <f t="shared" si="12"/>
        <v>309.41000000000003</v>
      </c>
      <c r="H29" s="260">
        <f t="shared" si="13"/>
        <v>313.56</v>
      </c>
      <c r="J29" s="260">
        <f t="shared" si="1"/>
        <v>4.1499999999999773</v>
      </c>
      <c r="L29" s="210">
        <f t="shared" si="2"/>
        <v>1.3412624026372699E-2</v>
      </c>
      <c r="N29" s="218" t="s">
        <v>226</v>
      </c>
      <c r="O29" s="219">
        <f t="shared" si="14"/>
        <v>1.7339999999999994E-3</v>
      </c>
      <c r="Q29" s="471">
        <v>0</v>
      </c>
      <c r="V29" s="214">
        <v>3000</v>
      </c>
      <c r="W29" s="246"/>
      <c r="X29" s="301">
        <v>1.3961746018426398E-2</v>
      </c>
      <c r="Y29" s="246"/>
      <c r="Z29" s="260">
        <f t="shared" si="10"/>
        <v>309.41000000000003</v>
      </c>
      <c r="AA29" s="246"/>
      <c r="AB29" s="260">
        <f t="shared" si="11"/>
        <v>354.06</v>
      </c>
      <c r="AC29" s="246"/>
      <c r="AD29" s="260">
        <f t="shared" si="5"/>
        <v>44.649999999999977</v>
      </c>
      <c r="AE29" s="246"/>
      <c r="AF29" s="210">
        <f t="shared" si="6"/>
        <v>0.14430690669338408</v>
      </c>
      <c r="AH29" s="218" t="s">
        <v>228</v>
      </c>
      <c r="AI29" s="459">
        <f>+'UE-180899 Sch 141&amp;141x Rates'!$F$8</f>
        <v>0</v>
      </c>
      <c r="AJ29" s="459"/>
      <c r="AK29" s="456">
        <f t="shared" si="16"/>
        <v>0</v>
      </c>
    </row>
    <row r="30" spans="2:38">
      <c r="B30" s="214">
        <v>4000</v>
      </c>
      <c r="D30" s="301">
        <v>1.0088755753481414E-2</v>
      </c>
      <c r="F30" s="260">
        <f t="shared" si="12"/>
        <v>413.84</v>
      </c>
      <c r="H30" s="260">
        <f t="shared" si="13"/>
        <v>419.44</v>
      </c>
      <c r="J30" s="260">
        <f t="shared" si="1"/>
        <v>5.6000000000000227</v>
      </c>
      <c r="L30" s="210">
        <f t="shared" si="2"/>
        <v>1.3531799729364061E-2</v>
      </c>
      <c r="N30" s="218" t="s">
        <v>476</v>
      </c>
      <c r="O30" s="219">
        <f t="shared" si="14"/>
        <v>0</v>
      </c>
      <c r="P30" s="459"/>
      <c r="Q30" s="456">
        <f t="shared" ref="Q30" si="17">+O30</f>
        <v>0</v>
      </c>
      <c r="V30" s="214">
        <v>4000</v>
      </c>
      <c r="W30" s="246"/>
      <c r="X30" s="301">
        <v>1.0088755753481414E-2</v>
      </c>
      <c r="Y30" s="246"/>
      <c r="Z30" s="260">
        <f t="shared" si="10"/>
        <v>413.84</v>
      </c>
      <c r="AA30" s="246"/>
      <c r="AB30" s="260">
        <f t="shared" si="11"/>
        <v>477.14</v>
      </c>
      <c r="AC30" s="246"/>
      <c r="AD30" s="260">
        <f t="shared" si="5"/>
        <v>63.300000000000011</v>
      </c>
      <c r="AE30" s="246"/>
      <c r="AF30" s="210">
        <f t="shared" si="6"/>
        <v>0.15295766479798958</v>
      </c>
      <c r="AH30" s="218" t="s">
        <v>227</v>
      </c>
      <c r="AI30" s="317">
        <f>+'UE-180899 Sch 141&amp;141x Rates'!$F$11</f>
        <v>1.4250000000000096E-3</v>
      </c>
      <c r="AJ30" s="246"/>
      <c r="AK30" s="471">
        <v>0</v>
      </c>
    </row>
    <row r="31" spans="2:38">
      <c r="B31" s="214">
        <v>5000</v>
      </c>
      <c r="D31" s="301">
        <v>2.7152601607550167E-3</v>
      </c>
      <c r="F31" s="260">
        <f t="shared" si="12"/>
        <v>518.28</v>
      </c>
      <c r="H31" s="260">
        <f t="shared" si="13"/>
        <v>525.30999999999995</v>
      </c>
      <c r="J31" s="260">
        <f t="shared" si="1"/>
        <v>7.0299999999999727</v>
      </c>
      <c r="L31" s="210">
        <f t="shared" si="2"/>
        <v>1.3564096627305651E-2</v>
      </c>
      <c r="N31" s="218" t="s">
        <v>474</v>
      </c>
      <c r="O31" s="219">
        <f t="shared" si="14"/>
        <v>-1.4250000000000096E-3</v>
      </c>
      <c r="Q31" s="506">
        <f>O31</f>
        <v>-1.4250000000000096E-3</v>
      </c>
      <c r="V31" s="214">
        <v>5000</v>
      </c>
      <c r="W31" s="246"/>
      <c r="X31" s="301">
        <v>2.7152601607550167E-3</v>
      </c>
      <c r="Y31" s="246"/>
      <c r="Z31" s="260">
        <f t="shared" si="10"/>
        <v>518.28</v>
      </c>
      <c r="AA31" s="246"/>
      <c r="AB31" s="260">
        <f t="shared" si="11"/>
        <v>600.22</v>
      </c>
      <c r="AC31" s="246"/>
      <c r="AD31" s="260">
        <f t="shared" si="5"/>
        <v>81.940000000000055</v>
      </c>
      <c r="AE31" s="246"/>
      <c r="AF31" s="210">
        <f t="shared" si="6"/>
        <v>0.1580998687967895</v>
      </c>
      <c r="AH31" s="218" t="s">
        <v>226</v>
      </c>
      <c r="AI31" s="317">
        <f>+'UE-180899 Sch 141&amp;141x Rates'!$F$12</f>
        <v>1.7339999999999994E-3</v>
      </c>
      <c r="AJ31" s="246"/>
      <c r="AK31" s="471">
        <v>0</v>
      </c>
    </row>
    <row r="32" spans="2:38">
      <c r="B32" s="214" t="s">
        <v>224</v>
      </c>
      <c r="D32" s="301">
        <v>2.1572299851276714E-3</v>
      </c>
      <c r="F32" s="260"/>
      <c r="H32" s="260"/>
      <c r="J32" s="260"/>
      <c r="L32" s="210"/>
      <c r="N32" s="218" t="s">
        <v>475</v>
      </c>
      <c r="O32" s="219">
        <f t="shared" si="14"/>
        <v>-1.7339999999999994E-3</v>
      </c>
      <c r="Q32" s="506">
        <f>O32</f>
        <v>-1.7339999999999994E-3</v>
      </c>
      <c r="V32" s="214" t="s">
        <v>224</v>
      </c>
      <c r="W32" s="246"/>
      <c r="X32" s="301">
        <v>2.1572299851276714E-3</v>
      </c>
      <c r="Y32" s="246"/>
      <c r="Z32" s="260"/>
      <c r="AA32" s="246"/>
      <c r="AB32" s="260"/>
      <c r="AC32" s="246"/>
      <c r="AD32" s="260"/>
      <c r="AE32" s="246"/>
      <c r="AF32" s="210"/>
      <c r="AH32" s="218" t="s">
        <v>476</v>
      </c>
      <c r="AI32" s="459">
        <f>+'UE-180899 Sch 141&amp;141x Rates'!$G$8</f>
        <v>0</v>
      </c>
      <c r="AJ32" s="459"/>
      <c r="AK32" s="456">
        <f t="shared" si="16"/>
        <v>0</v>
      </c>
    </row>
    <row r="33" spans="2:37">
      <c r="N33" s="218" t="s">
        <v>477</v>
      </c>
      <c r="O33" s="219">
        <f t="shared" si="14"/>
        <v>-1.271E-3</v>
      </c>
      <c r="Q33" s="219">
        <f t="shared" ref="Q33" si="18">+O33</f>
        <v>-1.271E-3</v>
      </c>
      <c r="V33" s="209"/>
      <c r="W33" s="207"/>
      <c r="X33" s="208"/>
      <c r="Y33" s="207"/>
      <c r="Z33" s="208"/>
      <c r="AA33" s="207"/>
      <c r="AB33" s="208"/>
      <c r="AC33" s="207"/>
      <c r="AD33" s="207"/>
      <c r="AE33" s="207"/>
      <c r="AF33" s="206"/>
      <c r="AH33" s="218" t="s">
        <v>474</v>
      </c>
      <c r="AI33" s="317">
        <f>+'UE-180899 Sch 141&amp;141x Rates'!$G$11</f>
        <v>-1.4250000000000096E-3</v>
      </c>
      <c r="AJ33" s="246"/>
      <c r="AK33" s="471">
        <v>0</v>
      </c>
    </row>
    <row r="34" spans="2:37">
      <c r="N34" s="218" t="s">
        <v>211</v>
      </c>
      <c r="O34" s="219">
        <f t="shared" si="14"/>
        <v>6.2100000000000002E-4</v>
      </c>
      <c r="Q34" s="219">
        <f>+O34</f>
        <v>6.2100000000000002E-4</v>
      </c>
      <c r="V34" s="205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H34" s="218" t="s">
        <v>475</v>
      </c>
      <c r="AI34" s="317">
        <f>+'UE-180899 Sch 141&amp;141x Rates'!$G$12</f>
        <v>-1.7339999999999994E-3</v>
      </c>
      <c r="AJ34" s="246"/>
      <c r="AK34" s="471">
        <v>0</v>
      </c>
    </row>
    <row r="35" spans="2:37">
      <c r="N35" s="218" t="s">
        <v>225</v>
      </c>
      <c r="O35" s="219">
        <f t="shared" si="14"/>
        <v>-7.4058380000000005E-3</v>
      </c>
      <c r="Q35" s="219">
        <f>+O35</f>
        <v>-7.4058380000000005E-3</v>
      </c>
      <c r="V35" s="505" t="s">
        <v>223</v>
      </c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H35" s="218" t="s">
        <v>477</v>
      </c>
      <c r="AI35" s="317">
        <f>+'Sch 141y'!E7</f>
        <v>-1.271E-3</v>
      </c>
      <c r="AJ35" s="246"/>
      <c r="AK35" s="219">
        <f t="shared" si="16"/>
        <v>-1.271E-3</v>
      </c>
    </row>
    <row r="36" spans="2:37">
      <c r="B36" s="209"/>
      <c r="C36" s="207"/>
      <c r="D36" s="208"/>
      <c r="E36" s="207"/>
      <c r="F36" s="208"/>
      <c r="G36" s="207"/>
      <c r="H36" s="208"/>
      <c r="I36" s="207"/>
      <c r="J36" s="207"/>
      <c r="K36" s="207"/>
      <c r="L36" s="206"/>
      <c r="V36" s="532" t="s">
        <v>222</v>
      </c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H36" s="218" t="s">
        <v>211</v>
      </c>
      <c r="AI36" s="317">
        <f>+'Sch 142'!F7</f>
        <v>6.2100000000000002E-4</v>
      </c>
      <c r="AJ36" s="246"/>
      <c r="AK36" s="219">
        <f>+AI36</f>
        <v>6.2100000000000002E-4</v>
      </c>
    </row>
    <row r="37" spans="2:37" ht="6.75" customHeight="1">
      <c r="B37" s="205"/>
      <c r="V37" s="531" t="s">
        <v>572</v>
      </c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H37" s="218" t="s">
        <v>225</v>
      </c>
      <c r="AI37" s="317">
        <f>+'Sch 194'!$E$7</f>
        <v>-7.4058380000000005E-3</v>
      </c>
      <c r="AJ37" s="246"/>
      <c r="AK37" s="219">
        <f>+AI37</f>
        <v>-7.4058380000000005E-3</v>
      </c>
    </row>
    <row r="38" spans="2:37">
      <c r="B38" s="505" t="s">
        <v>223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V38" s="531" t="s">
        <v>501</v>
      </c>
      <c r="W38" s="531"/>
      <c r="X38" s="531"/>
      <c r="Y38" s="531"/>
      <c r="Z38" s="531"/>
      <c r="AA38" s="531"/>
      <c r="AB38" s="531"/>
      <c r="AC38" s="531"/>
      <c r="AD38" s="531"/>
      <c r="AE38" s="531"/>
      <c r="AF38" s="531"/>
    </row>
    <row r="39" spans="2:37">
      <c r="B39" s="521" t="s">
        <v>222</v>
      </c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V39" s="531" t="s">
        <v>478</v>
      </c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</row>
    <row r="40" spans="2:37" ht="16.5">
      <c r="B40" s="520" t="s">
        <v>572</v>
      </c>
      <c r="C40" s="520"/>
      <c r="D40" s="520"/>
      <c r="E40" s="520"/>
      <c r="F40" s="520"/>
      <c r="G40" s="520"/>
      <c r="H40" s="520"/>
      <c r="I40" s="520"/>
      <c r="J40" s="520"/>
      <c r="K40" s="520"/>
      <c r="L40" s="520"/>
      <c r="AH40" s="302" t="s">
        <v>336</v>
      </c>
      <c r="AI40" s="215">
        <v>7.6807806991604319E-2</v>
      </c>
    </row>
    <row r="41" spans="2:37">
      <c r="B41" s="520" t="s">
        <v>501</v>
      </c>
      <c r="C41" s="520"/>
      <c r="D41" s="520"/>
      <c r="E41" s="520"/>
      <c r="F41" s="520"/>
      <c r="G41" s="520"/>
      <c r="H41" s="520"/>
      <c r="I41" s="520"/>
      <c r="J41" s="520"/>
      <c r="K41" s="520"/>
      <c r="L41" s="520"/>
    </row>
    <row r="42" spans="2:37">
      <c r="B42" s="520" t="s">
        <v>478</v>
      </c>
      <c r="C42" s="520"/>
      <c r="D42" s="520"/>
      <c r="E42" s="520"/>
      <c r="F42" s="520"/>
      <c r="G42" s="520"/>
      <c r="H42" s="520"/>
      <c r="I42" s="520"/>
      <c r="J42" s="520"/>
      <c r="K42" s="520"/>
      <c r="L42" s="520"/>
    </row>
    <row r="48" spans="2:37">
      <c r="N48" s="246" t="s">
        <v>583</v>
      </c>
      <c r="AH48" s="203" t="s">
        <v>586</v>
      </c>
    </row>
    <row r="50" spans="14:15">
      <c r="N50" s="246" t="s">
        <v>625</v>
      </c>
    </row>
    <row r="51" spans="14:15">
      <c r="N51" s="246" t="s">
        <v>588</v>
      </c>
      <c r="O51" s="511">
        <f>SUM(D9:D13)</f>
        <v>6.2736109802095749E-2</v>
      </c>
    </row>
    <row r="52" spans="14:15">
      <c r="N52" s="246" t="s">
        <v>589</v>
      </c>
      <c r="O52" s="301">
        <f>SUM(D14:D23)</f>
        <v>0.7329714462939636</v>
      </c>
    </row>
    <row r="53" spans="14:15">
      <c r="N53" s="246" t="s">
        <v>590</v>
      </c>
      <c r="O53" s="301">
        <f>SUM(D24:D32)</f>
        <v>0.20429244390394075</v>
      </c>
    </row>
    <row r="55" spans="14:15">
      <c r="N55" s="246" t="s">
        <v>626</v>
      </c>
    </row>
    <row r="56" spans="14:15">
      <c r="N56" s="246" t="s">
        <v>253</v>
      </c>
      <c r="O56" s="316">
        <f>O9</f>
        <v>7.49</v>
      </c>
    </row>
    <row r="57" spans="14:15">
      <c r="N57" s="246" t="s">
        <v>627</v>
      </c>
      <c r="O57" s="260">
        <f>F20-O56</f>
        <v>82.61</v>
      </c>
    </row>
  </sheetData>
  <mergeCells count="16">
    <mergeCell ref="J7:L7"/>
    <mergeCell ref="F6:L6"/>
    <mergeCell ref="B1:Q1"/>
    <mergeCell ref="B2:Q2"/>
    <mergeCell ref="B3:Q3"/>
    <mergeCell ref="B4:Q4"/>
    <mergeCell ref="V38:AF38"/>
    <mergeCell ref="V39:AF39"/>
    <mergeCell ref="V37:AF37"/>
    <mergeCell ref="AD7:AF7"/>
    <mergeCell ref="V36:AF36"/>
    <mergeCell ref="Z6:AF6"/>
    <mergeCell ref="V1:AK1"/>
    <mergeCell ref="V2:AK2"/>
    <mergeCell ref="V3:AK3"/>
    <mergeCell ref="V4:AK4"/>
  </mergeCells>
  <printOptions horizontalCentered="1"/>
  <pageMargins left="0.7" right="0.7" top="0.75" bottom="0.71" header="0.3" footer="0.3"/>
  <pageSetup scale="80" orientation="landscape" r:id="rId1"/>
  <headerFooter alignWithMargins="0">
    <oddHeader>&amp;R&amp;"Times New Roman,Regular"Exh. JLB-7
Dockets UE-190529/UG-190530 and 
UE-190274/UG-190275 &amp;"Times New Roman,Italic"(consolidated)
&amp;"Times New Roman,Regular"Page &amp;P of &amp;N</oddHeader>
  </headerFooter>
  <customProperties>
    <customPr name="_pios_id" r:id="rId2"/>
  </customProperties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7"/>
  <sheetViews>
    <sheetView workbookViewId="0">
      <selection sqref="A1:I1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6" width="10.7109375" style="1" bestFit="1" customWidth="1"/>
    <col min="7" max="7" width="15.140625" style="1" bestFit="1" customWidth="1"/>
    <col min="8" max="8" width="11.85546875" style="1" bestFit="1" customWidth="1"/>
    <col min="9" max="9" width="10.7109375" style="1" bestFit="1" customWidth="1"/>
    <col min="10" max="16384" width="8.85546875" style="1"/>
  </cols>
  <sheetData>
    <row r="1" spans="1:9">
      <c r="A1" s="557" t="s">
        <v>0</v>
      </c>
      <c r="B1" s="557"/>
      <c r="C1" s="557"/>
      <c r="D1" s="557"/>
      <c r="E1" s="557"/>
      <c r="F1" s="557"/>
      <c r="G1" s="557"/>
      <c r="H1" s="557"/>
      <c r="I1" s="557"/>
    </row>
    <row r="2" spans="1:9">
      <c r="A2" s="557" t="s">
        <v>138</v>
      </c>
      <c r="B2" s="557"/>
      <c r="C2" s="557"/>
      <c r="D2" s="557"/>
      <c r="E2" s="557"/>
      <c r="F2" s="557"/>
      <c r="G2" s="557"/>
      <c r="H2" s="557"/>
      <c r="I2" s="557"/>
    </row>
    <row r="3" spans="1:9">
      <c r="A3" s="558" t="s">
        <v>427</v>
      </c>
      <c r="B3" s="557"/>
      <c r="C3" s="557"/>
      <c r="D3" s="557"/>
      <c r="E3" s="557"/>
      <c r="F3" s="557"/>
      <c r="G3" s="557"/>
      <c r="H3" s="557"/>
      <c r="I3" s="557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76.5">
      <c r="A5" s="68" t="s">
        <v>2</v>
      </c>
      <c r="B5" s="68" t="s">
        <v>139</v>
      </c>
      <c r="C5" s="68" t="s">
        <v>130</v>
      </c>
      <c r="D5" s="69" t="s">
        <v>428</v>
      </c>
      <c r="E5" s="69" t="s">
        <v>429</v>
      </c>
      <c r="F5" s="69" t="s">
        <v>430</v>
      </c>
      <c r="G5" s="69" t="s">
        <v>431</v>
      </c>
      <c r="H5" s="69" t="s">
        <v>140</v>
      </c>
      <c r="I5" s="69" t="s">
        <v>141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3">
        <v>7</v>
      </c>
      <c r="D8" s="78">
        <v>10838149000</v>
      </c>
      <c r="E8" s="78">
        <v>1075024000</v>
      </c>
      <c r="F8" s="80">
        <v>3.4720000000000003E-3</v>
      </c>
      <c r="G8" s="80">
        <v>3.228E-3</v>
      </c>
      <c r="H8" s="79">
        <v>-2644508.3560000034</v>
      </c>
      <c r="I8" s="81">
        <v>-2.3767570414992474E-3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3.4720000000000003E-3</v>
      </c>
      <c r="G9" s="85">
        <v>3.228E-3</v>
      </c>
      <c r="H9" s="84">
        <v>-2644508.3560000034</v>
      </c>
      <c r="I9" s="86">
        <v>-2.3767570414992474E-3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4" t="s">
        <v>133</v>
      </c>
      <c r="D12" s="87">
        <v>3117609000</v>
      </c>
      <c r="E12" s="87">
        <v>315731000</v>
      </c>
      <c r="F12" s="80">
        <v>2.6289999999999998E-3</v>
      </c>
      <c r="G12" s="80">
        <v>2.4450000000000001E-3</v>
      </c>
      <c r="H12" s="88">
        <v>-573640.05599999905</v>
      </c>
      <c r="I12" s="90">
        <v>-1.7708919365750275E-3</v>
      </c>
    </row>
    <row r="13" spans="1:9">
      <c r="A13" s="74">
        <v>7</v>
      </c>
      <c r="B13" s="91" t="s">
        <v>153</v>
      </c>
      <c r="C13" s="344" t="s">
        <v>154</v>
      </c>
      <c r="D13" s="87">
        <v>3283168000</v>
      </c>
      <c r="E13" s="87">
        <v>310810000</v>
      </c>
      <c r="F13" s="80">
        <v>2.467E-3</v>
      </c>
      <c r="G13" s="80">
        <v>2.1359999999999999E-3</v>
      </c>
      <c r="H13" s="88">
        <v>-1086728.6080000005</v>
      </c>
      <c r="I13" s="90">
        <v>-3.4076386902027554E-3</v>
      </c>
    </row>
    <row r="14" spans="1:9">
      <c r="A14" s="74">
        <v>8</v>
      </c>
      <c r="B14" s="91" t="s">
        <v>155</v>
      </c>
      <c r="C14" s="344" t="s">
        <v>204</v>
      </c>
      <c r="D14" s="87">
        <v>1942526000</v>
      </c>
      <c r="E14" s="87">
        <v>167048000</v>
      </c>
      <c r="F14" s="80">
        <v>2.2649999999999997E-3</v>
      </c>
      <c r="G14" s="80">
        <v>2.0959999999999998E-3</v>
      </c>
      <c r="H14" s="88">
        <v>-328286.89399999974</v>
      </c>
      <c r="I14" s="90">
        <v>-1.9147918669274364E-3</v>
      </c>
    </row>
    <row r="15" spans="1:9">
      <c r="A15" s="74">
        <v>9</v>
      </c>
      <c r="B15" s="77" t="s">
        <v>156</v>
      </c>
      <c r="C15" s="343">
        <v>29</v>
      </c>
      <c r="D15" s="87">
        <v>16292000</v>
      </c>
      <c r="E15" s="87">
        <v>1238000</v>
      </c>
      <c r="F15" s="80">
        <v>2.467E-3</v>
      </c>
      <c r="G15" s="80">
        <v>2.1359999999999999E-3</v>
      </c>
      <c r="H15" s="88">
        <v>-5392.6520000000019</v>
      </c>
      <c r="I15" s="90">
        <v>-4.2189674667779519E-3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2.4804770172478455E-3</v>
      </c>
      <c r="G16" s="85">
        <v>2.2419429483126873E-3</v>
      </c>
      <c r="H16" s="84">
        <v>-1994048.2099999993</v>
      </c>
      <c r="I16" s="86">
        <v>-2.4449965727989884E-3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4" t="s">
        <v>136</v>
      </c>
      <c r="D19" s="87">
        <v>1420073000</v>
      </c>
      <c r="E19" s="87">
        <v>119174000</v>
      </c>
      <c r="F19" s="80">
        <v>2.2539999999999999E-3</v>
      </c>
      <c r="G19" s="89">
        <v>1.9780000000000002E-3</v>
      </c>
      <c r="H19" s="88">
        <v>-391940.1479999997</v>
      </c>
      <c r="I19" s="90">
        <v>-3.2027836232754749E-3</v>
      </c>
    </row>
    <row r="20" spans="1:9">
      <c r="A20" s="74">
        <v>14</v>
      </c>
      <c r="B20" s="77" t="s">
        <v>156</v>
      </c>
      <c r="C20" s="343">
        <v>35</v>
      </c>
      <c r="D20" s="87">
        <v>5174000</v>
      </c>
      <c r="E20" s="87">
        <v>290000</v>
      </c>
      <c r="F20" s="80">
        <v>2.2539999999999999E-3</v>
      </c>
      <c r="G20" s="89">
        <v>1.9780000000000002E-3</v>
      </c>
      <c r="H20" s="88">
        <v>-1428.0239999999988</v>
      </c>
      <c r="I20" s="90">
        <v>-4.733851370623844E-3</v>
      </c>
    </row>
    <row r="21" spans="1:9">
      <c r="A21" s="74">
        <v>15</v>
      </c>
      <c r="B21" s="77" t="s">
        <v>159</v>
      </c>
      <c r="C21" s="343">
        <v>43</v>
      </c>
      <c r="D21" s="87">
        <v>127202000</v>
      </c>
      <c r="E21" s="87">
        <v>11686000</v>
      </c>
      <c r="F21" s="80">
        <v>3.2960000000000003E-3</v>
      </c>
      <c r="G21" s="89">
        <v>2.8159999999999999E-3</v>
      </c>
      <c r="H21" s="88">
        <v>-61056.96000000005</v>
      </c>
      <c r="I21" s="90">
        <v>-5.0438380618668659E-3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2.3393776735982953E-3</v>
      </c>
      <c r="G22" s="85">
        <v>2.0466626588055391E-3</v>
      </c>
      <c r="H22" s="84">
        <v>-454425.13199999975</v>
      </c>
      <c r="I22" s="86">
        <v>-3.3715624185855862E-3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3">
        <v>40</v>
      </c>
      <c r="D24" s="83">
        <v>586597000</v>
      </c>
      <c r="E24" s="83">
        <v>45383000</v>
      </c>
      <c r="F24" s="85">
        <v>2.104E-3</v>
      </c>
      <c r="G24" s="85">
        <v>2.186E-3</v>
      </c>
      <c r="H24" s="84">
        <v>48100.954000000027</v>
      </c>
      <c r="I24" s="86">
        <v>1.0318284647983817E-3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3">
        <v>46</v>
      </c>
      <c r="D27" s="87">
        <v>76029000</v>
      </c>
      <c r="E27" s="87">
        <v>5327000</v>
      </c>
      <c r="F27" s="89">
        <v>1.6520000000000003E-3</v>
      </c>
      <c r="G27" s="89">
        <v>1.5579999999999999E-3</v>
      </c>
      <c r="H27" s="88">
        <v>-7146.7260000000251</v>
      </c>
      <c r="I27" s="90">
        <v>-1.3107006053230533E-3</v>
      </c>
    </row>
    <row r="28" spans="1:9">
      <c r="A28" s="74">
        <v>22</v>
      </c>
      <c r="B28" s="91" t="s">
        <v>158</v>
      </c>
      <c r="C28" s="343">
        <v>49</v>
      </c>
      <c r="D28" s="87">
        <v>606297000</v>
      </c>
      <c r="E28" s="87">
        <v>42056000</v>
      </c>
      <c r="F28" s="89">
        <v>1.6520000000000003E-3</v>
      </c>
      <c r="G28" s="89">
        <v>1.5579999999999999E-3</v>
      </c>
      <c r="H28" s="88">
        <v>-56991.918000000202</v>
      </c>
      <c r="I28" s="90">
        <v>-1.3236203248752382E-3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1.6520000000000003E-3</v>
      </c>
      <c r="G29" s="85">
        <v>1.5579999999999997E-3</v>
      </c>
      <c r="H29" s="84">
        <v>-64138.644000000226</v>
      </c>
      <c r="I29" s="86">
        <v>-1.3221681342444917E-3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3" t="s">
        <v>17</v>
      </c>
      <c r="D31" s="83">
        <v>71427000</v>
      </c>
      <c r="E31" s="83">
        <v>17031000</v>
      </c>
      <c r="F31" s="85">
        <v>9.2829999999999996E-3</v>
      </c>
      <c r="G31" s="85">
        <v>9.1549999999999999E-3</v>
      </c>
      <c r="H31" s="84">
        <v>-9142.6559999999736</v>
      </c>
      <c r="I31" s="86">
        <v>-5.1670773311945949E-4</v>
      </c>
    </row>
    <row r="32" spans="1:9">
      <c r="A32" s="74">
        <v>26</v>
      </c>
      <c r="B32" s="205"/>
      <c r="C32" s="343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3" t="s">
        <v>18</v>
      </c>
      <c r="D33" s="83">
        <v>2024995000</v>
      </c>
      <c r="E33" s="83">
        <v>10680000</v>
      </c>
      <c r="F33" s="85">
        <v>2.9999999999999997E-5</v>
      </c>
      <c r="G33" s="85">
        <v>2.4999999999999998E-5</v>
      </c>
      <c r="H33" s="84">
        <v>-10124.974999999999</v>
      </c>
      <c r="I33" s="86">
        <v>-9.4266928672582379E-4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2.6987915616893975E-3</v>
      </c>
      <c r="G35" s="99">
        <v>2.486136674247119E-3</v>
      </c>
      <c r="H35" s="98">
        <v>-5128287.0190000031</v>
      </c>
      <c r="I35" s="100">
        <v>-2.3453667487624706E-3</v>
      </c>
    </row>
    <row r="36" spans="1:9" ht="13.5" thickTop="1"/>
    <row r="37" spans="1:9">
      <c r="G37" s="430"/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Y49"/>
  <sheetViews>
    <sheetView workbookViewId="0"/>
  </sheetViews>
  <sheetFormatPr defaultRowHeight="15" customHeight="1"/>
  <cols>
    <col min="1" max="1" width="2.42578125" customWidth="1"/>
    <col min="2" max="2" width="4.85546875" bestFit="1" customWidth="1"/>
    <col min="3" max="3" width="2.42578125" customWidth="1"/>
    <col min="4" max="4" width="37.28515625" bestFit="1" customWidth="1"/>
    <col min="5" max="5" width="2.42578125" customWidth="1"/>
    <col min="6" max="6" width="11.140625" bestFit="1" customWidth="1"/>
    <col min="7" max="7" width="2.42578125" customWidth="1"/>
    <col min="8" max="8" width="10.7109375" bestFit="1" customWidth="1"/>
    <col min="9" max="9" width="2.42578125" customWidth="1"/>
    <col min="10" max="10" width="11.7109375" bestFit="1" customWidth="1"/>
    <col min="11" max="11" width="2.42578125" customWidth="1"/>
    <col min="12" max="12" width="11" bestFit="1" customWidth="1"/>
    <col min="13" max="13" width="2.42578125" customWidth="1"/>
    <col min="14" max="14" width="11" bestFit="1" customWidth="1"/>
    <col min="15" max="15" width="2.42578125" customWidth="1"/>
    <col min="16" max="16" width="8.28515625" bestFit="1" customWidth="1"/>
    <col min="17" max="17" width="7" bestFit="1" customWidth="1"/>
    <col min="18" max="18" width="2.42578125" customWidth="1"/>
    <col min="19" max="19" width="11.7109375" bestFit="1" customWidth="1"/>
    <col min="20" max="20" width="2.42578125" customWidth="1"/>
    <col min="21" max="21" width="14.7109375" customWidth="1"/>
    <col min="22" max="22" width="10.28515625" bestFit="1" customWidth="1"/>
    <col min="24" max="24" width="11.7109375" bestFit="1" customWidth="1"/>
    <col min="25" max="25" width="12.28515625" bestFit="1" customWidth="1"/>
  </cols>
  <sheetData>
    <row r="1" spans="1:25" ht="15" customHeight="1">
      <c r="A1" s="250"/>
      <c r="B1" s="250"/>
      <c r="C1" s="17"/>
      <c r="D1" s="18"/>
      <c r="E1" s="19"/>
      <c r="F1" s="19"/>
      <c r="G1" s="19"/>
      <c r="H1" s="250"/>
      <c r="I1" s="250"/>
      <c r="J1" s="250"/>
      <c r="K1" s="250"/>
      <c r="L1" s="250"/>
      <c r="M1" s="250"/>
      <c r="N1" s="250" t="s">
        <v>21</v>
      </c>
      <c r="O1" s="250"/>
      <c r="P1" s="250"/>
      <c r="Q1" s="250"/>
      <c r="R1" s="250"/>
      <c r="S1" s="250"/>
      <c r="T1" s="250"/>
      <c r="U1" s="250"/>
      <c r="V1" s="250"/>
    </row>
    <row r="2" spans="1:25" ht="15" customHeight="1">
      <c r="A2" s="250"/>
      <c r="B2" s="541" t="s">
        <v>22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20"/>
      <c r="T2" s="250"/>
      <c r="U2" s="250"/>
      <c r="V2" s="250"/>
    </row>
    <row r="3" spans="1:25" ht="15" customHeight="1">
      <c r="A3" s="250"/>
      <c r="B3" s="542" t="s">
        <v>23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21"/>
      <c r="T3" s="21"/>
      <c r="U3" s="250"/>
      <c r="V3" s="250"/>
    </row>
    <row r="4" spans="1:25" ht="15" customHeight="1">
      <c r="A4" s="250"/>
      <c r="B4" s="541" t="s">
        <v>460</v>
      </c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21"/>
      <c r="T4" s="21"/>
      <c r="U4" s="250"/>
      <c r="V4" s="250"/>
    </row>
    <row r="5" spans="1:25" ht="15" customHeight="1">
      <c r="A5" s="250"/>
      <c r="B5" s="541" t="s">
        <v>24</v>
      </c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21"/>
      <c r="T5" s="21"/>
      <c r="U5" s="250"/>
      <c r="V5" s="250"/>
    </row>
    <row r="6" spans="1:25" ht="15" customHeight="1">
      <c r="A6" s="250"/>
      <c r="B6" s="541" t="s">
        <v>461</v>
      </c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21"/>
      <c r="T6" s="21"/>
      <c r="U6" s="250"/>
      <c r="V6" s="250"/>
    </row>
    <row r="7" spans="1:25" ht="15" customHeight="1">
      <c r="A7" s="250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20"/>
      <c r="T7" s="20"/>
      <c r="U7" s="250"/>
      <c r="V7" s="250"/>
    </row>
    <row r="8" spans="1:25" ht="15" customHeight="1">
      <c r="A8" s="250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20"/>
      <c r="S8" s="20"/>
      <c r="T8" s="20"/>
      <c r="U8" s="250"/>
      <c r="V8" s="250"/>
    </row>
    <row r="9" spans="1:25" ht="15" customHeight="1">
      <c r="A9" s="250"/>
      <c r="B9" s="250"/>
      <c r="C9" s="250"/>
      <c r="D9" s="19"/>
      <c r="E9" s="19"/>
      <c r="F9" s="19"/>
      <c r="G9" s="19"/>
      <c r="H9" s="250"/>
      <c r="I9" s="250"/>
      <c r="J9" s="250"/>
      <c r="K9" s="257"/>
      <c r="L9" s="22"/>
      <c r="M9" s="23"/>
      <c r="N9" s="544" t="s">
        <v>462</v>
      </c>
      <c r="O9" s="545"/>
      <c r="P9" s="545"/>
      <c r="Q9" s="546"/>
      <c r="R9" s="23"/>
      <c r="S9" s="24"/>
      <c r="T9" s="23"/>
      <c r="U9" s="250"/>
      <c r="V9" s="250"/>
    </row>
    <row r="10" spans="1:25" ht="15" customHeight="1">
      <c r="A10" s="250"/>
      <c r="B10" s="250"/>
      <c r="C10" s="250"/>
      <c r="D10" s="19"/>
      <c r="E10" s="19"/>
      <c r="F10" s="19"/>
      <c r="G10" s="19"/>
      <c r="H10" s="250"/>
      <c r="I10" s="250"/>
      <c r="J10" s="250"/>
      <c r="K10" s="250"/>
      <c r="L10" s="287" t="s">
        <v>25</v>
      </c>
      <c r="M10" s="25"/>
      <c r="N10" s="547" t="s">
        <v>26</v>
      </c>
      <c r="O10" s="548"/>
      <c r="P10" s="548"/>
      <c r="Q10" s="549"/>
      <c r="R10" s="25"/>
      <c r="S10" s="31"/>
      <c r="T10" s="25"/>
      <c r="U10" s="250"/>
      <c r="V10" s="250"/>
    </row>
    <row r="11" spans="1:25" ht="15" customHeight="1">
      <c r="A11" s="250"/>
      <c r="B11" s="250"/>
      <c r="C11" s="250"/>
      <c r="D11" s="19"/>
      <c r="E11" s="19"/>
      <c r="F11" s="26" t="s">
        <v>27</v>
      </c>
      <c r="G11" s="27"/>
      <c r="H11" s="250"/>
      <c r="I11" s="250"/>
      <c r="J11" s="250"/>
      <c r="K11" s="250"/>
      <c r="L11" s="31" t="s">
        <v>28</v>
      </c>
      <c r="M11" s="28"/>
      <c r="N11" s="31" t="s">
        <v>28</v>
      </c>
      <c r="O11" s="31"/>
      <c r="P11" s="29" t="s">
        <v>21</v>
      </c>
      <c r="Q11" s="29"/>
      <c r="R11" s="29"/>
      <c r="S11" s="31" t="s">
        <v>26</v>
      </c>
      <c r="T11" s="287"/>
      <c r="U11" s="559" t="s">
        <v>29</v>
      </c>
      <c r="V11" s="560" t="s">
        <v>30</v>
      </c>
    </row>
    <row r="12" spans="1:25" ht="15" customHeight="1">
      <c r="A12" s="250"/>
      <c r="B12" s="287" t="s">
        <v>31</v>
      </c>
      <c r="C12" s="250"/>
      <c r="D12" s="19"/>
      <c r="E12" s="19"/>
      <c r="F12" s="27" t="s">
        <v>32</v>
      </c>
      <c r="G12" s="27"/>
      <c r="H12" s="287" t="s">
        <v>33</v>
      </c>
      <c r="I12" s="250"/>
      <c r="J12" s="250"/>
      <c r="K12" s="250"/>
      <c r="L12" s="287" t="s">
        <v>34</v>
      </c>
      <c r="M12" s="287"/>
      <c r="N12" s="186" t="s">
        <v>34</v>
      </c>
      <c r="O12" s="287"/>
      <c r="P12" s="30" t="s">
        <v>35</v>
      </c>
      <c r="Q12" s="287" t="s">
        <v>28</v>
      </c>
      <c r="R12" s="287"/>
      <c r="S12" s="287" t="s">
        <v>36</v>
      </c>
      <c r="T12" s="31"/>
      <c r="U12" s="559"/>
      <c r="V12" s="560"/>
      <c r="X12" s="186" t="s">
        <v>464</v>
      </c>
      <c r="Y12" s="186" t="s">
        <v>465</v>
      </c>
    </row>
    <row r="13" spans="1:25" ht="15" customHeight="1">
      <c r="A13" s="250"/>
      <c r="B13" s="32" t="s">
        <v>37</v>
      </c>
      <c r="C13" s="250"/>
      <c r="D13" s="33" t="s">
        <v>38</v>
      </c>
      <c r="E13" s="19"/>
      <c r="F13" s="33" t="s">
        <v>37</v>
      </c>
      <c r="G13" s="34"/>
      <c r="H13" s="338" t="s">
        <v>39</v>
      </c>
      <c r="I13" s="250"/>
      <c r="J13" s="338" t="s">
        <v>40</v>
      </c>
      <c r="K13" s="250"/>
      <c r="L13" s="35" t="s">
        <v>41</v>
      </c>
      <c r="M13" s="31"/>
      <c r="N13" s="187" t="s">
        <v>41</v>
      </c>
      <c r="O13" s="36"/>
      <c r="P13" s="37" t="s">
        <v>41</v>
      </c>
      <c r="Q13" s="338" t="s">
        <v>42</v>
      </c>
      <c r="R13" s="31"/>
      <c r="S13" s="35" t="s">
        <v>43</v>
      </c>
      <c r="T13" s="31"/>
      <c r="U13" s="187" t="s">
        <v>41</v>
      </c>
      <c r="V13" s="187" t="s">
        <v>41</v>
      </c>
      <c r="X13" s="187" t="s">
        <v>463</v>
      </c>
      <c r="Y13" s="187" t="s">
        <v>463</v>
      </c>
    </row>
    <row r="14" spans="1:25" ht="15" customHeight="1">
      <c r="A14" s="250"/>
      <c r="B14" s="38"/>
      <c r="C14" s="250"/>
      <c r="D14" s="30" t="s">
        <v>44</v>
      </c>
      <c r="E14" s="19"/>
      <c r="F14" s="30" t="s">
        <v>45</v>
      </c>
      <c r="G14" s="27"/>
      <c r="H14" s="30" t="s">
        <v>46</v>
      </c>
      <c r="I14" s="250"/>
      <c r="J14" s="30" t="s">
        <v>47</v>
      </c>
      <c r="K14" s="250"/>
      <c r="L14" s="30" t="s">
        <v>48</v>
      </c>
      <c r="M14" s="30"/>
      <c r="N14" s="30" t="s">
        <v>49</v>
      </c>
      <c r="O14" s="30"/>
      <c r="P14" s="30" t="s">
        <v>50</v>
      </c>
      <c r="Q14" s="30" t="s">
        <v>51</v>
      </c>
      <c r="R14" s="30"/>
      <c r="S14" s="30" t="s">
        <v>52</v>
      </c>
      <c r="T14" s="28"/>
      <c r="U14" s="250"/>
      <c r="V14" s="250"/>
    </row>
    <row r="15" spans="1:25" ht="15" customHeight="1">
      <c r="A15" s="250"/>
      <c r="B15" s="250"/>
      <c r="C15" s="250"/>
      <c r="D15" s="19"/>
      <c r="E15" s="19"/>
      <c r="F15" s="19"/>
      <c r="G15" s="19"/>
      <c r="H15" s="250"/>
      <c r="I15" s="250"/>
      <c r="J15" s="250"/>
      <c r="K15" s="250"/>
      <c r="L15" s="250"/>
      <c r="M15" s="30"/>
      <c r="N15" s="30" t="s">
        <v>21</v>
      </c>
      <c r="O15" s="250"/>
      <c r="P15" s="30" t="s">
        <v>53</v>
      </c>
      <c r="Q15" s="30" t="s">
        <v>54</v>
      </c>
      <c r="R15" s="250"/>
      <c r="S15" s="30" t="s">
        <v>55</v>
      </c>
      <c r="T15" s="257"/>
      <c r="U15" s="250"/>
      <c r="V15" s="250"/>
    </row>
    <row r="16" spans="1:25" ht="15" customHeight="1">
      <c r="A16" s="250"/>
      <c r="B16" s="250"/>
      <c r="C16" s="250"/>
      <c r="D16" s="39" t="s">
        <v>56</v>
      </c>
      <c r="E16" s="19"/>
      <c r="F16" s="19"/>
      <c r="G16" s="19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7"/>
      <c r="U16" s="250"/>
      <c r="V16" s="250"/>
    </row>
    <row r="17" spans="1:25" ht="15" customHeight="1">
      <c r="A17" s="250"/>
      <c r="B17" s="287">
        <v>1</v>
      </c>
      <c r="C17" s="250"/>
      <c r="D17" s="19" t="s">
        <v>56</v>
      </c>
      <c r="E17" s="19"/>
      <c r="F17" s="26">
        <v>7</v>
      </c>
      <c r="G17" s="26"/>
      <c r="H17" s="256">
        <v>1023208</v>
      </c>
      <c r="I17" s="250"/>
      <c r="J17" s="256">
        <v>10657340</v>
      </c>
      <c r="K17" s="250"/>
      <c r="L17" s="40">
        <v>1109032.567</v>
      </c>
      <c r="M17" s="40"/>
      <c r="N17" s="40">
        <v>1125619</v>
      </c>
      <c r="O17" s="40"/>
      <c r="P17" s="40">
        <v>16586.432999999961</v>
      </c>
      <c r="Q17" s="325">
        <v>1.4955767299843378E-2</v>
      </c>
      <c r="R17" s="41"/>
      <c r="S17" s="42">
        <v>10.561913197852373</v>
      </c>
      <c r="T17" s="43"/>
      <c r="U17" s="40"/>
      <c r="V17" s="40"/>
      <c r="X17" s="453">
        <f>ROUND(+P17/J17,6)</f>
        <v>1.5560000000000001E-3</v>
      </c>
      <c r="Y17" s="453">
        <f>-X17</f>
        <v>-1.5560000000000001E-3</v>
      </c>
    </row>
    <row r="18" spans="1:25" ht="15" customHeight="1">
      <c r="A18" s="250"/>
      <c r="B18" s="245">
        <v>2</v>
      </c>
      <c r="C18" s="250"/>
      <c r="D18" s="44" t="s">
        <v>57</v>
      </c>
      <c r="E18" s="19"/>
      <c r="F18" s="19"/>
      <c r="G18" s="19"/>
      <c r="H18" s="45">
        <v>1023208</v>
      </c>
      <c r="I18" s="250"/>
      <c r="J18" s="45">
        <v>10657340</v>
      </c>
      <c r="K18" s="250"/>
      <c r="L18" s="46">
        <v>1109032.567</v>
      </c>
      <c r="M18" s="40"/>
      <c r="N18" s="46">
        <v>1125619</v>
      </c>
      <c r="O18" s="40"/>
      <c r="P18" s="46">
        <v>16586.432999999961</v>
      </c>
      <c r="Q18" s="326">
        <v>1.4955767299843378E-2</v>
      </c>
      <c r="R18" s="41"/>
      <c r="S18" s="47">
        <v>10.561913197852373</v>
      </c>
      <c r="T18" s="43"/>
      <c r="U18" s="327">
        <v>16586.892521964</v>
      </c>
      <c r="V18" s="327">
        <v>-0.45952196403959533</v>
      </c>
    </row>
    <row r="19" spans="1:25" ht="15" customHeight="1">
      <c r="A19" s="250"/>
      <c r="B19" s="250"/>
      <c r="C19" s="250"/>
      <c r="D19" s="19"/>
      <c r="E19" s="19"/>
      <c r="F19" s="19"/>
      <c r="G19" s="19"/>
      <c r="H19" s="250"/>
      <c r="I19" s="250"/>
      <c r="J19" s="250" t="s">
        <v>21</v>
      </c>
      <c r="K19" s="250"/>
      <c r="L19" s="48"/>
      <c r="M19" s="48"/>
      <c r="N19" s="48"/>
      <c r="O19" s="48"/>
      <c r="P19" s="48"/>
      <c r="Q19" s="58"/>
      <c r="R19" s="250"/>
      <c r="S19" s="250"/>
      <c r="T19" s="257"/>
      <c r="U19" s="57"/>
      <c r="V19" s="57"/>
    </row>
    <row r="20" spans="1:25" ht="15" customHeight="1">
      <c r="A20" s="250"/>
      <c r="B20" s="250"/>
      <c r="C20" s="250"/>
      <c r="D20" s="49" t="s">
        <v>58</v>
      </c>
      <c r="E20" s="19"/>
      <c r="F20" s="19"/>
      <c r="G20" s="19"/>
      <c r="H20" s="50"/>
      <c r="I20" s="250"/>
      <c r="J20" s="250"/>
      <c r="K20" s="250"/>
      <c r="L20" s="48"/>
      <c r="M20" s="48"/>
      <c r="N20" s="48"/>
      <c r="O20" s="48"/>
      <c r="P20" s="48"/>
      <c r="Q20" s="58"/>
      <c r="R20" s="250"/>
      <c r="S20" s="250"/>
      <c r="T20" s="257"/>
      <c r="U20" s="57"/>
      <c r="V20" s="57"/>
    </row>
    <row r="21" spans="1:25" ht="15" customHeight="1">
      <c r="A21" s="250"/>
      <c r="B21" s="245">
        <v>3</v>
      </c>
      <c r="C21" s="250"/>
      <c r="D21" s="51" t="s">
        <v>59</v>
      </c>
      <c r="E21" s="19"/>
      <c r="F21" s="26" t="s">
        <v>60</v>
      </c>
      <c r="G21" s="27"/>
      <c r="H21" s="256">
        <v>129785.16666666667</v>
      </c>
      <c r="I21" s="250"/>
      <c r="J21" s="256">
        <v>2769974</v>
      </c>
      <c r="K21" s="250"/>
      <c r="L21" s="40">
        <v>269558.01400000002</v>
      </c>
      <c r="M21" s="40"/>
      <c r="N21" s="40">
        <v>272581</v>
      </c>
      <c r="O21" s="40"/>
      <c r="P21" s="40">
        <v>3022.9859999999753</v>
      </c>
      <c r="Q21" s="325">
        <v>1.1214602582730021E-2</v>
      </c>
      <c r="R21" s="41"/>
      <c r="S21" s="42">
        <v>9.8405616803623435</v>
      </c>
      <c r="T21" s="43"/>
      <c r="U21" s="350"/>
      <c r="V21" s="350"/>
      <c r="X21" s="453">
        <f t="shared" ref="X21:X24" si="0">ROUND(+P21/J21,6)</f>
        <v>1.091E-3</v>
      </c>
      <c r="Y21" s="453">
        <f t="shared" ref="Y21:Y24" si="1">-X21</f>
        <v>-1.091E-3</v>
      </c>
    </row>
    <row r="22" spans="1:25" ht="15" customHeight="1">
      <c r="A22" s="250"/>
      <c r="B22" s="245">
        <v>4</v>
      </c>
      <c r="C22" s="250"/>
      <c r="D22" s="51" t="s">
        <v>61</v>
      </c>
      <c r="E22" s="246"/>
      <c r="F22" s="26" t="s">
        <v>62</v>
      </c>
      <c r="G22" s="27"/>
      <c r="H22" s="256">
        <v>7557.75</v>
      </c>
      <c r="I22" s="250"/>
      <c r="J22" s="256">
        <v>2962665</v>
      </c>
      <c r="K22" s="250"/>
      <c r="L22" s="40">
        <v>267247.141</v>
      </c>
      <c r="M22" s="40"/>
      <c r="N22" s="40">
        <v>269845</v>
      </c>
      <c r="O22" s="40"/>
      <c r="P22" s="40">
        <v>2597.8589999999967</v>
      </c>
      <c r="Q22" s="325">
        <v>9.720811194758476E-3</v>
      </c>
      <c r="R22" s="41"/>
      <c r="S22" s="42">
        <v>9.1081846918230713</v>
      </c>
      <c r="T22" s="43"/>
      <c r="U22" s="350"/>
      <c r="V22" s="350"/>
      <c r="X22" s="453">
        <f t="shared" si="0"/>
        <v>8.7699999999999996E-4</v>
      </c>
      <c r="Y22" s="453">
        <f t="shared" si="1"/>
        <v>-8.7699999999999996E-4</v>
      </c>
    </row>
    <row r="23" spans="1:25" ht="15" customHeight="1">
      <c r="A23" s="250"/>
      <c r="B23" s="245">
        <v>5</v>
      </c>
      <c r="C23" s="250"/>
      <c r="D23" s="51" t="s">
        <v>63</v>
      </c>
      <c r="E23" s="19"/>
      <c r="F23" s="26" t="s">
        <v>64</v>
      </c>
      <c r="G23" s="27"/>
      <c r="H23" s="256">
        <v>9920</v>
      </c>
      <c r="I23" s="250"/>
      <c r="J23" s="256">
        <v>1872505.8629326143</v>
      </c>
      <c r="K23" s="250"/>
      <c r="L23" s="40">
        <v>155148.611</v>
      </c>
      <c r="M23" s="40"/>
      <c r="N23" s="40">
        <v>156656.85</v>
      </c>
      <c r="O23" s="40"/>
      <c r="P23" s="40">
        <v>1508.2390000000014</v>
      </c>
      <c r="Q23" s="325">
        <v>9.7212536437081051E-3</v>
      </c>
      <c r="R23" s="41"/>
      <c r="S23" s="42">
        <v>8.3661607208349551</v>
      </c>
      <c r="T23" s="43"/>
      <c r="U23" s="350"/>
      <c r="V23" s="350"/>
      <c r="X23" s="453">
        <f t="shared" si="0"/>
        <v>8.0500000000000005E-4</v>
      </c>
      <c r="Y23" s="453">
        <f t="shared" si="1"/>
        <v>-8.0500000000000005E-4</v>
      </c>
    </row>
    <row r="24" spans="1:25" ht="15" customHeight="1">
      <c r="A24" s="250"/>
      <c r="B24" s="245">
        <v>6</v>
      </c>
      <c r="C24" s="250"/>
      <c r="D24" s="51" t="s">
        <v>65</v>
      </c>
      <c r="E24" s="19"/>
      <c r="F24" s="27">
        <v>29</v>
      </c>
      <c r="G24" s="27"/>
      <c r="H24" s="256">
        <v>649.66666666666663</v>
      </c>
      <c r="I24" s="250"/>
      <c r="J24" s="256">
        <v>18243</v>
      </c>
      <c r="K24" s="250"/>
      <c r="L24" s="40">
        <v>1449.5150000000001</v>
      </c>
      <c r="M24" s="40"/>
      <c r="N24" s="40">
        <v>1463.5989999999999</v>
      </c>
      <c r="O24" s="40"/>
      <c r="P24" s="40">
        <v>14.083999999999833</v>
      </c>
      <c r="Q24" s="325">
        <v>9.7163534009650342E-3</v>
      </c>
      <c r="R24" s="41"/>
      <c r="S24" s="42">
        <v>8.0227977854519548</v>
      </c>
      <c r="T24" s="43"/>
      <c r="U24" s="350"/>
      <c r="V24" s="350"/>
      <c r="X24" s="453">
        <f t="shared" si="0"/>
        <v>7.7200000000000001E-4</v>
      </c>
      <c r="Y24" s="453">
        <f t="shared" si="1"/>
        <v>-7.7200000000000001E-4</v>
      </c>
    </row>
    <row r="25" spans="1:25" ht="15" customHeight="1">
      <c r="A25" s="250"/>
      <c r="B25" s="245">
        <v>7</v>
      </c>
      <c r="C25" s="250"/>
      <c r="D25" s="44" t="s">
        <v>66</v>
      </c>
      <c r="E25" s="19"/>
      <c r="F25" s="27"/>
      <c r="G25" s="27"/>
      <c r="H25" s="45">
        <v>147912.58333333334</v>
      </c>
      <c r="I25" s="250"/>
      <c r="J25" s="45">
        <v>7623387.8629326141</v>
      </c>
      <c r="K25" s="250"/>
      <c r="L25" s="46">
        <v>693403.28100000008</v>
      </c>
      <c r="M25" s="40"/>
      <c r="N25" s="46">
        <v>700546.44900000002</v>
      </c>
      <c r="O25" s="40"/>
      <c r="P25" s="46">
        <v>7143.1679999999733</v>
      </c>
      <c r="Q25" s="326">
        <v>1.0301606865341574E-2</v>
      </c>
      <c r="R25" s="41"/>
      <c r="S25" s="47">
        <v>9.1894373157409994</v>
      </c>
      <c r="T25" s="43"/>
      <c r="U25" s="327">
        <v>7144.0883875107511</v>
      </c>
      <c r="V25" s="327">
        <v>-0.92038751077780034</v>
      </c>
    </row>
    <row r="26" spans="1:25" ht="15" customHeight="1">
      <c r="A26" s="250"/>
      <c r="B26" s="245"/>
      <c r="C26" s="250"/>
      <c r="D26" s="51"/>
      <c r="E26" s="19"/>
      <c r="F26" s="27"/>
      <c r="G26" s="27"/>
      <c r="H26" s="256"/>
      <c r="I26" s="250"/>
      <c r="J26" s="256"/>
      <c r="K26" s="250"/>
      <c r="L26" s="40"/>
      <c r="M26" s="40"/>
      <c r="N26" s="40"/>
      <c r="O26" s="40"/>
      <c r="P26" s="40"/>
      <c r="Q26" s="325"/>
      <c r="R26" s="41"/>
      <c r="S26" s="42"/>
      <c r="T26" s="43"/>
      <c r="U26" s="350"/>
      <c r="V26" s="350"/>
    </row>
    <row r="27" spans="1:25" ht="15" customHeight="1">
      <c r="A27" s="250"/>
      <c r="B27" s="245"/>
      <c r="C27" s="250"/>
      <c r="D27" s="49" t="s">
        <v>67</v>
      </c>
      <c r="E27" s="19"/>
      <c r="F27" s="27"/>
      <c r="G27" s="27"/>
      <c r="H27" s="256"/>
      <c r="I27" s="250"/>
      <c r="J27" s="256"/>
      <c r="K27" s="250"/>
      <c r="L27" s="40"/>
      <c r="M27" s="40"/>
      <c r="N27" s="40"/>
      <c r="O27" s="40"/>
      <c r="P27" s="40"/>
      <c r="Q27" s="325"/>
      <c r="R27" s="41"/>
      <c r="S27" s="42"/>
      <c r="T27" s="43"/>
      <c r="U27" s="350"/>
      <c r="V27" s="350"/>
    </row>
    <row r="28" spans="1:25" ht="15" customHeight="1">
      <c r="A28" s="250"/>
      <c r="B28" s="245">
        <v>8</v>
      </c>
      <c r="C28" s="250"/>
      <c r="D28" s="51" t="s">
        <v>68</v>
      </c>
      <c r="E28" s="19"/>
      <c r="F28" s="26" t="s">
        <v>69</v>
      </c>
      <c r="G28" s="27"/>
      <c r="H28" s="256">
        <v>489.66666666666669</v>
      </c>
      <c r="I28" s="250"/>
      <c r="J28" s="256">
        <v>1321181.4175556169</v>
      </c>
      <c r="K28" s="250"/>
      <c r="L28" s="40">
        <v>107151.91499999999</v>
      </c>
      <c r="M28" s="40"/>
      <c r="N28" s="40">
        <v>108193.265</v>
      </c>
      <c r="O28" s="40"/>
      <c r="P28" s="40">
        <v>1041.3500000000058</v>
      </c>
      <c r="Q28" s="325">
        <v>9.7184450693205606E-3</v>
      </c>
      <c r="R28" s="41"/>
      <c r="S28" s="42">
        <v>8.1891300893539434</v>
      </c>
      <c r="T28" s="43"/>
      <c r="U28" s="350"/>
      <c r="V28" s="350"/>
      <c r="X28" s="453">
        <f t="shared" ref="X28:X30" si="2">ROUND(+P28/J28,6)</f>
        <v>7.8799999999999996E-4</v>
      </c>
      <c r="Y28" s="453">
        <f t="shared" ref="Y28:Y30" si="3">-X28</f>
        <v>-7.8799999999999996E-4</v>
      </c>
    </row>
    <row r="29" spans="1:25" ht="15" customHeight="1">
      <c r="A29" s="250"/>
      <c r="B29" s="245">
        <v>9</v>
      </c>
      <c r="C29" s="250"/>
      <c r="D29" s="51" t="s">
        <v>70</v>
      </c>
      <c r="E29" s="19"/>
      <c r="F29" s="27">
        <v>35</v>
      </c>
      <c r="G29" s="27"/>
      <c r="H29" s="256">
        <v>2.75</v>
      </c>
      <c r="I29" s="250"/>
      <c r="J29" s="256">
        <v>3789.48</v>
      </c>
      <c r="K29" s="250"/>
      <c r="L29" s="40">
        <v>226.02600000000001</v>
      </c>
      <c r="M29" s="40"/>
      <c r="N29" s="40">
        <v>231.095</v>
      </c>
      <c r="O29" s="40"/>
      <c r="P29" s="40">
        <v>5.0689999999999884</v>
      </c>
      <c r="Q29" s="325">
        <v>2.2426623485793617E-2</v>
      </c>
      <c r="R29" s="41"/>
      <c r="S29" s="42">
        <v>6.0983301138942547</v>
      </c>
      <c r="T29" s="43"/>
      <c r="U29" s="350"/>
      <c r="V29" s="350"/>
      <c r="X29" s="453">
        <f t="shared" si="2"/>
        <v>1.338E-3</v>
      </c>
      <c r="Y29" s="453">
        <f t="shared" si="3"/>
        <v>-1.338E-3</v>
      </c>
    </row>
    <row r="30" spans="1:25" ht="15" customHeight="1">
      <c r="A30" s="250"/>
      <c r="B30" s="245">
        <v>10</v>
      </c>
      <c r="C30" s="250"/>
      <c r="D30" s="19" t="s">
        <v>71</v>
      </c>
      <c r="E30" s="19"/>
      <c r="F30" s="26">
        <v>43</v>
      </c>
      <c r="G30" s="27"/>
      <c r="H30" s="256">
        <v>157.41666666666666</v>
      </c>
      <c r="I30" s="250"/>
      <c r="J30" s="256">
        <v>123046.16422024449</v>
      </c>
      <c r="K30" s="250"/>
      <c r="L30" s="40">
        <v>10794.427</v>
      </c>
      <c r="M30" s="40"/>
      <c r="N30" s="40">
        <v>10955.918</v>
      </c>
      <c r="O30" s="40"/>
      <c r="P30" s="40">
        <v>161.49099999999999</v>
      </c>
      <c r="Q30" s="325">
        <v>1.496059031201934E-2</v>
      </c>
      <c r="R30" s="41"/>
      <c r="S30" s="42">
        <v>8.9039086016445257</v>
      </c>
      <c r="T30" s="43"/>
      <c r="U30" s="350"/>
      <c r="V30" s="350"/>
      <c r="X30" s="453">
        <f t="shared" si="2"/>
        <v>1.312E-3</v>
      </c>
      <c r="Y30" s="453">
        <f t="shared" si="3"/>
        <v>-1.312E-3</v>
      </c>
    </row>
    <row r="31" spans="1:25" ht="15" customHeight="1">
      <c r="A31" s="250"/>
      <c r="B31" s="245">
        <v>11</v>
      </c>
      <c r="C31" s="250"/>
      <c r="D31" s="44" t="s">
        <v>72</v>
      </c>
      <c r="E31" s="19"/>
      <c r="F31" s="27"/>
      <c r="G31" s="27"/>
      <c r="H31" s="45">
        <v>649.83333333333337</v>
      </c>
      <c r="I31" s="250"/>
      <c r="J31" s="45">
        <v>1448017.0617758613</v>
      </c>
      <c r="K31" s="250"/>
      <c r="L31" s="46">
        <v>118172.36799999999</v>
      </c>
      <c r="M31" s="40"/>
      <c r="N31" s="46">
        <v>119380.27800000001</v>
      </c>
      <c r="O31" s="40"/>
      <c r="P31" s="46">
        <v>1207.9100000000058</v>
      </c>
      <c r="Q31" s="326">
        <v>1.0221594273206118E-2</v>
      </c>
      <c r="R31" s="41"/>
      <c r="S31" s="47">
        <v>8.2443971933307854</v>
      </c>
      <c r="T31" s="43"/>
      <c r="U31" s="327">
        <v>1208.1934176391908</v>
      </c>
      <c r="V31" s="327">
        <v>-0.28341763918501783</v>
      </c>
    </row>
    <row r="32" spans="1:25" ht="15" customHeight="1">
      <c r="A32" s="250"/>
      <c r="B32" s="245"/>
      <c r="C32" s="250"/>
      <c r="D32" s="19"/>
      <c r="E32" s="19"/>
      <c r="F32" s="26"/>
      <c r="G32" s="27"/>
      <c r="H32" s="256"/>
      <c r="I32" s="250"/>
      <c r="J32" s="256"/>
      <c r="K32" s="250"/>
      <c r="L32" s="40"/>
      <c r="M32" s="40"/>
      <c r="N32" s="40"/>
      <c r="O32" s="40"/>
      <c r="P32" s="40"/>
      <c r="Q32" s="325"/>
      <c r="R32" s="41"/>
      <c r="S32" s="42"/>
      <c r="T32" s="43"/>
      <c r="U32" s="350"/>
      <c r="V32" s="350"/>
    </row>
    <row r="33" spans="1:25" ht="15" customHeight="1">
      <c r="A33" s="250"/>
      <c r="B33" s="245">
        <v>12</v>
      </c>
      <c r="C33" s="250"/>
      <c r="D33" s="19" t="s">
        <v>73</v>
      </c>
      <c r="E33" s="19"/>
      <c r="F33" s="26">
        <v>40</v>
      </c>
      <c r="G33" s="27"/>
      <c r="H33" s="45">
        <v>135.25</v>
      </c>
      <c r="I33" s="250"/>
      <c r="J33" s="45">
        <v>534767.4366040678</v>
      </c>
      <c r="K33" s="250"/>
      <c r="L33" s="46">
        <v>39012.15</v>
      </c>
      <c r="M33" s="40"/>
      <c r="N33" s="46">
        <v>39336.402000000002</v>
      </c>
      <c r="O33" s="40"/>
      <c r="P33" s="46">
        <v>324.25200000000041</v>
      </c>
      <c r="Q33" s="326">
        <v>8.3115644741446042E-3</v>
      </c>
      <c r="R33" s="41"/>
      <c r="S33" s="47">
        <v>7.355796054037592</v>
      </c>
      <c r="T33" s="43"/>
      <c r="U33" s="327">
        <v>324.25200000000109</v>
      </c>
      <c r="V33" s="327">
        <v>-6.8212102632969618E-13</v>
      </c>
      <c r="X33" s="453">
        <f>ROUND(+P33/J33,6)</f>
        <v>6.0599999999999998E-4</v>
      </c>
      <c r="Y33" s="453">
        <f>-X33</f>
        <v>-6.0599999999999998E-4</v>
      </c>
    </row>
    <row r="34" spans="1:25" ht="15" customHeight="1">
      <c r="A34" s="250"/>
      <c r="B34" s="245"/>
      <c r="C34" s="250"/>
      <c r="D34" s="19"/>
      <c r="E34" s="19"/>
      <c r="F34" s="26"/>
      <c r="G34" s="27"/>
      <c r="H34" s="256"/>
      <c r="I34" s="250"/>
      <c r="J34" s="256"/>
      <c r="K34" s="250"/>
      <c r="L34" s="40"/>
      <c r="M34" s="40"/>
      <c r="N34" s="40"/>
      <c r="O34" s="40"/>
      <c r="P34" s="40"/>
      <c r="Q34" s="325"/>
      <c r="R34" s="41"/>
      <c r="S34" s="42"/>
      <c r="T34" s="43"/>
      <c r="U34" s="350"/>
      <c r="V34" s="350"/>
    </row>
    <row r="35" spans="1:25" ht="15" customHeight="1">
      <c r="A35" s="250"/>
      <c r="B35" s="245"/>
      <c r="C35" s="250"/>
      <c r="D35" s="49" t="s">
        <v>74</v>
      </c>
      <c r="E35" s="19"/>
      <c r="F35" s="26"/>
      <c r="G35" s="27"/>
      <c r="H35" s="256"/>
      <c r="I35" s="250"/>
      <c r="J35" s="256"/>
      <c r="K35" s="250"/>
      <c r="L35" s="40"/>
      <c r="M35" s="40"/>
      <c r="N35" s="40"/>
      <c r="O35" s="40"/>
      <c r="P35" s="40"/>
      <c r="Q35" s="325"/>
      <c r="R35" s="41"/>
      <c r="S35" s="42"/>
      <c r="T35" s="43"/>
      <c r="U35" s="350"/>
      <c r="V35" s="350"/>
    </row>
    <row r="36" spans="1:25" ht="15" customHeight="1">
      <c r="A36" s="250"/>
      <c r="B36" s="245">
        <v>13</v>
      </c>
      <c r="C36" s="250"/>
      <c r="D36" s="51" t="s">
        <v>75</v>
      </c>
      <c r="E36" s="19"/>
      <c r="F36" s="26">
        <v>46</v>
      </c>
      <c r="G36" s="27"/>
      <c r="H36" s="256">
        <v>5</v>
      </c>
      <c r="I36" s="250"/>
      <c r="J36" s="256">
        <v>81153.842000000004</v>
      </c>
      <c r="K36" s="250"/>
      <c r="L36" s="40">
        <v>5401.9690000000001</v>
      </c>
      <c r="M36" s="40"/>
      <c r="N36" s="40">
        <v>5455.5240000000003</v>
      </c>
      <c r="O36" s="40"/>
      <c r="P36" s="40">
        <v>53.555000000000291</v>
      </c>
      <c r="Q36" s="325">
        <v>9.9139776625893801E-3</v>
      </c>
      <c r="R36" s="41"/>
      <c r="S36" s="42">
        <v>6.7224469791584234</v>
      </c>
      <c r="T36" s="43"/>
      <c r="U36" s="350"/>
      <c r="V36" s="350"/>
      <c r="X36" s="453">
        <f t="shared" ref="X36:X37" si="4">ROUND(+P36/J36,6)</f>
        <v>6.6E-4</v>
      </c>
      <c r="Y36" s="453">
        <f t="shared" ref="Y36:Y37" si="5">-X36</f>
        <v>-6.6E-4</v>
      </c>
    </row>
    <row r="37" spans="1:25" ht="15" customHeight="1">
      <c r="A37" s="250"/>
      <c r="B37" s="245">
        <v>14</v>
      </c>
      <c r="C37" s="250"/>
      <c r="D37" s="19" t="s">
        <v>76</v>
      </c>
      <c r="E37" s="19"/>
      <c r="F37" s="26">
        <v>49</v>
      </c>
      <c r="G37" s="27"/>
      <c r="H37" s="256">
        <v>20</v>
      </c>
      <c r="I37" s="250"/>
      <c r="J37" s="256">
        <v>553489.29599999997</v>
      </c>
      <c r="K37" s="250"/>
      <c r="L37" s="40">
        <v>36052.419000000002</v>
      </c>
      <c r="M37" s="40"/>
      <c r="N37" s="40">
        <v>36401.894</v>
      </c>
      <c r="O37" s="40"/>
      <c r="P37" s="40">
        <v>349.47499999999854</v>
      </c>
      <c r="Q37" s="325">
        <v>9.6935243097002327E-3</v>
      </c>
      <c r="R37" s="41"/>
      <c r="S37" s="42">
        <v>6.5768018032276458</v>
      </c>
      <c r="T37" s="43"/>
      <c r="U37" s="350"/>
      <c r="V37" s="350"/>
      <c r="X37" s="453">
        <f t="shared" si="4"/>
        <v>6.3100000000000005E-4</v>
      </c>
      <c r="Y37" s="453">
        <f t="shared" si="5"/>
        <v>-6.3100000000000005E-4</v>
      </c>
    </row>
    <row r="38" spans="1:25" ht="15" customHeight="1">
      <c r="A38" s="250"/>
      <c r="B38" s="245">
        <v>15</v>
      </c>
      <c r="C38" s="250"/>
      <c r="D38" s="44" t="s">
        <v>74</v>
      </c>
      <c r="E38" s="19"/>
      <c r="F38" s="27"/>
      <c r="G38" s="27"/>
      <c r="H38" s="45">
        <v>25</v>
      </c>
      <c r="I38" s="250"/>
      <c r="J38" s="45">
        <v>634643.13800000004</v>
      </c>
      <c r="K38" s="250"/>
      <c r="L38" s="46">
        <v>41454.387999999999</v>
      </c>
      <c r="M38" s="40"/>
      <c r="N38" s="46">
        <v>41857.417999999998</v>
      </c>
      <c r="O38" s="40"/>
      <c r="P38" s="46">
        <v>403.02999999999884</v>
      </c>
      <c r="Q38" s="326">
        <v>9.7222518397810827E-3</v>
      </c>
      <c r="R38" s="41"/>
      <c r="S38" s="47">
        <v>6.5954259163517488</v>
      </c>
      <c r="T38" s="43"/>
      <c r="U38" s="327">
        <v>402.99958198420177</v>
      </c>
      <c r="V38" s="327">
        <v>3.041801579706771E-2</v>
      </c>
    </row>
    <row r="39" spans="1:25" ht="15" customHeight="1">
      <c r="A39" s="250"/>
      <c r="B39" s="245"/>
      <c r="C39" s="250"/>
      <c r="D39" s="19"/>
      <c r="E39" s="19"/>
      <c r="F39" s="26"/>
      <c r="G39" s="27"/>
      <c r="H39" s="256"/>
      <c r="I39" s="250"/>
      <c r="J39" s="256"/>
      <c r="K39" s="250"/>
      <c r="L39" s="40"/>
      <c r="M39" s="40"/>
      <c r="N39" s="40"/>
      <c r="O39" s="40"/>
      <c r="P39" s="40"/>
      <c r="Q39" s="325"/>
      <c r="R39" s="41"/>
      <c r="S39" s="42"/>
      <c r="T39" s="43"/>
      <c r="U39" s="350"/>
      <c r="V39" s="350"/>
    </row>
    <row r="40" spans="1:25" ht="15" customHeight="1">
      <c r="A40" s="250"/>
      <c r="B40" s="245">
        <v>16</v>
      </c>
      <c r="C40" s="250"/>
      <c r="D40" s="19" t="s">
        <v>77</v>
      </c>
      <c r="E40" s="19"/>
      <c r="F40" s="26" t="s">
        <v>78</v>
      </c>
      <c r="G40" s="27"/>
      <c r="H40" s="45">
        <v>20</v>
      </c>
      <c r="I40" s="250"/>
      <c r="J40" s="45">
        <v>1993600.694324</v>
      </c>
      <c r="K40" s="250"/>
      <c r="L40" s="46">
        <v>8376.0509999999995</v>
      </c>
      <c r="M40" s="40"/>
      <c r="N40" s="46">
        <v>8383.2009999999991</v>
      </c>
      <c r="O40" s="40"/>
      <c r="P40" s="46">
        <v>7.1499999999996362</v>
      </c>
      <c r="Q40" s="326">
        <v>8.53624219814282E-4</v>
      </c>
      <c r="R40" s="41"/>
      <c r="S40" s="47">
        <v>0.42050552168585675</v>
      </c>
      <c r="T40" s="43"/>
      <c r="U40" s="327">
        <v>7.15</v>
      </c>
      <c r="V40" s="327">
        <v>-3.6415315207705135E-13</v>
      </c>
      <c r="X40" s="453">
        <f>ROUND(+P40/J40,6)</f>
        <v>3.9999999999999998E-6</v>
      </c>
      <c r="Y40" s="453">
        <f>-X40</f>
        <v>-3.9999999999999998E-6</v>
      </c>
    </row>
    <row r="41" spans="1:25" ht="15" customHeight="1">
      <c r="A41" s="250"/>
      <c r="B41" s="245"/>
      <c r="C41" s="250"/>
      <c r="D41" s="19"/>
      <c r="E41" s="19"/>
      <c r="F41" s="26"/>
      <c r="G41" s="27"/>
      <c r="H41" s="256"/>
      <c r="I41" s="250"/>
      <c r="J41" s="256"/>
      <c r="K41" s="250"/>
      <c r="L41" s="40"/>
      <c r="M41" s="40"/>
      <c r="N41" s="40"/>
      <c r="O41" s="40"/>
      <c r="P41" s="40"/>
      <c r="Q41" s="325"/>
      <c r="R41" s="41"/>
      <c r="S41" s="42"/>
      <c r="T41" s="43"/>
      <c r="U41" s="350"/>
      <c r="V41" s="350"/>
    </row>
    <row r="42" spans="1:25" ht="15" customHeight="1">
      <c r="A42" s="250"/>
      <c r="B42" s="245">
        <v>17</v>
      </c>
      <c r="C42" s="250"/>
      <c r="D42" s="19" t="s">
        <v>79</v>
      </c>
      <c r="E42" s="19"/>
      <c r="F42" s="26" t="s">
        <v>17</v>
      </c>
      <c r="G42" s="27"/>
      <c r="H42" s="45">
        <v>7697.083333333333</v>
      </c>
      <c r="I42" s="250"/>
      <c r="J42" s="45">
        <v>70906.886296500015</v>
      </c>
      <c r="K42" s="250"/>
      <c r="L42" s="46">
        <v>16588.931</v>
      </c>
      <c r="M42" s="40"/>
      <c r="N42" s="46">
        <v>16837.228999999999</v>
      </c>
      <c r="O42" s="40"/>
      <c r="P42" s="46">
        <v>248.29799999999886</v>
      </c>
      <c r="Q42" s="326">
        <v>1.4967691408204595E-2</v>
      </c>
      <c r="R42" s="41"/>
      <c r="S42" s="47">
        <v>23.745548393698243</v>
      </c>
      <c r="T42" s="43"/>
      <c r="U42" s="327">
        <v>248.10706532775495</v>
      </c>
      <c r="V42" s="327">
        <v>0.19093467224391247</v>
      </c>
      <c r="X42" s="453">
        <f>ROUND(+P42/J42,6)</f>
        <v>3.5019999999999999E-3</v>
      </c>
      <c r="Y42" s="453">
        <f>-X42</f>
        <v>-3.5019999999999999E-3</v>
      </c>
    </row>
    <row r="43" spans="1:25" ht="15" customHeight="1">
      <c r="A43" s="250"/>
      <c r="B43" s="245"/>
      <c r="C43" s="250"/>
      <c r="D43" s="19"/>
      <c r="E43" s="19"/>
      <c r="F43" s="26"/>
      <c r="G43" s="27"/>
      <c r="H43" s="256"/>
      <c r="I43" s="250"/>
      <c r="J43" s="256"/>
      <c r="K43" s="250"/>
      <c r="L43" s="40"/>
      <c r="M43" s="40"/>
      <c r="N43" s="40"/>
      <c r="O43" s="40"/>
      <c r="P43" s="40"/>
      <c r="Q43" s="325"/>
      <c r="R43" s="41"/>
      <c r="S43" s="42"/>
      <c r="T43" s="43"/>
      <c r="U43" s="350"/>
      <c r="V43" s="350"/>
    </row>
    <row r="44" spans="1:25" ht="15" customHeight="1">
      <c r="A44" s="250"/>
      <c r="B44" s="245">
        <v>18</v>
      </c>
      <c r="C44" s="250"/>
      <c r="D44" s="44" t="s">
        <v>80</v>
      </c>
      <c r="E44" s="19"/>
      <c r="F44" s="19"/>
      <c r="G44" s="19"/>
      <c r="H44" s="45">
        <v>1179647.75</v>
      </c>
      <c r="I44" s="250"/>
      <c r="J44" s="45">
        <v>22962663.079933044</v>
      </c>
      <c r="K44" s="250"/>
      <c r="L44" s="46">
        <v>2026039.736</v>
      </c>
      <c r="M44" s="40"/>
      <c r="N44" s="46">
        <v>2051959.977</v>
      </c>
      <c r="O44" s="40"/>
      <c r="P44" s="46">
        <v>25920.240999999936</v>
      </c>
      <c r="Q44" s="326">
        <v>1.2793550165592575E-2</v>
      </c>
      <c r="R44" s="41"/>
      <c r="S44" s="47">
        <v>8.9360714384787432</v>
      </c>
      <c r="T44" s="43"/>
      <c r="U44" s="327">
        <v>25921.682974425901</v>
      </c>
      <c r="V44" s="327">
        <v>-1.4419744259624796</v>
      </c>
    </row>
    <row r="45" spans="1:25" ht="15" customHeight="1">
      <c r="A45" s="250"/>
      <c r="B45" s="287"/>
      <c r="C45" s="250"/>
      <c r="D45" s="19"/>
      <c r="E45" s="19"/>
      <c r="F45" s="19"/>
      <c r="G45" s="19"/>
      <c r="H45" s="250"/>
      <c r="I45" s="250"/>
      <c r="J45" s="250"/>
      <c r="K45" s="250"/>
      <c r="L45" s="48"/>
      <c r="M45" s="48"/>
      <c r="N45" s="48"/>
      <c r="O45" s="48"/>
      <c r="P45" s="48"/>
      <c r="Q45" s="58"/>
      <c r="R45" s="250"/>
      <c r="S45" s="250"/>
      <c r="T45" s="257"/>
      <c r="U45" s="57"/>
      <c r="V45" s="57"/>
    </row>
    <row r="46" spans="1:25" ht="15" customHeight="1">
      <c r="A46" s="250"/>
      <c r="B46" s="245">
        <v>19</v>
      </c>
      <c r="C46" s="250"/>
      <c r="D46" s="19" t="s">
        <v>81</v>
      </c>
      <c r="E46" s="19"/>
      <c r="F46" s="26" t="s">
        <v>17</v>
      </c>
      <c r="G46" s="27"/>
      <c r="H46" s="45">
        <v>8</v>
      </c>
      <c r="I46" s="250"/>
      <c r="J46" s="45">
        <v>7237.6555782419</v>
      </c>
      <c r="K46" s="250"/>
      <c r="L46" s="46">
        <v>329.85399999999998</v>
      </c>
      <c r="M46" s="48"/>
      <c r="N46" s="46">
        <v>334.07423846024227</v>
      </c>
      <c r="O46" s="40"/>
      <c r="P46" s="46">
        <v>4.2202384602422853</v>
      </c>
      <c r="Q46" s="326">
        <v>1.2794261886296013E-2</v>
      </c>
      <c r="R46" s="41"/>
      <c r="S46" s="47">
        <v>4.6157797210542633</v>
      </c>
      <c r="T46" s="257"/>
      <c r="U46" s="327">
        <v>4.2202384602422631</v>
      </c>
      <c r="V46" s="327">
        <v>2.2204460492503131E-14</v>
      </c>
      <c r="X46" s="453">
        <f>ROUND(+P46/J46,6)</f>
        <v>5.8299999999999997E-4</v>
      </c>
      <c r="Y46" s="453">
        <f>-X46</f>
        <v>-5.8299999999999997E-4</v>
      </c>
    </row>
    <row r="47" spans="1:25" ht="15" customHeight="1">
      <c r="A47" s="250"/>
      <c r="B47" s="287"/>
      <c r="C47" s="250"/>
      <c r="D47" s="19"/>
      <c r="E47" s="19"/>
      <c r="F47" s="19"/>
      <c r="G47" s="19"/>
      <c r="H47" s="250"/>
      <c r="I47" s="250"/>
      <c r="J47" s="250"/>
      <c r="K47" s="250"/>
      <c r="L47" s="48"/>
      <c r="M47" s="48"/>
      <c r="N47" s="48"/>
      <c r="O47" s="48"/>
      <c r="P47" s="48"/>
      <c r="Q47" s="58"/>
      <c r="R47" s="250"/>
      <c r="S47" s="250"/>
      <c r="T47" s="257"/>
      <c r="U47" s="57"/>
      <c r="V47" s="57"/>
    </row>
    <row r="48" spans="1:25" ht="15" customHeight="1" thickBot="1">
      <c r="A48" s="250"/>
      <c r="B48" s="245">
        <v>20</v>
      </c>
      <c r="C48" s="250"/>
      <c r="D48" s="52" t="s">
        <v>82</v>
      </c>
      <c r="E48" s="19"/>
      <c r="F48" s="19"/>
      <c r="G48" s="19"/>
      <c r="H48" s="53">
        <v>1179655.75</v>
      </c>
      <c r="I48" s="250"/>
      <c r="J48" s="53">
        <v>22969900.735511284</v>
      </c>
      <c r="K48" s="250"/>
      <c r="L48" s="54">
        <v>2026369.59</v>
      </c>
      <c r="M48" s="55"/>
      <c r="N48" s="54">
        <v>2052294.0512384602</v>
      </c>
      <c r="O48" s="56"/>
      <c r="P48" s="54">
        <v>25924.461238460179</v>
      </c>
      <c r="Q48" s="328">
        <v>1.2793550281447017E-2</v>
      </c>
      <c r="R48" s="43"/>
      <c r="S48" s="329">
        <v>8.9347101446791637</v>
      </c>
      <c r="T48" s="43"/>
      <c r="U48" s="351">
        <v>25925.903212886144</v>
      </c>
      <c r="V48" s="351">
        <v>-1.4419744259624574</v>
      </c>
      <c r="X48" s="453">
        <f>ROUND(+P48/J48,6)</f>
        <v>1.129E-3</v>
      </c>
      <c r="Y48" s="453">
        <f>-X48</f>
        <v>-1.129E-3</v>
      </c>
    </row>
    <row r="49" ht="15" customHeight="1" thickTop="1"/>
  </sheetData>
  <mergeCells count="10">
    <mergeCell ref="N9:Q9"/>
    <mergeCell ref="N10:Q10"/>
    <mergeCell ref="U11:U12"/>
    <mergeCell ref="V11:V12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  <pageSetup scale="60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90"/>
  <sheetViews>
    <sheetView workbookViewId="0">
      <selection sqref="A1:F1"/>
    </sheetView>
  </sheetViews>
  <sheetFormatPr defaultColWidth="9.140625" defaultRowHeight="12.75"/>
  <cols>
    <col min="1" max="1" width="4.42578125" style="473" bestFit="1" customWidth="1"/>
    <col min="2" max="2" width="10.7109375" style="473" bestFit="1" customWidth="1"/>
    <col min="3" max="3" width="71.7109375" style="473" customWidth="1"/>
    <col min="4" max="4" width="11.28515625" style="473" bestFit="1" customWidth="1"/>
    <col min="5" max="5" width="12.7109375" style="473" customWidth="1"/>
    <col min="6" max="7" width="12.140625" style="473" bestFit="1" customWidth="1"/>
    <col min="8" max="8" width="8.85546875" style="473" bestFit="1" customWidth="1"/>
    <col min="9" max="9" width="20" style="473" bestFit="1" customWidth="1"/>
    <col min="10" max="10" width="8.7109375" style="473" bestFit="1" customWidth="1"/>
    <col min="11" max="11" width="6" style="473" bestFit="1" customWidth="1"/>
    <col min="12" max="249" width="9.140625" style="473"/>
    <col min="250" max="250" width="4.42578125" style="473" bestFit="1" customWidth="1"/>
    <col min="251" max="251" width="11" style="473" customWidth="1"/>
    <col min="252" max="252" width="62.28515625" style="473" bestFit="1" customWidth="1"/>
    <col min="253" max="253" width="14.42578125" style="473" customWidth="1"/>
    <col min="254" max="254" width="12.42578125" style="473" bestFit="1" customWidth="1"/>
    <col min="255" max="255" width="13" style="473" customWidth="1"/>
    <col min="256" max="256" width="3.28515625" style="473" customWidth="1"/>
    <col min="257" max="257" width="14.42578125" style="473" bestFit="1" customWidth="1"/>
    <col min="258" max="258" width="16.5703125" style="473" bestFit="1" customWidth="1"/>
    <col min="259" max="259" width="14.42578125" style="473" bestFit="1" customWidth="1"/>
    <col min="260" max="505" width="9.140625" style="473"/>
    <col min="506" max="506" width="4.42578125" style="473" bestFit="1" customWidth="1"/>
    <col min="507" max="507" width="11" style="473" customWidth="1"/>
    <col min="508" max="508" width="62.28515625" style="473" bestFit="1" customWidth="1"/>
    <col min="509" max="509" width="14.42578125" style="473" customWidth="1"/>
    <col min="510" max="510" width="12.42578125" style="473" bestFit="1" customWidth="1"/>
    <col min="511" max="511" width="13" style="473" customWidth="1"/>
    <col min="512" max="512" width="3.28515625" style="473" customWidth="1"/>
    <col min="513" max="513" width="14.42578125" style="473" bestFit="1" customWidth="1"/>
    <col min="514" max="514" width="16.5703125" style="473" bestFit="1" customWidth="1"/>
    <col min="515" max="515" width="14.42578125" style="473" bestFit="1" customWidth="1"/>
    <col min="516" max="761" width="9.140625" style="473"/>
    <col min="762" max="762" width="4.42578125" style="473" bestFit="1" customWidth="1"/>
    <col min="763" max="763" width="11" style="473" customWidth="1"/>
    <col min="764" max="764" width="62.28515625" style="473" bestFit="1" customWidth="1"/>
    <col min="765" max="765" width="14.42578125" style="473" customWidth="1"/>
    <col min="766" max="766" width="12.42578125" style="473" bestFit="1" customWidth="1"/>
    <col min="767" max="767" width="13" style="473" customWidth="1"/>
    <col min="768" max="768" width="3.28515625" style="473" customWidth="1"/>
    <col min="769" max="769" width="14.42578125" style="473" bestFit="1" customWidth="1"/>
    <col min="770" max="770" width="16.5703125" style="473" bestFit="1" customWidth="1"/>
    <col min="771" max="771" width="14.42578125" style="473" bestFit="1" customWidth="1"/>
    <col min="772" max="1017" width="9.140625" style="473"/>
    <col min="1018" max="1018" width="4.42578125" style="473" bestFit="1" customWidth="1"/>
    <col min="1019" max="1019" width="11" style="473" customWidth="1"/>
    <col min="1020" max="1020" width="62.28515625" style="473" bestFit="1" customWidth="1"/>
    <col min="1021" max="1021" width="14.42578125" style="473" customWidth="1"/>
    <col min="1022" max="1022" width="12.42578125" style="473" bestFit="1" customWidth="1"/>
    <col min="1023" max="1023" width="13" style="473" customWidth="1"/>
    <col min="1024" max="1024" width="3.28515625" style="473" customWidth="1"/>
    <col min="1025" max="1025" width="14.42578125" style="473" bestFit="1" customWidth="1"/>
    <col min="1026" max="1026" width="16.5703125" style="473" bestFit="1" customWidth="1"/>
    <col min="1027" max="1027" width="14.42578125" style="473" bestFit="1" customWidth="1"/>
    <col min="1028" max="1273" width="9.140625" style="473"/>
    <col min="1274" max="1274" width="4.42578125" style="473" bestFit="1" customWidth="1"/>
    <col min="1275" max="1275" width="11" style="473" customWidth="1"/>
    <col min="1276" max="1276" width="62.28515625" style="473" bestFit="1" customWidth="1"/>
    <col min="1277" max="1277" width="14.42578125" style="473" customWidth="1"/>
    <col min="1278" max="1278" width="12.42578125" style="473" bestFit="1" customWidth="1"/>
    <col min="1279" max="1279" width="13" style="473" customWidth="1"/>
    <col min="1280" max="1280" width="3.28515625" style="473" customWidth="1"/>
    <col min="1281" max="1281" width="14.42578125" style="473" bestFit="1" customWidth="1"/>
    <col min="1282" max="1282" width="16.5703125" style="473" bestFit="1" customWidth="1"/>
    <col min="1283" max="1283" width="14.42578125" style="473" bestFit="1" customWidth="1"/>
    <col min="1284" max="1529" width="9.140625" style="473"/>
    <col min="1530" max="1530" width="4.42578125" style="473" bestFit="1" customWidth="1"/>
    <col min="1531" max="1531" width="11" style="473" customWidth="1"/>
    <col min="1532" max="1532" width="62.28515625" style="473" bestFit="1" customWidth="1"/>
    <col min="1533" max="1533" width="14.42578125" style="473" customWidth="1"/>
    <col min="1534" max="1534" width="12.42578125" style="473" bestFit="1" customWidth="1"/>
    <col min="1535" max="1535" width="13" style="473" customWidth="1"/>
    <col min="1536" max="1536" width="3.28515625" style="473" customWidth="1"/>
    <col min="1537" max="1537" width="14.42578125" style="473" bestFit="1" customWidth="1"/>
    <col min="1538" max="1538" width="16.5703125" style="473" bestFit="1" customWidth="1"/>
    <col min="1539" max="1539" width="14.42578125" style="473" bestFit="1" customWidth="1"/>
    <col min="1540" max="1785" width="9.140625" style="473"/>
    <col min="1786" max="1786" width="4.42578125" style="473" bestFit="1" customWidth="1"/>
    <col min="1787" max="1787" width="11" style="473" customWidth="1"/>
    <col min="1788" max="1788" width="62.28515625" style="473" bestFit="1" customWidth="1"/>
    <col min="1789" max="1789" width="14.42578125" style="473" customWidth="1"/>
    <col min="1790" max="1790" width="12.42578125" style="473" bestFit="1" customWidth="1"/>
    <col min="1791" max="1791" width="13" style="473" customWidth="1"/>
    <col min="1792" max="1792" width="3.28515625" style="473" customWidth="1"/>
    <col min="1793" max="1793" width="14.42578125" style="473" bestFit="1" customWidth="1"/>
    <col min="1794" max="1794" width="16.5703125" style="473" bestFit="1" customWidth="1"/>
    <col min="1795" max="1795" width="14.42578125" style="473" bestFit="1" customWidth="1"/>
    <col min="1796" max="2041" width="9.140625" style="473"/>
    <col min="2042" max="2042" width="4.42578125" style="473" bestFit="1" customWidth="1"/>
    <col min="2043" max="2043" width="11" style="473" customWidth="1"/>
    <col min="2044" max="2044" width="62.28515625" style="473" bestFit="1" customWidth="1"/>
    <col min="2045" max="2045" width="14.42578125" style="473" customWidth="1"/>
    <col min="2046" max="2046" width="12.42578125" style="473" bestFit="1" customWidth="1"/>
    <col min="2047" max="2047" width="13" style="473" customWidth="1"/>
    <col min="2048" max="2048" width="3.28515625" style="473" customWidth="1"/>
    <col min="2049" max="2049" width="14.42578125" style="473" bestFit="1" customWidth="1"/>
    <col min="2050" max="2050" width="16.5703125" style="473" bestFit="1" customWidth="1"/>
    <col min="2051" max="2051" width="14.42578125" style="473" bestFit="1" customWidth="1"/>
    <col min="2052" max="2297" width="9.140625" style="473"/>
    <col min="2298" max="2298" width="4.42578125" style="473" bestFit="1" customWidth="1"/>
    <col min="2299" max="2299" width="11" style="473" customWidth="1"/>
    <col min="2300" max="2300" width="62.28515625" style="473" bestFit="1" customWidth="1"/>
    <col min="2301" max="2301" width="14.42578125" style="473" customWidth="1"/>
    <col min="2302" max="2302" width="12.42578125" style="473" bestFit="1" customWidth="1"/>
    <col min="2303" max="2303" width="13" style="473" customWidth="1"/>
    <col min="2304" max="2304" width="3.28515625" style="473" customWidth="1"/>
    <col min="2305" max="2305" width="14.42578125" style="473" bestFit="1" customWidth="1"/>
    <col min="2306" max="2306" width="16.5703125" style="473" bestFit="1" customWidth="1"/>
    <col min="2307" max="2307" width="14.42578125" style="473" bestFit="1" customWidth="1"/>
    <col min="2308" max="2553" width="9.140625" style="473"/>
    <col min="2554" max="2554" width="4.42578125" style="473" bestFit="1" customWidth="1"/>
    <col min="2555" max="2555" width="11" style="473" customWidth="1"/>
    <col min="2556" max="2556" width="62.28515625" style="473" bestFit="1" customWidth="1"/>
    <col min="2557" max="2557" width="14.42578125" style="473" customWidth="1"/>
    <col min="2558" max="2558" width="12.42578125" style="473" bestFit="1" customWidth="1"/>
    <col min="2559" max="2559" width="13" style="473" customWidth="1"/>
    <col min="2560" max="2560" width="3.28515625" style="473" customWidth="1"/>
    <col min="2561" max="2561" width="14.42578125" style="473" bestFit="1" customWidth="1"/>
    <col min="2562" max="2562" width="16.5703125" style="473" bestFit="1" customWidth="1"/>
    <col min="2563" max="2563" width="14.42578125" style="473" bestFit="1" customWidth="1"/>
    <col min="2564" max="2809" width="9.140625" style="473"/>
    <col min="2810" max="2810" width="4.42578125" style="473" bestFit="1" customWidth="1"/>
    <col min="2811" max="2811" width="11" style="473" customWidth="1"/>
    <col min="2812" max="2812" width="62.28515625" style="473" bestFit="1" customWidth="1"/>
    <col min="2813" max="2813" width="14.42578125" style="473" customWidth="1"/>
    <col min="2814" max="2814" width="12.42578125" style="473" bestFit="1" customWidth="1"/>
    <col min="2815" max="2815" width="13" style="473" customWidth="1"/>
    <col min="2816" max="2816" width="3.28515625" style="473" customWidth="1"/>
    <col min="2817" max="2817" width="14.42578125" style="473" bestFit="1" customWidth="1"/>
    <col min="2818" max="2818" width="16.5703125" style="473" bestFit="1" customWidth="1"/>
    <col min="2819" max="2819" width="14.42578125" style="473" bestFit="1" customWidth="1"/>
    <col min="2820" max="3065" width="9.140625" style="473"/>
    <col min="3066" max="3066" width="4.42578125" style="473" bestFit="1" customWidth="1"/>
    <col min="3067" max="3067" width="11" style="473" customWidth="1"/>
    <col min="3068" max="3068" width="62.28515625" style="473" bestFit="1" customWidth="1"/>
    <col min="3069" max="3069" width="14.42578125" style="473" customWidth="1"/>
    <col min="3070" max="3070" width="12.42578125" style="473" bestFit="1" customWidth="1"/>
    <col min="3071" max="3071" width="13" style="473" customWidth="1"/>
    <col min="3072" max="3072" width="3.28515625" style="473" customWidth="1"/>
    <col min="3073" max="3073" width="14.42578125" style="473" bestFit="1" customWidth="1"/>
    <col min="3074" max="3074" width="16.5703125" style="473" bestFit="1" customWidth="1"/>
    <col min="3075" max="3075" width="14.42578125" style="473" bestFit="1" customWidth="1"/>
    <col min="3076" max="3321" width="9.140625" style="473"/>
    <col min="3322" max="3322" width="4.42578125" style="473" bestFit="1" customWidth="1"/>
    <col min="3323" max="3323" width="11" style="473" customWidth="1"/>
    <col min="3324" max="3324" width="62.28515625" style="473" bestFit="1" customWidth="1"/>
    <col min="3325" max="3325" width="14.42578125" style="473" customWidth="1"/>
    <col min="3326" max="3326" width="12.42578125" style="473" bestFit="1" customWidth="1"/>
    <col min="3327" max="3327" width="13" style="473" customWidth="1"/>
    <col min="3328" max="3328" width="3.28515625" style="473" customWidth="1"/>
    <col min="3329" max="3329" width="14.42578125" style="473" bestFit="1" customWidth="1"/>
    <col min="3330" max="3330" width="16.5703125" style="473" bestFit="1" customWidth="1"/>
    <col min="3331" max="3331" width="14.42578125" style="473" bestFit="1" customWidth="1"/>
    <col min="3332" max="3577" width="9.140625" style="473"/>
    <col min="3578" max="3578" width="4.42578125" style="473" bestFit="1" customWidth="1"/>
    <col min="3579" max="3579" width="11" style="473" customWidth="1"/>
    <col min="3580" max="3580" width="62.28515625" style="473" bestFit="1" customWidth="1"/>
    <col min="3581" max="3581" width="14.42578125" style="473" customWidth="1"/>
    <col min="3582" max="3582" width="12.42578125" style="473" bestFit="1" customWidth="1"/>
    <col min="3583" max="3583" width="13" style="473" customWidth="1"/>
    <col min="3584" max="3584" width="3.28515625" style="473" customWidth="1"/>
    <col min="3585" max="3585" width="14.42578125" style="473" bestFit="1" customWidth="1"/>
    <col min="3586" max="3586" width="16.5703125" style="473" bestFit="1" customWidth="1"/>
    <col min="3587" max="3587" width="14.42578125" style="473" bestFit="1" customWidth="1"/>
    <col min="3588" max="3833" width="9.140625" style="473"/>
    <col min="3834" max="3834" width="4.42578125" style="473" bestFit="1" customWidth="1"/>
    <col min="3835" max="3835" width="11" style="473" customWidth="1"/>
    <col min="3836" max="3836" width="62.28515625" style="473" bestFit="1" customWidth="1"/>
    <col min="3837" max="3837" width="14.42578125" style="473" customWidth="1"/>
    <col min="3838" max="3838" width="12.42578125" style="473" bestFit="1" customWidth="1"/>
    <col min="3839" max="3839" width="13" style="473" customWidth="1"/>
    <col min="3840" max="3840" width="3.28515625" style="473" customWidth="1"/>
    <col min="3841" max="3841" width="14.42578125" style="473" bestFit="1" customWidth="1"/>
    <col min="3842" max="3842" width="16.5703125" style="473" bestFit="1" customWidth="1"/>
    <col min="3843" max="3843" width="14.42578125" style="473" bestFit="1" customWidth="1"/>
    <col min="3844" max="4089" width="9.140625" style="473"/>
    <col min="4090" max="4090" width="4.42578125" style="473" bestFit="1" customWidth="1"/>
    <col min="4091" max="4091" width="11" style="473" customWidth="1"/>
    <col min="4092" max="4092" width="62.28515625" style="473" bestFit="1" customWidth="1"/>
    <col min="4093" max="4093" width="14.42578125" style="473" customWidth="1"/>
    <col min="4094" max="4094" width="12.42578125" style="473" bestFit="1" customWidth="1"/>
    <col min="4095" max="4095" width="13" style="473" customWidth="1"/>
    <col min="4096" max="4096" width="3.28515625" style="473" customWidth="1"/>
    <col min="4097" max="4097" width="14.42578125" style="473" bestFit="1" customWidth="1"/>
    <col min="4098" max="4098" width="16.5703125" style="473" bestFit="1" customWidth="1"/>
    <col min="4099" max="4099" width="14.42578125" style="473" bestFit="1" customWidth="1"/>
    <col min="4100" max="4345" width="9.140625" style="473"/>
    <col min="4346" max="4346" width="4.42578125" style="473" bestFit="1" customWidth="1"/>
    <col min="4347" max="4347" width="11" style="473" customWidth="1"/>
    <col min="4348" max="4348" width="62.28515625" style="473" bestFit="1" customWidth="1"/>
    <col min="4349" max="4349" width="14.42578125" style="473" customWidth="1"/>
    <col min="4350" max="4350" width="12.42578125" style="473" bestFit="1" customWidth="1"/>
    <col min="4351" max="4351" width="13" style="473" customWidth="1"/>
    <col min="4352" max="4352" width="3.28515625" style="473" customWidth="1"/>
    <col min="4353" max="4353" width="14.42578125" style="473" bestFit="1" customWidth="1"/>
    <col min="4354" max="4354" width="16.5703125" style="473" bestFit="1" customWidth="1"/>
    <col min="4355" max="4355" width="14.42578125" style="473" bestFit="1" customWidth="1"/>
    <col min="4356" max="4601" width="9.140625" style="473"/>
    <col min="4602" max="4602" width="4.42578125" style="473" bestFit="1" customWidth="1"/>
    <col min="4603" max="4603" width="11" style="473" customWidth="1"/>
    <col min="4604" max="4604" width="62.28515625" style="473" bestFit="1" customWidth="1"/>
    <col min="4605" max="4605" width="14.42578125" style="473" customWidth="1"/>
    <col min="4606" max="4606" width="12.42578125" style="473" bestFit="1" customWidth="1"/>
    <col min="4607" max="4607" width="13" style="473" customWidth="1"/>
    <col min="4608" max="4608" width="3.28515625" style="473" customWidth="1"/>
    <col min="4609" max="4609" width="14.42578125" style="473" bestFit="1" customWidth="1"/>
    <col min="4610" max="4610" width="16.5703125" style="473" bestFit="1" customWidth="1"/>
    <col min="4611" max="4611" width="14.42578125" style="473" bestFit="1" customWidth="1"/>
    <col min="4612" max="4857" width="9.140625" style="473"/>
    <col min="4858" max="4858" width="4.42578125" style="473" bestFit="1" customWidth="1"/>
    <col min="4859" max="4859" width="11" style="473" customWidth="1"/>
    <col min="4860" max="4860" width="62.28515625" style="473" bestFit="1" customWidth="1"/>
    <col min="4861" max="4861" width="14.42578125" style="473" customWidth="1"/>
    <col min="4862" max="4862" width="12.42578125" style="473" bestFit="1" customWidth="1"/>
    <col min="4863" max="4863" width="13" style="473" customWidth="1"/>
    <col min="4864" max="4864" width="3.28515625" style="473" customWidth="1"/>
    <col min="4865" max="4865" width="14.42578125" style="473" bestFit="1" customWidth="1"/>
    <col min="4866" max="4866" width="16.5703125" style="473" bestFit="1" customWidth="1"/>
    <col min="4867" max="4867" width="14.42578125" style="473" bestFit="1" customWidth="1"/>
    <col min="4868" max="5113" width="9.140625" style="473"/>
    <col min="5114" max="5114" width="4.42578125" style="473" bestFit="1" customWidth="1"/>
    <col min="5115" max="5115" width="11" style="473" customWidth="1"/>
    <col min="5116" max="5116" width="62.28515625" style="473" bestFit="1" customWidth="1"/>
    <col min="5117" max="5117" width="14.42578125" style="473" customWidth="1"/>
    <col min="5118" max="5118" width="12.42578125" style="473" bestFit="1" customWidth="1"/>
    <col min="5119" max="5119" width="13" style="473" customWidth="1"/>
    <col min="5120" max="5120" width="3.28515625" style="473" customWidth="1"/>
    <col min="5121" max="5121" width="14.42578125" style="473" bestFit="1" customWidth="1"/>
    <col min="5122" max="5122" width="16.5703125" style="473" bestFit="1" customWidth="1"/>
    <col min="5123" max="5123" width="14.42578125" style="473" bestFit="1" customWidth="1"/>
    <col min="5124" max="5369" width="9.140625" style="473"/>
    <col min="5370" max="5370" width="4.42578125" style="473" bestFit="1" customWidth="1"/>
    <col min="5371" max="5371" width="11" style="473" customWidth="1"/>
    <col min="5372" max="5372" width="62.28515625" style="473" bestFit="1" customWidth="1"/>
    <col min="5373" max="5373" width="14.42578125" style="473" customWidth="1"/>
    <col min="5374" max="5374" width="12.42578125" style="473" bestFit="1" customWidth="1"/>
    <col min="5375" max="5375" width="13" style="473" customWidth="1"/>
    <col min="5376" max="5376" width="3.28515625" style="473" customWidth="1"/>
    <col min="5377" max="5377" width="14.42578125" style="473" bestFit="1" customWidth="1"/>
    <col min="5378" max="5378" width="16.5703125" style="473" bestFit="1" customWidth="1"/>
    <col min="5379" max="5379" width="14.42578125" style="473" bestFit="1" customWidth="1"/>
    <col min="5380" max="5625" width="9.140625" style="473"/>
    <col min="5626" max="5626" width="4.42578125" style="473" bestFit="1" customWidth="1"/>
    <col min="5627" max="5627" width="11" style="473" customWidth="1"/>
    <col min="5628" max="5628" width="62.28515625" style="473" bestFit="1" customWidth="1"/>
    <col min="5629" max="5629" width="14.42578125" style="473" customWidth="1"/>
    <col min="5630" max="5630" width="12.42578125" style="473" bestFit="1" customWidth="1"/>
    <col min="5631" max="5631" width="13" style="473" customWidth="1"/>
    <col min="5632" max="5632" width="3.28515625" style="473" customWidth="1"/>
    <col min="5633" max="5633" width="14.42578125" style="473" bestFit="1" customWidth="1"/>
    <col min="5634" max="5634" width="16.5703125" style="473" bestFit="1" customWidth="1"/>
    <col min="5635" max="5635" width="14.42578125" style="473" bestFit="1" customWidth="1"/>
    <col min="5636" max="5881" width="9.140625" style="473"/>
    <col min="5882" max="5882" width="4.42578125" style="473" bestFit="1" customWidth="1"/>
    <col min="5883" max="5883" width="11" style="473" customWidth="1"/>
    <col min="5884" max="5884" width="62.28515625" style="473" bestFit="1" customWidth="1"/>
    <col min="5885" max="5885" width="14.42578125" style="473" customWidth="1"/>
    <col min="5886" max="5886" width="12.42578125" style="473" bestFit="1" customWidth="1"/>
    <col min="5887" max="5887" width="13" style="473" customWidth="1"/>
    <col min="5888" max="5888" width="3.28515625" style="473" customWidth="1"/>
    <col min="5889" max="5889" width="14.42578125" style="473" bestFit="1" customWidth="1"/>
    <col min="5890" max="5890" width="16.5703125" style="473" bestFit="1" customWidth="1"/>
    <col min="5891" max="5891" width="14.42578125" style="473" bestFit="1" customWidth="1"/>
    <col min="5892" max="6137" width="9.140625" style="473"/>
    <col min="6138" max="6138" width="4.42578125" style="473" bestFit="1" customWidth="1"/>
    <col min="6139" max="6139" width="11" style="473" customWidth="1"/>
    <col min="6140" max="6140" width="62.28515625" style="473" bestFit="1" customWidth="1"/>
    <col min="6141" max="6141" width="14.42578125" style="473" customWidth="1"/>
    <col min="6142" max="6142" width="12.42578125" style="473" bestFit="1" customWidth="1"/>
    <col min="6143" max="6143" width="13" style="473" customWidth="1"/>
    <col min="6144" max="6144" width="3.28515625" style="473" customWidth="1"/>
    <col min="6145" max="6145" width="14.42578125" style="473" bestFit="1" customWidth="1"/>
    <col min="6146" max="6146" width="16.5703125" style="473" bestFit="1" customWidth="1"/>
    <col min="6147" max="6147" width="14.42578125" style="473" bestFit="1" customWidth="1"/>
    <col min="6148" max="6393" width="9.140625" style="473"/>
    <col min="6394" max="6394" width="4.42578125" style="473" bestFit="1" customWidth="1"/>
    <col min="6395" max="6395" width="11" style="473" customWidth="1"/>
    <col min="6396" max="6396" width="62.28515625" style="473" bestFit="1" customWidth="1"/>
    <col min="6397" max="6397" width="14.42578125" style="473" customWidth="1"/>
    <col min="6398" max="6398" width="12.42578125" style="473" bestFit="1" customWidth="1"/>
    <col min="6399" max="6399" width="13" style="473" customWidth="1"/>
    <col min="6400" max="6400" width="3.28515625" style="473" customWidth="1"/>
    <col min="6401" max="6401" width="14.42578125" style="473" bestFit="1" customWidth="1"/>
    <col min="6402" max="6402" width="16.5703125" style="473" bestFit="1" customWidth="1"/>
    <col min="6403" max="6403" width="14.42578125" style="473" bestFit="1" customWidth="1"/>
    <col min="6404" max="6649" width="9.140625" style="473"/>
    <col min="6650" max="6650" width="4.42578125" style="473" bestFit="1" customWidth="1"/>
    <col min="6651" max="6651" width="11" style="473" customWidth="1"/>
    <col min="6652" max="6652" width="62.28515625" style="473" bestFit="1" customWidth="1"/>
    <col min="6653" max="6653" width="14.42578125" style="473" customWidth="1"/>
    <col min="6654" max="6654" width="12.42578125" style="473" bestFit="1" customWidth="1"/>
    <col min="6655" max="6655" width="13" style="473" customWidth="1"/>
    <col min="6656" max="6656" width="3.28515625" style="473" customWidth="1"/>
    <col min="6657" max="6657" width="14.42578125" style="473" bestFit="1" customWidth="1"/>
    <col min="6658" max="6658" width="16.5703125" style="473" bestFit="1" customWidth="1"/>
    <col min="6659" max="6659" width="14.42578125" style="473" bestFit="1" customWidth="1"/>
    <col min="6660" max="6905" width="9.140625" style="473"/>
    <col min="6906" max="6906" width="4.42578125" style="473" bestFit="1" customWidth="1"/>
    <col min="6907" max="6907" width="11" style="473" customWidth="1"/>
    <col min="6908" max="6908" width="62.28515625" style="473" bestFit="1" customWidth="1"/>
    <col min="6909" max="6909" width="14.42578125" style="473" customWidth="1"/>
    <col min="6910" max="6910" width="12.42578125" style="473" bestFit="1" customWidth="1"/>
    <col min="6911" max="6911" width="13" style="473" customWidth="1"/>
    <col min="6912" max="6912" width="3.28515625" style="473" customWidth="1"/>
    <col min="6913" max="6913" width="14.42578125" style="473" bestFit="1" customWidth="1"/>
    <col min="6914" max="6914" width="16.5703125" style="473" bestFit="1" customWidth="1"/>
    <col min="6915" max="6915" width="14.42578125" style="473" bestFit="1" customWidth="1"/>
    <col min="6916" max="7161" width="9.140625" style="473"/>
    <col min="7162" max="7162" width="4.42578125" style="473" bestFit="1" customWidth="1"/>
    <col min="7163" max="7163" width="11" style="473" customWidth="1"/>
    <col min="7164" max="7164" width="62.28515625" style="473" bestFit="1" customWidth="1"/>
    <col min="7165" max="7165" width="14.42578125" style="473" customWidth="1"/>
    <col min="7166" max="7166" width="12.42578125" style="473" bestFit="1" customWidth="1"/>
    <col min="7167" max="7167" width="13" style="473" customWidth="1"/>
    <col min="7168" max="7168" width="3.28515625" style="473" customWidth="1"/>
    <col min="7169" max="7169" width="14.42578125" style="473" bestFit="1" customWidth="1"/>
    <col min="7170" max="7170" width="16.5703125" style="473" bestFit="1" customWidth="1"/>
    <col min="7171" max="7171" width="14.42578125" style="473" bestFit="1" customWidth="1"/>
    <col min="7172" max="7417" width="9.140625" style="473"/>
    <col min="7418" max="7418" width="4.42578125" style="473" bestFit="1" customWidth="1"/>
    <col min="7419" max="7419" width="11" style="473" customWidth="1"/>
    <col min="7420" max="7420" width="62.28515625" style="473" bestFit="1" customWidth="1"/>
    <col min="7421" max="7421" width="14.42578125" style="473" customWidth="1"/>
    <col min="7422" max="7422" width="12.42578125" style="473" bestFit="1" customWidth="1"/>
    <col min="7423" max="7423" width="13" style="473" customWidth="1"/>
    <col min="7424" max="7424" width="3.28515625" style="473" customWidth="1"/>
    <col min="7425" max="7425" width="14.42578125" style="473" bestFit="1" customWidth="1"/>
    <col min="7426" max="7426" width="16.5703125" style="473" bestFit="1" customWidth="1"/>
    <col min="7427" max="7427" width="14.42578125" style="473" bestFit="1" customWidth="1"/>
    <col min="7428" max="7673" width="9.140625" style="473"/>
    <col min="7674" max="7674" width="4.42578125" style="473" bestFit="1" customWidth="1"/>
    <col min="7675" max="7675" width="11" style="473" customWidth="1"/>
    <col min="7676" max="7676" width="62.28515625" style="473" bestFit="1" customWidth="1"/>
    <col min="7677" max="7677" width="14.42578125" style="473" customWidth="1"/>
    <col min="7678" max="7678" width="12.42578125" style="473" bestFit="1" customWidth="1"/>
    <col min="7679" max="7679" width="13" style="473" customWidth="1"/>
    <col min="7680" max="7680" width="3.28515625" style="473" customWidth="1"/>
    <col min="7681" max="7681" width="14.42578125" style="473" bestFit="1" customWidth="1"/>
    <col min="7682" max="7682" width="16.5703125" style="473" bestFit="1" customWidth="1"/>
    <col min="7683" max="7683" width="14.42578125" style="473" bestFit="1" customWidth="1"/>
    <col min="7684" max="7929" width="9.140625" style="473"/>
    <col min="7930" max="7930" width="4.42578125" style="473" bestFit="1" customWidth="1"/>
    <col min="7931" max="7931" width="11" style="473" customWidth="1"/>
    <col min="7932" max="7932" width="62.28515625" style="473" bestFit="1" customWidth="1"/>
    <col min="7933" max="7933" width="14.42578125" style="473" customWidth="1"/>
    <col min="7934" max="7934" width="12.42578125" style="473" bestFit="1" customWidth="1"/>
    <col min="7935" max="7935" width="13" style="473" customWidth="1"/>
    <col min="7936" max="7936" width="3.28515625" style="473" customWidth="1"/>
    <col min="7937" max="7937" width="14.42578125" style="473" bestFit="1" customWidth="1"/>
    <col min="7938" max="7938" width="16.5703125" style="473" bestFit="1" customWidth="1"/>
    <col min="7939" max="7939" width="14.42578125" style="473" bestFit="1" customWidth="1"/>
    <col min="7940" max="8185" width="9.140625" style="473"/>
    <col min="8186" max="8186" width="4.42578125" style="473" bestFit="1" customWidth="1"/>
    <col min="8187" max="8187" width="11" style="473" customWidth="1"/>
    <col min="8188" max="8188" width="62.28515625" style="473" bestFit="1" customWidth="1"/>
    <col min="8189" max="8189" width="14.42578125" style="473" customWidth="1"/>
    <col min="8190" max="8190" width="12.42578125" style="473" bestFit="1" customWidth="1"/>
    <col min="8191" max="8191" width="13" style="473" customWidth="1"/>
    <col min="8192" max="8192" width="3.28515625" style="473" customWidth="1"/>
    <col min="8193" max="8193" width="14.42578125" style="473" bestFit="1" customWidth="1"/>
    <col min="8194" max="8194" width="16.5703125" style="473" bestFit="1" customWidth="1"/>
    <col min="8195" max="8195" width="14.42578125" style="473" bestFit="1" customWidth="1"/>
    <col min="8196" max="8441" width="9.140625" style="473"/>
    <col min="8442" max="8442" width="4.42578125" style="473" bestFit="1" customWidth="1"/>
    <col min="8443" max="8443" width="11" style="473" customWidth="1"/>
    <col min="8444" max="8444" width="62.28515625" style="473" bestFit="1" customWidth="1"/>
    <col min="8445" max="8445" width="14.42578125" style="473" customWidth="1"/>
    <col min="8446" max="8446" width="12.42578125" style="473" bestFit="1" customWidth="1"/>
    <col min="8447" max="8447" width="13" style="473" customWidth="1"/>
    <col min="8448" max="8448" width="3.28515625" style="473" customWidth="1"/>
    <col min="8449" max="8449" width="14.42578125" style="473" bestFit="1" customWidth="1"/>
    <col min="8450" max="8450" width="16.5703125" style="473" bestFit="1" customWidth="1"/>
    <col min="8451" max="8451" width="14.42578125" style="473" bestFit="1" customWidth="1"/>
    <col min="8452" max="8697" width="9.140625" style="473"/>
    <col min="8698" max="8698" width="4.42578125" style="473" bestFit="1" customWidth="1"/>
    <col min="8699" max="8699" width="11" style="473" customWidth="1"/>
    <col min="8700" max="8700" width="62.28515625" style="473" bestFit="1" customWidth="1"/>
    <col min="8701" max="8701" width="14.42578125" style="473" customWidth="1"/>
    <col min="8702" max="8702" width="12.42578125" style="473" bestFit="1" customWidth="1"/>
    <col min="8703" max="8703" width="13" style="473" customWidth="1"/>
    <col min="8704" max="8704" width="3.28515625" style="473" customWidth="1"/>
    <col min="8705" max="8705" width="14.42578125" style="473" bestFit="1" customWidth="1"/>
    <col min="8706" max="8706" width="16.5703125" style="473" bestFit="1" customWidth="1"/>
    <col min="8707" max="8707" width="14.42578125" style="473" bestFit="1" customWidth="1"/>
    <col min="8708" max="8953" width="9.140625" style="473"/>
    <col min="8954" max="8954" width="4.42578125" style="473" bestFit="1" customWidth="1"/>
    <col min="8955" max="8955" width="11" style="473" customWidth="1"/>
    <col min="8956" max="8956" width="62.28515625" style="473" bestFit="1" customWidth="1"/>
    <col min="8957" max="8957" width="14.42578125" style="473" customWidth="1"/>
    <col min="8958" max="8958" width="12.42578125" style="473" bestFit="1" customWidth="1"/>
    <col min="8959" max="8959" width="13" style="473" customWidth="1"/>
    <col min="8960" max="8960" width="3.28515625" style="473" customWidth="1"/>
    <col min="8961" max="8961" width="14.42578125" style="473" bestFit="1" customWidth="1"/>
    <col min="8962" max="8962" width="16.5703125" style="473" bestFit="1" customWidth="1"/>
    <col min="8963" max="8963" width="14.42578125" style="473" bestFit="1" customWidth="1"/>
    <col min="8964" max="9209" width="9.140625" style="473"/>
    <col min="9210" max="9210" width="4.42578125" style="473" bestFit="1" customWidth="1"/>
    <col min="9211" max="9211" width="11" style="473" customWidth="1"/>
    <col min="9212" max="9212" width="62.28515625" style="473" bestFit="1" customWidth="1"/>
    <col min="9213" max="9213" width="14.42578125" style="473" customWidth="1"/>
    <col min="9214" max="9214" width="12.42578125" style="473" bestFit="1" customWidth="1"/>
    <col min="9215" max="9215" width="13" style="473" customWidth="1"/>
    <col min="9216" max="9216" width="3.28515625" style="473" customWidth="1"/>
    <col min="9217" max="9217" width="14.42578125" style="473" bestFit="1" customWidth="1"/>
    <col min="9218" max="9218" width="16.5703125" style="473" bestFit="1" customWidth="1"/>
    <col min="9219" max="9219" width="14.42578125" style="473" bestFit="1" customWidth="1"/>
    <col min="9220" max="9465" width="9.140625" style="473"/>
    <col min="9466" max="9466" width="4.42578125" style="473" bestFit="1" customWidth="1"/>
    <col min="9467" max="9467" width="11" style="473" customWidth="1"/>
    <col min="9468" max="9468" width="62.28515625" style="473" bestFit="1" customWidth="1"/>
    <col min="9469" max="9469" width="14.42578125" style="473" customWidth="1"/>
    <col min="9470" max="9470" width="12.42578125" style="473" bestFit="1" customWidth="1"/>
    <col min="9471" max="9471" width="13" style="473" customWidth="1"/>
    <col min="9472" max="9472" width="3.28515625" style="473" customWidth="1"/>
    <col min="9473" max="9473" width="14.42578125" style="473" bestFit="1" customWidth="1"/>
    <col min="9474" max="9474" width="16.5703125" style="473" bestFit="1" customWidth="1"/>
    <col min="9475" max="9475" width="14.42578125" style="473" bestFit="1" customWidth="1"/>
    <col min="9476" max="9721" width="9.140625" style="473"/>
    <col min="9722" max="9722" width="4.42578125" style="473" bestFit="1" customWidth="1"/>
    <col min="9723" max="9723" width="11" style="473" customWidth="1"/>
    <col min="9724" max="9724" width="62.28515625" style="473" bestFit="1" customWidth="1"/>
    <col min="9725" max="9725" width="14.42578125" style="473" customWidth="1"/>
    <col min="9726" max="9726" width="12.42578125" style="473" bestFit="1" customWidth="1"/>
    <col min="9727" max="9727" width="13" style="473" customWidth="1"/>
    <col min="9728" max="9728" width="3.28515625" style="473" customWidth="1"/>
    <col min="9729" max="9729" width="14.42578125" style="473" bestFit="1" customWidth="1"/>
    <col min="9730" max="9730" width="16.5703125" style="473" bestFit="1" customWidth="1"/>
    <col min="9731" max="9731" width="14.42578125" style="473" bestFit="1" customWidth="1"/>
    <col min="9732" max="9977" width="9.140625" style="473"/>
    <col min="9978" max="9978" width="4.42578125" style="473" bestFit="1" customWidth="1"/>
    <col min="9979" max="9979" width="11" style="473" customWidth="1"/>
    <col min="9980" max="9980" width="62.28515625" style="473" bestFit="1" customWidth="1"/>
    <col min="9981" max="9981" width="14.42578125" style="473" customWidth="1"/>
    <col min="9982" max="9982" width="12.42578125" style="473" bestFit="1" customWidth="1"/>
    <col min="9983" max="9983" width="13" style="473" customWidth="1"/>
    <col min="9984" max="9984" width="3.28515625" style="473" customWidth="1"/>
    <col min="9985" max="9985" width="14.42578125" style="473" bestFit="1" customWidth="1"/>
    <col min="9986" max="9986" width="16.5703125" style="473" bestFit="1" customWidth="1"/>
    <col min="9987" max="9987" width="14.42578125" style="473" bestFit="1" customWidth="1"/>
    <col min="9988" max="10233" width="9.140625" style="473"/>
    <col min="10234" max="10234" width="4.42578125" style="473" bestFit="1" customWidth="1"/>
    <col min="10235" max="10235" width="11" style="473" customWidth="1"/>
    <col min="10236" max="10236" width="62.28515625" style="473" bestFit="1" customWidth="1"/>
    <col min="10237" max="10237" width="14.42578125" style="473" customWidth="1"/>
    <col min="10238" max="10238" width="12.42578125" style="473" bestFit="1" customWidth="1"/>
    <col min="10239" max="10239" width="13" style="473" customWidth="1"/>
    <col min="10240" max="10240" width="3.28515625" style="473" customWidth="1"/>
    <col min="10241" max="10241" width="14.42578125" style="473" bestFit="1" customWidth="1"/>
    <col min="10242" max="10242" width="16.5703125" style="473" bestFit="1" customWidth="1"/>
    <col min="10243" max="10243" width="14.42578125" style="473" bestFit="1" customWidth="1"/>
    <col min="10244" max="10489" width="9.140625" style="473"/>
    <col min="10490" max="10490" width="4.42578125" style="473" bestFit="1" customWidth="1"/>
    <col min="10491" max="10491" width="11" style="473" customWidth="1"/>
    <col min="10492" max="10492" width="62.28515625" style="473" bestFit="1" customWidth="1"/>
    <col min="10493" max="10493" width="14.42578125" style="473" customWidth="1"/>
    <col min="10494" max="10494" width="12.42578125" style="473" bestFit="1" customWidth="1"/>
    <col min="10495" max="10495" width="13" style="473" customWidth="1"/>
    <col min="10496" max="10496" width="3.28515625" style="473" customWidth="1"/>
    <col min="10497" max="10497" width="14.42578125" style="473" bestFit="1" customWidth="1"/>
    <col min="10498" max="10498" width="16.5703125" style="473" bestFit="1" customWidth="1"/>
    <col min="10499" max="10499" width="14.42578125" style="473" bestFit="1" customWidth="1"/>
    <col min="10500" max="10745" width="9.140625" style="473"/>
    <col min="10746" max="10746" width="4.42578125" style="473" bestFit="1" customWidth="1"/>
    <col min="10747" max="10747" width="11" style="473" customWidth="1"/>
    <col min="10748" max="10748" width="62.28515625" style="473" bestFit="1" customWidth="1"/>
    <col min="10749" max="10749" width="14.42578125" style="473" customWidth="1"/>
    <col min="10750" max="10750" width="12.42578125" style="473" bestFit="1" customWidth="1"/>
    <col min="10751" max="10751" width="13" style="473" customWidth="1"/>
    <col min="10752" max="10752" width="3.28515625" style="473" customWidth="1"/>
    <col min="10753" max="10753" width="14.42578125" style="473" bestFit="1" customWidth="1"/>
    <col min="10754" max="10754" width="16.5703125" style="473" bestFit="1" customWidth="1"/>
    <col min="10755" max="10755" width="14.42578125" style="473" bestFit="1" customWidth="1"/>
    <col min="10756" max="11001" width="9.140625" style="473"/>
    <col min="11002" max="11002" width="4.42578125" style="473" bestFit="1" customWidth="1"/>
    <col min="11003" max="11003" width="11" style="473" customWidth="1"/>
    <col min="11004" max="11004" width="62.28515625" style="473" bestFit="1" customWidth="1"/>
    <col min="11005" max="11005" width="14.42578125" style="473" customWidth="1"/>
    <col min="11006" max="11006" width="12.42578125" style="473" bestFit="1" customWidth="1"/>
    <col min="11007" max="11007" width="13" style="473" customWidth="1"/>
    <col min="11008" max="11008" width="3.28515625" style="473" customWidth="1"/>
    <col min="11009" max="11009" width="14.42578125" style="473" bestFit="1" customWidth="1"/>
    <col min="11010" max="11010" width="16.5703125" style="473" bestFit="1" customWidth="1"/>
    <col min="11011" max="11011" width="14.42578125" style="473" bestFit="1" customWidth="1"/>
    <col min="11012" max="11257" width="9.140625" style="473"/>
    <col min="11258" max="11258" width="4.42578125" style="473" bestFit="1" customWidth="1"/>
    <col min="11259" max="11259" width="11" style="473" customWidth="1"/>
    <col min="11260" max="11260" width="62.28515625" style="473" bestFit="1" customWidth="1"/>
    <col min="11261" max="11261" width="14.42578125" style="473" customWidth="1"/>
    <col min="11262" max="11262" width="12.42578125" style="473" bestFit="1" customWidth="1"/>
    <col min="11263" max="11263" width="13" style="473" customWidth="1"/>
    <col min="11264" max="11264" width="3.28515625" style="473" customWidth="1"/>
    <col min="11265" max="11265" width="14.42578125" style="473" bestFit="1" customWidth="1"/>
    <col min="11266" max="11266" width="16.5703125" style="473" bestFit="1" customWidth="1"/>
    <col min="11267" max="11267" width="14.42578125" style="473" bestFit="1" customWidth="1"/>
    <col min="11268" max="11513" width="9.140625" style="473"/>
    <col min="11514" max="11514" width="4.42578125" style="473" bestFit="1" customWidth="1"/>
    <col min="11515" max="11515" width="11" style="473" customWidth="1"/>
    <col min="11516" max="11516" width="62.28515625" style="473" bestFit="1" customWidth="1"/>
    <col min="11517" max="11517" width="14.42578125" style="473" customWidth="1"/>
    <col min="11518" max="11518" width="12.42578125" style="473" bestFit="1" customWidth="1"/>
    <col min="11519" max="11519" width="13" style="473" customWidth="1"/>
    <col min="11520" max="11520" width="3.28515625" style="473" customWidth="1"/>
    <col min="11521" max="11521" width="14.42578125" style="473" bestFit="1" customWidth="1"/>
    <col min="11522" max="11522" width="16.5703125" style="473" bestFit="1" customWidth="1"/>
    <col min="11523" max="11523" width="14.42578125" style="473" bestFit="1" customWidth="1"/>
    <col min="11524" max="11769" width="9.140625" style="473"/>
    <col min="11770" max="11770" width="4.42578125" style="473" bestFit="1" customWidth="1"/>
    <col min="11771" max="11771" width="11" style="473" customWidth="1"/>
    <col min="11772" max="11772" width="62.28515625" style="473" bestFit="1" customWidth="1"/>
    <col min="11773" max="11773" width="14.42578125" style="473" customWidth="1"/>
    <col min="11774" max="11774" width="12.42578125" style="473" bestFit="1" customWidth="1"/>
    <col min="11775" max="11775" width="13" style="473" customWidth="1"/>
    <col min="11776" max="11776" width="3.28515625" style="473" customWidth="1"/>
    <col min="11777" max="11777" width="14.42578125" style="473" bestFit="1" customWidth="1"/>
    <col min="11778" max="11778" width="16.5703125" style="473" bestFit="1" customWidth="1"/>
    <col min="11779" max="11779" width="14.42578125" style="473" bestFit="1" customWidth="1"/>
    <col min="11780" max="12025" width="9.140625" style="473"/>
    <col min="12026" max="12026" width="4.42578125" style="473" bestFit="1" customWidth="1"/>
    <col min="12027" max="12027" width="11" style="473" customWidth="1"/>
    <col min="12028" max="12028" width="62.28515625" style="473" bestFit="1" customWidth="1"/>
    <col min="12029" max="12029" width="14.42578125" style="473" customWidth="1"/>
    <col min="12030" max="12030" width="12.42578125" style="473" bestFit="1" customWidth="1"/>
    <col min="12031" max="12031" width="13" style="473" customWidth="1"/>
    <col min="12032" max="12032" width="3.28515625" style="473" customWidth="1"/>
    <col min="12033" max="12033" width="14.42578125" style="473" bestFit="1" customWidth="1"/>
    <col min="12034" max="12034" width="16.5703125" style="473" bestFit="1" customWidth="1"/>
    <col min="12035" max="12035" width="14.42578125" style="473" bestFit="1" customWidth="1"/>
    <col min="12036" max="12281" width="9.140625" style="473"/>
    <col min="12282" max="12282" width="4.42578125" style="473" bestFit="1" customWidth="1"/>
    <col min="12283" max="12283" width="11" style="473" customWidth="1"/>
    <col min="12284" max="12284" width="62.28515625" style="473" bestFit="1" customWidth="1"/>
    <col min="12285" max="12285" width="14.42578125" style="473" customWidth="1"/>
    <col min="12286" max="12286" width="12.42578125" style="473" bestFit="1" customWidth="1"/>
    <col min="12287" max="12287" width="13" style="473" customWidth="1"/>
    <col min="12288" max="12288" width="3.28515625" style="473" customWidth="1"/>
    <col min="12289" max="12289" width="14.42578125" style="473" bestFit="1" customWidth="1"/>
    <col min="12290" max="12290" width="16.5703125" style="473" bestFit="1" customWidth="1"/>
    <col min="12291" max="12291" width="14.42578125" style="473" bestFit="1" customWidth="1"/>
    <col min="12292" max="12537" width="9.140625" style="473"/>
    <col min="12538" max="12538" width="4.42578125" style="473" bestFit="1" customWidth="1"/>
    <col min="12539" max="12539" width="11" style="473" customWidth="1"/>
    <col min="12540" max="12540" width="62.28515625" style="473" bestFit="1" customWidth="1"/>
    <col min="12541" max="12541" width="14.42578125" style="473" customWidth="1"/>
    <col min="12542" max="12542" width="12.42578125" style="473" bestFit="1" customWidth="1"/>
    <col min="12543" max="12543" width="13" style="473" customWidth="1"/>
    <col min="12544" max="12544" width="3.28515625" style="473" customWidth="1"/>
    <col min="12545" max="12545" width="14.42578125" style="473" bestFit="1" customWidth="1"/>
    <col min="12546" max="12546" width="16.5703125" style="473" bestFit="1" customWidth="1"/>
    <col min="12547" max="12547" width="14.42578125" style="473" bestFit="1" customWidth="1"/>
    <col min="12548" max="12793" width="9.140625" style="473"/>
    <col min="12794" max="12794" width="4.42578125" style="473" bestFit="1" customWidth="1"/>
    <col min="12795" max="12795" width="11" style="473" customWidth="1"/>
    <col min="12796" max="12796" width="62.28515625" style="473" bestFit="1" customWidth="1"/>
    <col min="12797" max="12797" width="14.42578125" style="473" customWidth="1"/>
    <col min="12798" max="12798" width="12.42578125" style="473" bestFit="1" customWidth="1"/>
    <col min="12799" max="12799" width="13" style="473" customWidth="1"/>
    <col min="12800" max="12800" width="3.28515625" style="473" customWidth="1"/>
    <col min="12801" max="12801" width="14.42578125" style="473" bestFit="1" customWidth="1"/>
    <col min="12802" max="12802" width="16.5703125" style="473" bestFit="1" customWidth="1"/>
    <col min="12803" max="12803" width="14.42578125" style="473" bestFit="1" customWidth="1"/>
    <col min="12804" max="13049" width="9.140625" style="473"/>
    <col min="13050" max="13050" width="4.42578125" style="473" bestFit="1" customWidth="1"/>
    <col min="13051" max="13051" width="11" style="473" customWidth="1"/>
    <col min="13052" max="13052" width="62.28515625" style="473" bestFit="1" customWidth="1"/>
    <col min="13053" max="13053" width="14.42578125" style="473" customWidth="1"/>
    <col min="13054" max="13054" width="12.42578125" style="473" bestFit="1" customWidth="1"/>
    <col min="13055" max="13055" width="13" style="473" customWidth="1"/>
    <col min="13056" max="13056" width="3.28515625" style="473" customWidth="1"/>
    <col min="13057" max="13057" width="14.42578125" style="473" bestFit="1" customWidth="1"/>
    <col min="13058" max="13058" width="16.5703125" style="473" bestFit="1" customWidth="1"/>
    <col min="13059" max="13059" width="14.42578125" style="473" bestFit="1" customWidth="1"/>
    <col min="13060" max="13305" width="9.140625" style="473"/>
    <col min="13306" max="13306" width="4.42578125" style="473" bestFit="1" customWidth="1"/>
    <col min="13307" max="13307" width="11" style="473" customWidth="1"/>
    <col min="13308" max="13308" width="62.28515625" style="473" bestFit="1" customWidth="1"/>
    <col min="13309" max="13309" width="14.42578125" style="473" customWidth="1"/>
    <col min="13310" max="13310" width="12.42578125" style="473" bestFit="1" customWidth="1"/>
    <col min="13311" max="13311" width="13" style="473" customWidth="1"/>
    <col min="13312" max="13312" width="3.28515625" style="473" customWidth="1"/>
    <col min="13313" max="13313" width="14.42578125" style="473" bestFit="1" customWidth="1"/>
    <col min="13314" max="13314" width="16.5703125" style="473" bestFit="1" customWidth="1"/>
    <col min="13315" max="13315" width="14.42578125" style="473" bestFit="1" customWidth="1"/>
    <col min="13316" max="13561" width="9.140625" style="473"/>
    <col min="13562" max="13562" width="4.42578125" style="473" bestFit="1" customWidth="1"/>
    <col min="13563" max="13563" width="11" style="473" customWidth="1"/>
    <col min="13564" max="13564" width="62.28515625" style="473" bestFit="1" customWidth="1"/>
    <col min="13565" max="13565" width="14.42578125" style="473" customWidth="1"/>
    <col min="13566" max="13566" width="12.42578125" style="473" bestFit="1" customWidth="1"/>
    <col min="13567" max="13567" width="13" style="473" customWidth="1"/>
    <col min="13568" max="13568" width="3.28515625" style="473" customWidth="1"/>
    <col min="13569" max="13569" width="14.42578125" style="473" bestFit="1" customWidth="1"/>
    <col min="13570" max="13570" width="16.5703125" style="473" bestFit="1" customWidth="1"/>
    <col min="13571" max="13571" width="14.42578125" style="473" bestFit="1" customWidth="1"/>
    <col min="13572" max="13817" width="9.140625" style="473"/>
    <col min="13818" max="13818" width="4.42578125" style="473" bestFit="1" customWidth="1"/>
    <col min="13819" max="13819" width="11" style="473" customWidth="1"/>
    <col min="13820" max="13820" width="62.28515625" style="473" bestFit="1" customWidth="1"/>
    <col min="13821" max="13821" width="14.42578125" style="473" customWidth="1"/>
    <col min="13822" max="13822" width="12.42578125" style="473" bestFit="1" customWidth="1"/>
    <col min="13823" max="13823" width="13" style="473" customWidth="1"/>
    <col min="13824" max="13824" width="3.28515625" style="473" customWidth="1"/>
    <col min="13825" max="13825" width="14.42578125" style="473" bestFit="1" customWidth="1"/>
    <col min="13826" max="13826" width="16.5703125" style="473" bestFit="1" customWidth="1"/>
    <col min="13827" max="13827" width="14.42578125" style="473" bestFit="1" customWidth="1"/>
    <col min="13828" max="14073" width="9.140625" style="473"/>
    <col min="14074" max="14074" width="4.42578125" style="473" bestFit="1" customWidth="1"/>
    <col min="14075" max="14075" width="11" style="473" customWidth="1"/>
    <col min="14076" max="14076" width="62.28515625" style="473" bestFit="1" customWidth="1"/>
    <col min="14077" max="14077" width="14.42578125" style="473" customWidth="1"/>
    <col min="14078" max="14078" width="12.42578125" style="473" bestFit="1" customWidth="1"/>
    <col min="14079" max="14079" width="13" style="473" customWidth="1"/>
    <col min="14080" max="14080" width="3.28515625" style="473" customWidth="1"/>
    <col min="14081" max="14081" width="14.42578125" style="473" bestFit="1" customWidth="1"/>
    <col min="14082" max="14082" width="16.5703125" style="473" bestFit="1" customWidth="1"/>
    <col min="14083" max="14083" width="14.42578125" style="473" bestFit="1" customWidth="1"/>
    <col min="14084" max="14329" width="9.140625" style="473"/>
    <col min="14330" max="14330" width="4.42578125" style="473" bestFit="1" customWidth="1"/>
    <col min="14331" max="14331" width="11" style="473" customWidth="1"/>
    <col min="14332" max="14332" width="62.28515625" style="473" bestFit="1" customWidth="1"/>
    <col min="14333" max="14333" width="14.42578125" style="473" customWidth="1"/>
    <col min="14334" max="14334" width="12.42578125" style="473" bestFit="1" customWidth="1"/>
    <col min="14335" max="14335" width="13" style="473" customWidth="1"/>
    <col min="14336" max="14336" width="3.28515625" style="473" customWidth="1"/>
    <col min="14337" max="14337" width="14.42578125" style="473" bestFit="1" customWidth="1"/>
    <col min="14338" max="14338" width="16.5703125" style="473" bestFit="1" customWidth="1"/>
    <col min="14339" max="14339" width="14.42578125" style="473" bestFit="1" customWidth="1"/>
    <col min="14340" max="14585" width="9.140625" style="473"/>
    <col min="14586" max="14586" width="4.42578125" style="473" bestFit="1" customWidth="1"/>
    <col min="14587" max="14587" width="11" style="473" customWidth="1"/>
    <col min="14588" max="14588" width="62.28515625" style="473" bestFit="1" customWidth="1"/>
    <col min="14589" max="14589" width="14.42578125" style="473" customWidth="1"/>
    <col min="14590" max="14590" width="12.42578125" style="473" bestFit="1" customWidth="1"/>
    <col min="14591" max="14591" width="13" style="473" customWidth="1"/>
    <col min="14592" max="14592" width="3.28515625" style="473" customWidth="1"/>
    <col min="14593" max="14593" width="14.42578125" style="473" bestFit="1" customWidth="1"/>
    <col min="14594" max="14594" width="16.5703125" style="473" bestFit="1" customWidth="1"/>
    <col min="14595" max="14595" width="14.42578125" style="473" bestFit="1" customWidth="1"/>
    <col min="14596" max="14841" width="9.140625" style="473"/>
    <col min="14842" max="14842" width="4.42578125" style="473" bestFit="1" customWidth="1"/>
    <col min="14843" max="14843" width="11" style="473" customWidth="1"/>
    <col min="14844" max="14844" width="62.28515625" style="473" bestFit="1" customWidth="1"/>
    <col min="14845" max="14845" width="14.42578125" style="473" customWidth="1"/>
    <col min="14846" max="14846" width="12.42578125" style="473" bestFit="1" customWidth="1"/>
    <col min="14847" max="14847" width="13" style="473" customWidth="1"/>
    <col min="14848" max="14848" width="3.28515625" style="473" customWidth="1"/>
    <col min="14849" max="14849" width="14.42578125" style="473" bestFit="1" customWidth="1"/>
    <col min="14850" max="14850" width="16.5703125" style="473" bestFit="1" customWidth="1"/>
    <col min="14851" max="14851" width="14.42578125" style="473" bestFit="1" customWidth="1"/>
    <col min="14852" max="15097" width="9.140625" style="473"/>
    <col min="15098" max="15098" width="4.42578125" style="473" bestFit="1" customWidth="1"/>
    <col min="15099" max="15099" width="11" style="473" customWidth="1"/>
    <col min="15100" max="15100" width="62.28515625" style="473" bestFit="1" customWidth="1"/>
    <col min="15101" max="15101" width="14.42578125" style="473" customWidth="1"/>
    <col min="15102" max="15102" width="12.42578125" style="473" bestFit="1" customWidth="1"/>
    <col min="15103" max="15103" width="13" style="473" customWidth="1"/>
    <col min="15104" max="15104" width="3.28515625" style="473" customWidth="1"/>
    <col min="15105" max="15105" width="14.42578125" style="473" bestFit="1" customWidth="1"/>
    <col min="15106" max="15106" width="16.5703125" style="473" bestFit="1" customWidth="1"/>
    <col min="15107" max="15107" width="14.42578125" style="473" bestFit="1" customWidth="1"/>
    <col min="15108" max="15353" width="9.140625" style="473"/>
    <col min="15354" max="15354" width="4.42578125" style="473" bestFit="1" customWidth="1"/>
    <col min="15355" max="15355" width="11" style="473" customWidth="1"/>
    <col min="15356" max="15356" width="62.28515625" style="473" bestFit="1" customWidth="1"/>
    <col min="15357" max="15357" width="14.42578125" style="473" customWidth="1"/>
    <col min="15358" max="15358" width="12.42578125" style="473" bestFit="1" customWidth="1"/>
    <col min="15359" max="15359" width="13" style="473" customWidth="1"/>
    <col min="15360" max="15360" width="3.28515625" style="473" customWidth="1"/>
    <col min="15361" max="15361" width="14.42578125" style="473" bestFit="1" customWidth="1"/>
    <col min="15362" max="15362" width="16.5703125" style="473" bestFit="1" customWidth="1"/>
    <col min="15363" max="15363" width="14.42578125" style="473" bestFit="1" customWidth="1"/>
    <col min="15364" max="15609" width="9.140625" style="473"/>
    <col min="15610" max="15610" width="4.42578125" style="473" bestFit="1" customWidth="1"/>
    <col min="15611" max="15611" width="11" style="473" customWidth="1"/>
    <col min="15612" max="15612" width="62.28515625" style="473" bestFit="1" customWidth="1"/>
    <col min="15613" max="15613" width="14.42578125" style="473" customWidth="1"/>
    <col min="15614" max="15614" width="12.42578125" style="473" bestFit="1" customWidth="1"/>
    <col min="15615" max="15615" width="13" style="473" customWidth="1"/>
    <col min="15616" max="15616" width="3.28515625" style="473" customWidth="1"/>
    <col min="15617" max="15617" width="14.42578125" style="473" bestFit="1" customWidth="1"/>
    <col min="15618" max="15618" width="16.5703125" style="473" bestFit="1" customWidth="1"/>
    <col min="15619" max="15619" width="14.42578125" style="473" bestFit="1" customWidth="1"/>
    <col min="15620" max="15865" width="9.140625" style="473"/>
    <col min="15866" max="15866" width="4.42578125" style="473" bestFit="1" customWidth="1"/>
    <col min="15867" max="15867" width="11" style="473" customWidth="1"/>
    <col min="15868" max="15868" width="62.28515625" style="473" bestFit="1" customWidth="1"/>
    <col min="15869" max="15869" width="14.42578125" style="473" customWidth="1"/>
    <col min="15870" max="15870" width="12.42578125" style="473" bestFit="1" customWidth="1"/>
    <col min="15871" max="15871" width="13" style="473" customWidth="1"/>
    <col min="15872" max="15872" width="3.28515625" style="473" customWidth="1"/>
    <col min="15873" max="15873" width="14.42578125" style="473" bestFit="1" customWidth="1"/>
    <col min="15874" max="15874" width="16.5703125" style="473" bestFit="1" customWidth="1"/>
    <col min="15875" max="15875" width="14.42578125" style="473" bestFit="1" customWidth="1"/>
    <col min="15876" max="16121" width="9.140625" style="473"/>
    <col min="16122" max="16122" width="4.42578125" style="473" bestFit="1" customWidth="1"/>
    <col min="16123" max="16123" width="11" style="473" customWidth="1"/>
    <col min="16124" max="16124" width="62.28515625" style="473" bestFit="1" customWidth="1"/>
    <col min="16125" max="16125" width="14.42578125" style="473" customWidth="1"/>
    <col min="16126" max="16126" width="12.42578125" style="473" bestFit="1" customWidth="1"/>
    <col min="16127" max="16127" width="13" style="473" customWidth="1"/>
    <col min="16128" max="16128" width="3.28515625" style="473" customWidth="1"/>
    <col min="16129" max="16129" width="14.42578125" style="473" bestFit="1" customWidth="1"/>
    <col min="16130" max="16130" width="16.5703125" style="473" bestFit="1" customWidth="1"/>
    <col min="16131" max="16131" width="14.42578125" style="473" bestFit="1" customWidth="1"/>
    <col min="16132" max="16384" width="9.140625" style="473"/>
  </cols>
  <sheetData>
    <row r="1" spans="1:7">
      <c r="A1" s="561" t="s">
        <v>0</v>
      </c>
      <c r="B1" s="561"/>
      <c r="C1" s="561"/>
      <c r="D1" s="561"/>
      <c r="E1" s="561"/>
      <c r="F1" s="561"/>
      <c r="G1" s="476"/>
    </row>
    <row r="2" spans="1:7">
      <c r="A2" s="561" t="s">
        <v>564</v>
      </c>
      <c r="B2" s="561"/>
      <c r="C2" s="561"/>
      <c r="D2" s="561"/>
      <c r="E2" s="561"/>
      <c r="F2" s="561"/>
      <c r="G2" s="476"/>
    </row>
    <row r="3" spans="1:7">
      <c r="A3" s="476"/>
      <c r="B3" s="476"/>
      <c r="C3" s="476"/>
      <c r="D3" s="476"/>
      <c r="E3" s="476"/>
      <c r="F3" s="476"/>
      <c r="G3" s="476"/>
    </row>
    <row r="4" spans="1:7">
      <c r="A4" s="491"/>
      <c r="B4" s="491"/>
      <c r="C4" s="491"/>
      <c r="D4" s="491"/>
      <c r="E4" s="491"/>
    </row>
    <row r="5" spans="1:7" s="488" customFormat="1" ht="51">
      <c r="A5" s="489" t="s">
        <v>2</v>
      </c>
      <c r="B5" s="489" t="s">
        <v>563</v>
      </c>
      <c r="C5" s="490" t="s">
        <v>562</v>
      </c>
      <c r="D5" s="489" t="s">
        <v>561</v>
      </c>
      <c r="E5" s="489" t="s">
        <v>560</v>
      </c>
      <c r="F5" s="489" t="s">
        <v>559</v>
      </c>
      <c r="G5" s="489" t="s">
        <v>558</v>
      </c>
    </row>
    <row r="6" spans="1:7">
      <c r="D6" s="488" t="s">
        <v>132</v>
      </c>
      <c r="E6" s="488" t="s">
        <v>557</v>
      </c>
      <c r="F6" s="488" t="s">
        <v>556</v>
      </c>
      <c r="G6" s="488" t="s">
        <v>555</v>
      </c>
    </row>
    <row r="7" spans="1:7">
      <c r="A7" s="476">
        <v>1</v>
      </c>
      <c r="B7" s="476">
        <v>7</v>
      </c>
      <c r="C7" s="473" t="s">
        <v>56</v>
      </c>
    </row>
    <row r="8" spans="1:7">
      <c r="A8" s="476">
        <f t="shared" ref="A8:A39" si="0">+A7+1</f>
        <v>2</v>
      </c>
      <c r="B8" s="476">
        <v>7</v>
      </c>
      <c r="C8" s="480" t="s">
        <v>532</v>
      </c>
      <c r="D8" s="474">
        <v>7.49</v>
      </c>
      <c r="E8" s="474">
        <v>7.49</v>
      </c>
      <c r="F8" s="474">
        <f>+E8-D8</f>
        <v>0</v>
      </c>
      <c r="G8" s="474">
        <f>-F8</f>
        <v>0</v>
      </c>
    </row>
    <row r="9" spans="1:7">
      <c r="A9" s="476">
        <f t="shared" si="0"/>
        <v>3</v>
      </c>
      <c r="B9" s="476">
        <v>7</v>
      </c>
      <c r="C9" s="480" t="s">
        <v>531</v>
      </c>
      <c r="D9" s="474">
        <v>17.989999999999998</v>
      </c>
      <c r="E9" s="474">
        <v>17.989999999999998</v>
      </c>
      <c r="F9" s="474">
        <f>+E9-D9</f>
        <v>0</v>
      </c>
      <c r="G9" s="474">
        <f>-F9</f>
        <v>0</v>
      </c>
    </row>
    <row r="10" spans="1:7">
      <c r="A10" s="476">
        <f t="shared" si="0"/>
        <v>4</v>
      </c>
      <c r="B10" s="476">
        <f>+$B$7</f>
        <v>7</v>
      </c>
      <c r="C10" s="480"/>
      <c r="D10" s="474"/>
      <c r="E10" s="474"/>
      <c r="F10" s="474"/>
      <c r="G10" s="474"/>
    </row>
    <row r="11" spans="1:7">
      <c r="A11" s="476">
        <f t="shared" si="0"/>
        <v>5</v>
      </c>
      <c r="B11" s="476">
        <f>+$B$7</f>
        <v>7</v>
      </c>
      <c r="C11" s="480" t="s">
        <v>554</v>
      </c>
      <c r="D11" s="481">
        <v>8.7335999999999997E-2</v>
      </c>
      <c r="E11" s="481">
        <v>8.8761000000000007E-2</v>
      </c>
      <c r="F11" s="481">
        <f>+E11-D11</f>
        <v>1.4250000000000096E-3</v>
      </c>
      <c r="G11" s="481">
        <f>-F11</f>
        <v>-1.4250000000000096E-3</v>
      </c>
    </row>
    <row r="12" spans="1:7">
      <c r="A12" s="476">
        <f t="shared" si="0"/>
        <v>6</v>
      </c>
      <c r="B12" s="476">
        <f>+$B$7</f>
        <v>7</v>
      </c>
      <c r="C12" s="480" t="s">
        <v>553</v>
      </c>
      <c r="D12" s="481">
        <v>0.106297</v>
      </c>
      <c r="E12" s="481">
        <v>0.108031</v>
      </c>
      <c r="F12" s="481">
        <f>+E12-D12</f>
        <v>1.7339999999999994E-3</v>
      </c>
      <c r="G12" s="481">
        <f>-F12</f>
        <v>-1.7339999999999994E-3</v>
      </c>
    </row>
    <row r="13" spans="1:7">
      <c r="A13" s="476">
        <f t="shared" si="0"/>
        <v>7</v>
      </c>
    </row>
    <row r="14" spans="1:7">
      <c r="A14" s="476">
        <f t="shared" si="0"/>
        <v>8</v>
      </c>
      <c r="B14" s="476" t="s">
        <v>552</v>
      </c>
      <c r="C14" s="478" t="s">
        <v>551</v>
      </c>
      <c r="D14" s="474"/>
      <c r="E14" s="474"/>
      <c r="F14" s="474"/>
      <c r="G14" s="474"/>
    </row>
    <row r="15" spans="1:7">
      <c r="A15" s="476">
        <f t="shared" si="0"/>
        <v>9</v>
      </c>
      <c r="B15" s="476" t="str">
        <f>+$B$14</f>
        <v>24 (08)</v>
      </c>
      <c r="C15" s="480" t="s">
        <v>532</v>
      </c>
      <c r="D15" s="474">
        <v>9.8000000000000007</v>
      </c>
      <c r="E15" s="474">
        <v>9.91</v>
      </c>
      <c r="F15" s="474">
        <f>+E15-D15</f>
        <v>0.10999999999999943</v>
      </c>
      <c r="G15" s="474">
        <f>-F15</f>
        <v>-0.10999999999999943</v>
      </c>
    </row>
    <row r="16" spans="1:7">
      <c r="A16" s="476">
        <f t="shared" si="0"/>
        <v>10</v>
      </c>
      <c r="B16" s="476" t="str">
        <f>+$B$14</f>
        <v>24 (08)</v>
      </c>
      <c r="C16" s="480" t="s">
        <v>531</v>
      </c>
      <c r="D16" s="474">
        <v>24.9</v>
      </c>
      <c r="E16" s="474">
        <v>25.18</v>
      </c>
      <c r="F16" s="474">
        <f>+E16-D16</f>
        <v>0.28000000000000114</v>
      </c>
      <c r="G16" s="474">
        <f>-F16</f>
        <v>-0.28000000000000114</v>
      </c>
    </row>
    <row r="17" spans="1:7">
      <c r="A17" s="476">
        <f t="shared" si="0"/>
        <v>11</v>
      </c>
      <c r="B17" s="476" t="str">
        <f>+$B$14</f>
        <v>24 (08)</v>
      </c>
      <c r="C17" s="480"/>
      <c r="D17" s="474"/>
      <c r="E17" s="474"/>
      <c r="F17" s="474"/>
      <c r="G17" s="474"/>
    </row>
    <row r="18" spans="1:7">
      <c r="A18" s="476">
        <f t="shared" si="0"/>
        <v>12</v>
      </c>
      <c r="B18" s="476" t="str">
        <f>+$B$14</f>
        <v>24 (08)</v>
      </c>
      <c r="C18" s="480" t="s">
        <v>550</v>
      </c>
      <c r="D18" s="481">
        <v>9.071499999999999E-2</v>
      </c>
      <c r="E18" s="481">
        <v>9.1721999999999998E-2</v>
      </c>
      <c r="F18" s="481">
        <f>+E18-D18</f>
        <v>1.0070000000000079E-3</v>
      </c>
      <c r="G18" s="481">
        <f>-F18</f>
        <v>-1.0070000000000079E-3</v>
      </c>
    </row>
    <row r="19" spans="1:7">
      <c r="A19" s="476">
        <f t="shared" si="0"/>
        <v>13</v>
      </c>
      <c r="B19" s="476" t="str">
        <f>+$B$14</f>
        <v>24 (08)</v>
      </c>
      <c r="C19" s="480" t="s">
        <v>549</v>
      </c>
      <c r="D19" s="481">
        <v>8.7578000000000003E-2</v>
      </c>
      <c r="E19" s="481">
        <v>8.856E-2</v>
      </c>
      <c r="F19" s="481">
        <f>+E19-D19</f>
        <v>9.8199999999999676E-4</v>
      </c>
      <c r="G19" s="481">
        <f>-F19</f>
        <v>-9.8199999999999676E-4</v>
      </c>
    </row>
    <row r="20" spans="1:7">
      <c r="A20" s="476">
        <f t="shared" si="0"/>
        <v>14</v>
      </c>
    </row>
    <row r="21" spans="1:7">
      <c r="A21" s="476">
        <f t="shared" si="0"/>
        <v>15</v>
      </c>
      <c r="B21" s="479" t="s">
        <v>548</v>
      </c>
      <c r="C21" s="478" t="s">
        <v>533</v>
      </c>
    </row>
    <row r="22" spans="1:7">
      <c r="A22" s="476">
        <f t="shared" si="0"/>
        <v>16</v>
      </c>
      <c r="B22" s="479" t="str">
        <f t="shared" ref="B22:B32" si="1">+$B$21</f>
        <v>25 (7A) (11)</v>
      </c>
      <c r="C22" s="480" t="s">
        <v>520</v>
      </c>
      <c r="D22" s="474">
        <v>52.3</v>
      </c>
      <c r="E22" s="474">
        <v>52.81</v>
      </c>
      <c r="F22" s="474">
        <f>+E22-D22</f>
        <v>0.51000000000000512</v>
      </c>
      <c r="G22" s="474">
        <f>-F22</f>
        <v>-0.51000000000000512</v>
      </c>
    </row>
    <row r="23" spans="1:7">
      <c r="A23" s="476">
        <f t="shared" si="0"/>
        <v>17</v>
      </c>
      <c r="B23" s="479" t="str">
        <f t="shared" si="1"/>
        <v>25 (7A) (11)</v>
      </c>
      <c r="C23" s="480"/>
      <c r="D23" s="474"/>
      <c r="E23" s="474"/>
      <c r="F23" s="474"/>
      <c r="G23" s="474"/>
    </row>
    <row r="24" spans="1:7">
      <c r="A24" s="476">
        <f t="shared" si="0"/>
        <v>18</v>
      </c>
      <c r="B24" s="479" t="str">
        <f t="shared" si="1"/>
        <v>25 (7A) (11)</v>
      </c>
      <c r="C24" s="480" t="s">
        <v>530</v>
      </c>
      <c r="D24" s="481">
        <v>9.0753E-2</v>
      </c>
      <c r="E24" s="481">
        <v>9.1693999999999998E-2</v>
      </c>
      <c r="F24" s="481">
        <f>+E24-D24</f>
        <v>9.4099999999999739E-4</v>
      </c>
      <c r="G24" s="481">
        <f>-F24</f>
        <v>-9.4099999999999739E-4</v>
      </c>
    </row>
    <row r="25" spans="1:7">
      <c r="A25" s="476">
        <f t="shared" si="0"/>
        <v>19</v>
      </c>
      <c r="B25" s="479" t="str">
        <f t="shared" si="1"/>
        <v>25 (7A) (11)</v>
      </c>
      <c r="C25" s="480" t="s">
        <v>528</v>
      </c>
      <c r="D25" s="481">
        <v>8.2225999999999994E-2</v>
      </c>
      <c r="E25" s="481">
        <v>8.286700000000001E-2</v>
      </c>
      <c r="F25" s="481">
        <f>+E25-D25</f>
        <v>6.4100000000001656E-4</v>
      </c>
      <c r="G25" s="481">
        <f>-F25</f>
        <v>-6.4100000000001656E-4</v>
      </c>
    </row>
    <row r="26" spans="1:7">
      <c r="A26" s="476">
        <f t="shared" si="0"/>
        <v>20</v>
      </c>
      <c r="B26" s="479" t="str">
        <f t="shared" si="1"/>
        <v>25 (7A) (11)</v>
      </c>
      <c r="C26" s="480" t="s">
        <v>547</v>
      </c>
      <c r="D26" s="481">
        <v>6.4072000000000004E-2</v>
      </c>
      <c r="E26" s="481">
        <v>6.4072000000000004E-2</v>
      </c>
      <c r="F26" s="481">
        <f>+E26-D26</f>
        <v>0</v>
      </c>
      <c r="G26" s="481">
        <f>-F26</f>
        <v>0</v>
      </c>
    </row>
    <row r="27" spans="1:7">
      <c r="A27" s="476">
        <f t="shared" si="0"/>
        <v>21</v>
      </c>
      <c r="B27" s="479" t="str">
        <f t="shared" si="1"/>
        <v>25 (7A) (11)</v>
      </c>
      <c r="C27" s="475"/>
    </row>
    <row r="28" spans="1:7">
      <c r="A28" s="476">
        <f t="shared" si="0"/>
        <v>22</v>
      </c>
      <c r="B28" s="479" t="str">
        <f t="shared" si="1"/>
        <v>25 (7A) (11)</v>
      </c>
      <c r="C28" s="480" t="s">
        <v>546</v>
      </c>
      <c r="D28" s="474">
        <v>0</v>
      </c>
      <c r="E28" s="474">
        <v>0</v>
      </c>
      <c r="F28" s="474">
        <f>+E28-D28</f>
        <v>0</v>
      </c>
      <c r="G28" s="474">
        <f>-F28</f>
        <v>0</v>
      </c>
    </row>
    <row r="29" spans="1:7">
      <c r="A29" s="476">
        <f t="shared" si="0"/>
        <v>23</v>
      </c>
      <c r="B29" s="479" t="str">
        <f t="shared" si="1"/>
        <v>25 (7A) (11)</v>
      </c>
      <c r="C29" s="480" t="s">
        <v>525</v>
      </c>
      <c r="D29" s="474">
        <v>9.42</v>
      </c>
      <c r="E29" s="474">
        <v>9.75</v>
      </c>
      <c r="F29" s="474">
        <f>+E29-D29</f>
        <v>0.33000000000000007</v>
      </c>
      <c r="G29" s="474">
        <f>-F29</f>
        <v>-0.33000000000000007</v>
      </c>
    </row>
    <row r="30" spans="1:7">
      <c r="A30" s="476">
        <f t="shared" si="0"/>
        <v>24</v>
      </c>
      <c r="B30" s="479" t="str">
        <f t="shared" si="1"/>
        <v>25 (7A) (11)</v>
      </c>
      <c r="C30" s="480" t="s">
        <v>524</v>
      </c>
      <c r="D30" s="474">
        <v>6.29</v>
      </c>
      <c r="E30" s="474">
        <v>6.51</v>
      </c>
      <c r="F30" s="474">
        <f>+E30-D30</f>
        <v>0.21999999999999975</v>
      </c>
      <c r="G30" s="474">
        <f>-F30</f>
        <v>-0.21999999999999975</v>
      </c>
    </row>
    <row r="31" spans="1:7">
      <c r="A31" s="476">
        <f t="shared" si="0"/>
        <v>25</v>
      </c>
      <c r="B31" s="479" t="str">
        <f t="shared" si="1"/>
        <v>25 (7A) (11)</v>
      </c>
      <c r="C31" s="480"/>
      <c r="D31" s="474"/>
      <c r="E31" s="474"/>
      <c r="F31" s="474"/>
      <c r="G31" s="474"/>
    </row>
    <row r="32" spans="1:7">
      <c r="A32" s="476">
        <f t="shared" si="0"/>
        <v>26</v>
      </c>
      <c r="B32" s="479" t="str">
        <f t="shared" si="1"/>
        <v>25 (7A) (11)</v>
      </c>
      <c r="C32" s="480" t="s">
        <v>519</v>
      </c>
      <c r="D32" s="483">
        <v>2.96E-3</v>
      </c>
      <c r="E32" s="483">
        <v>3.0599999999999998E-3</v>
      </c>
      <c r="F32" s="483">
        <f>+E32-D32</f>
        <v>9.9999999999999829E-5</v>
      </c>
      <c r="G32" s="483">
        <f>-F32</f>
        <v>-9.9999999999999829E-5</v>
      </c>
    </row>
    <row r="33" spans="1:7">
      <c r="A33" s="476">
        <f t="shared" si="0"/>
        <v>27</v>
      </c>
    </row>
    <row r="34" spans="1:7">
      <c r="A34" s="476">
        <f t="shared" si="0"/>
        <v>28</v>
      </c>
      <c r="B34" s="476" t="s">
        <v>545</v>
      </c>
      <c r="C34" s="478" t="s">
        <v>544</v>
      </c>
    </row>
    <row r="35" spans="1:7">
      <c r="A35" s="476">
        <f t="shared" si="0"/>
        <v>29</v>
      </c>
      <c r="B35" s="476" t="str">
        <f t="shared" ref="B35:B52" si="2">+$B$34</f>
        <v>26 (12)</v>
      </c>
      <c r="C35" s="480" t="s">
        <v>520</v>
      </c>
      <c r="D35" s="474">
        <v>105.74</v>
      </c>
      <c r="E35" s="474">
        <v>106.77</v>
      </c>
      <c r="F35" s="474">
        <f>+E35-D35</f>
        <v>1.0300000000000011</v>
      </c>
      <c r="G35" s="474">
        <f>-F35</f>
        <v>-1.0300000000000011</v>
      </c>
    </row>
    <row r="36" spans="1:7">
      <c r="A36" s="476">
        <f t="shared" si="0"/>
        <v>30</v>
      </c>
      <c r="B36" s="476" t="str">
        <f t="shared" si="2"/>
        <v>26 (12)</v>
      </c>
      <c r="C36" s="480"/>
      <c r="D36" s="474"/>
      <c r="E36" s="474"/>
      <c r="F36" s="474"/>
      <c r="G36" s="474"/>
    </row>
    <row r="37" spans="1:7">
      <c r="A37" s="476">
        <f t="shared" si="0"/>
        <v>31</v>
      </c>
      <c r="B37" s="476" t="str">
        <f t="shared" si="2"/>
        <v>26 (12)</v>
      </c>
      <c r="C37" s="480" t="s">
        <v>543</v>
      </c>
      <c r="D37" s="481">
        <v>5.7180999999999996E-2</v>
      </c>
      <c r="E37" s="481">
        <v>5.7701999999999996E-2</v>
      </c>
      <c r="F37" s="481">
        <f>+E37-D37</f>
        <v>5.2100000000000063E-4</v>
      </c>
      <c r="G37" s="481">
        <f>-F37</f>
        <v>-5.2100000000000063E-4</v>
      </c>
    </row>
    <row r="38" spans="1:7">
      <c r="A38" s="476">
        <f t="shared" si="0"/>
        <v>32</v>
      </c>
      <c r="B38" s="476" t="str">
        <f t="shared" si="2"/>
        <v>26 (12)</v>
      </c>
      <c r="C38" s="475"/>
    </row>
    <row r="39" spans="1:7">
      <c r="A39" s="476">
        <f t="shared" si="0"/>
        <v>33</v>
      </c>
      <c r="B39" s="476" t="str">
        <f t="shared" si="2"/>
        <v>26 (12)</v>
      </c>
      <c r="C39" s="480" t="s">
        <v>522</v>
      </c>
      <c r="D39" s="474">
        <v>11.91</v>
      </c>
      <c r="E39" s="474">
        <v>12.03</v>
      </c>
      <c r="F39" s="474">
        <f>+E39-D39</f>
        <v>0.11999999999999922</v>
      </c>
      <c r="G39" s="474">
        <f>-F39</f>
        <v>-0.11999999999999922</v>
      </c>
    </row>
    <row r="40" spans="1:7">
      <c r="A40" s="476">
        <f t="shared" ref="A40:A71" si="3">+A39+1</f>
        <v>34</v>
      </c>
      <c r="B40" s="476" t="str">
        <f t="shared" si="2"/>
        <v>26 (12)</v>
      </c>
      <c r="C40" s="480" t="s">
        <v>521</v>
      </c>
      <c r="D40" s="474">
        <v>7.94</v>
      </c>
      <c r="E40" s="474">
        <v>8.01</v>
      </c>
      <c r="F40" s="474">
        <f>+E40-D40</f>
        <v>6.9999999999999396E-2</v>
      </c>
      <c r="G40" s="474">
        <f>-F40</f>
        <v>-6.9999999999999396E-2</v>
      </c>
    </row>
    <row r="41" spans="1:7">
      <c r="A41" s="476">
        <f t="shared" si="3"/>
        <v>35</v>
      </c>
      <c r="B41" s="476" t="str">
        <f t="shared" si="2"/>
        <v>26 (12)</v>
      </c>
      <c r="C41" s="480"/>
      <c r="D41" s="474"/>
      <c r="E41" s="474"/>
      <c r="F41" s="474"/>
      <c r="G41" s="474"/>
    </row>
    <row r="42" spans="1:7">
      <c r="A42" s="476">
        <f t="shared" si="3"/>
        <v>36</v>
      </c>
      <c r="B42" s="476" t="str">
        <f t="shared" si="2"/>
        <v>26 (12)</v>
      </c>
      <c r="C42" s="480" t="s">
        <v>519</v>
      </c>
      <c r="D42" s="483">
        <v>1.2600000000000001E-3</v>
      </c>
      <c r="E42" s="483">
        <v>1.2700000000000001E-3</v>
      </c>
      <c r="F42" s="483">
        <f>+E42-D42</f>
        <v>1.0000000000000026E-5</v>
      </c>
      <c r="G42" s="483">
        <f>-F42</f>
        <v>-1.0000000000000026E-5</v>
      </c>
    </row>
    <row r="43" spans="1:7">
      <c r="A43" s="476">
        <f t="shared" si="3"/>
        <v>37</v>
      </c>
      <c r="B43" s="476" t="str">
        <f t="shared" si="2"/>
        <v>26 (12)</v>
      </c>
      <c r="C43" s="480"/>
      <c r="D43" s="483"/>
      <c r="E43" s="483"/>
      <c r="F43" s="483"/>
      <c r="G43" s="483"/>
    </row>
    <row r="44" spans="1:7">
      <c r="A44" s="476">
        <f t="shared" si="3"/>
        <v>38</v>
      </c>
      <c r="B44" s="476" t="str">
        <f t="shared" si="2"/>
        <v>26 (12)</v>
      </c>
      <c r="C44" s="480" t="s">
        <v>542</v>
      </c>
      <c r="D44" s="483"/>
      <c r="E44" s="483"/>
      <c r="F44" s="483"/>
      <c r="G44" s="483"/>
    </row>
    <row r="45" spans="1:7">
      <c r="A45" s="476">
        <f t="shared" si="3"/>
        <v>39</v>
      </c>
      <c r="B45" s="476" t="str">
        <f t="shared" si="2"/>
        <v>26 (12)</v>
      </c>
      <c r="C45" s="487" t="s">
        <v>541</v>
      </c>
      <c r="D45" s="474">
        <v>237.92000000000002</v>
      </c>
      <c r="E45" s="474">
        <v>240.23000000000002</v>
      </c>
      <c r="F45" s="474">
        <f t="shared" ref="F45:F52" si="4">+E45-D45</f>
        <v>2.3100000000000023</v>
      </c>
      <c r="G45" s="474">
        <f t="shared" ref="G45:G52" si="5">-F45</f>
        <v>-2.3100000000000023</v>
      </c>
    </row>
    <row r="46" spans="1:7">
      <c r="A46" s="476">
        <f t="shared" si="3"/>
        <v>40</v>
      </c>
      <c r="B46" s="476" t="str">
        <f t="shared" si="2"/>
        <v>26 (12)</v>
      </c>
      <c r="C46" s="487" t="s">
        <v>540</v>
      </c>
      <c r="D46" s="474">
        <v>-0.39</v>
      </c>
      <c r="E46" s="474">
        <v>-0.39</v>
      </c>
      <c r="F46" s="474">
        <f t="shared" si="4"/>
        <v>0</v>
      </c>
      <c r="G46" s="474">
        <f t="shared" si="5"/>
        <v>0</v>
      </c>
    </row>
    <row r="47" spans="1:7">
      <c r="A47" s="476">
        <f t="shared" si="3"/>
        <v>41</v>
      </c>
      <c r="B47" s="476" t="str">
        <f t="shared" si="2"/>
        <v>26 (12)</v>
      </c>
      <c r="C47" s="487" t="s">
        <v>539</v>
      </c>
      <c r="D47" s="486">
        <v>3.9399999999999998E-2</v>
      </c>
      <c r="E47" s="486">
        <v>3.9399999999999998E-2</v>
      </c>
      <c r="F47" s="486">
        <f t="shared" si="4"/>
        <v>0</v>
      </c>
      <c r="G47" s="486">
        <f t="shared" si="5"/>
        <v>0</v>
      </c>
    </row>
    <row r="48" spans="1:7">
      <c r="A48" s="476">
        <f t="shared" si="3"/>
        <v>42</v>
      </c>
      <c r="B48" s="476" t="str">
        <f t="shared" si="2"/>
        <v>26 (12)</v>
      </c>
      <c r="C48" s="485" t="s">
        <v>538</v>
      </c>
      <c r="D48" s="474">
        <v>343.66</v>
      </c>
      <c r="E48" s="474">
        <f>+E45+E35</f>
        <v>347</v>
      </c>
      <c r="F48" s="474">
        <f t="shared" si="4"/>
        <v>3.339999999999975</v>
      </c>
      <c r="G48" s="474">
        <f t="shared" si="5"/>
        <v>-3.339999999999975</v>
      </c>
    </row>
    <row r="49" spans="1:7">
      <c r="A49" s="476">
        <f t="shared" si="3"/>
        <v>43</v>
      </c>
      <c r="B49" s="476" t="str">
        <f t="shared" si="2"/>
        <v>26 (12)</v>
      </c>
      <c r="C49" s="484" t="s">
        <v>537</v>
      </c>
      <c r="D49" s="474">
        <v>11.52</v>
      </c>
      <c r="E49" s="474">
        <f>+E46+E39</f>
        <v>11.639999999999999</v>
      </c>
      <c r="F49" s="474">
        <f t="shared" si="4"/>
        <v>0.11999999999999922</v>
      </c>
      <c r="G49" s="474">
        <f t="shared" si="5"/>
        <v>-0.11999999999999922</v>
      </c>
    </row>
    <row r="50" spans="1:7">
      <c r="A50" s="476">
        <f t="shared" si="3"/>
        <v>44</v>
      </c>
      <c r="B50" s="476" t="str">
        <f t="shared" si="2"/>
        <v>26 (12)</v>
      </c>
      <c r="C50" s="484" t="s">
        <v>536</v>
      </c>
      <c r="D50" s="474">
        <v>7.5500000000000007</v>
      </c>
      <c r="E50" s="474">
        <f>+E46+E40</f>
        <v>7.62</v>
      </c>
      <c r="F50" s="474">
        <f t="shared" si="4"/>
        <v>6.9999999999999396E-2</v>
      </c>
      <c r="G50" s="474">
        <f t="shared" si="5"/>
        <v>-6.9999999999999396E-2</v>
      </c>
    </row>
    <row r="51" spans="1:7">
      <c r="A51" s="476">
        <f t="shared" si="3"/>
        <v>45</v>
      </c>
      <c r="B51" s="476" t="str">
        <f t="shared" si="2"/>
        <v>26 (12)</v>
      </c>
      <c r="C51" s="485" t="s">
        <v>535</v>
      </c>
      <c r="D51" s="481">
        <v>5.4927999999999998E-2</v>
      </c>
      <c r="E51" s="481">
        <f>+E37-ROUND(E47*E37,6)</f>
        <v>5.5428999999999999E-2</v>
      </c>
      <c r="F51" s="481">
        <f t="shared" si="4"/>
        <v>5.0100000000000144E-4</v>
      </c>
      <c r="G51" s="481">
        <f t="shared" si="5"/>
        <v>-5.0100000000000144E-4</v>
      </c>
    </row>
    <row r="52" spans="1:7">
      <c r="A52" s="476">
        <f t="shared" si="3"/>
        <v>46</v>
      </c>
      <c r="B52" s="476" t="str">
        <f t="shared" si="2"/>
        <v>26 (12)</v>
      </c>
      <c r="C52" s="484" t="s">
        <v>534</v>
      </c>
      <c r="D52" s="483">
        <v>1.2100000000000001E-3</v>
      </c>
      <c r="E52" s="483">
        <f>+E42-ROUND(E47*E42,5)</f>
        <v>1.2200000000000002E-3</v>
      </c>
      <c r="F52" s="483">
        <f t="shared" si="4"/>
        <v>1.0000000000000026E-5</v>
      </c>
      <c r="G52" s="483">
        <f t="shared" si="5"/>
        <v>-1.0000000000000026E-5</v>
      </c>
    </row>
    <row r="53" spans="1:7">
      <c r="A53" s="476">
        <f t="shared" si="3"/>
        <v>47</v>
      </c>
    </row>
    <row r="54" spans="1:7">
      <c r="A54" s="476">
        <f t="shared" si="3"/>
        <v>48</v>
      </c>
      <c r="B54" s="476">
        <v>29</v>
      </c>
      <c r="C54" s="478" t="s">
        <v>533</v>
      </c>
    </row>
    <row r="55" spans="1:7">
      <c r="A55" s="476">
        <f t="shared" si="3"/>
        <v>49</v>
      </c>
      <c r="B55" s="476">
        <f t="shared" ref="B55:B67" si="6">+$B$54</f>
        <v>29</v>
      </c>
      <c r="C55" s="480" t="s">
        <v>532</v>
      </c>
      <c r="D55" s="474">
        <v>9.68</v>
      </c>
      <c r="E55" s="474">
        <v>9.77</v>
      </c>
      <c r="F55" s="474">
        <f>+E55-D55</f>
        <v>8.9999999999999858E-2</v>
      </c>
      <c r="G55" s="474">
        <f>-F55</f>
        <v>-8.9999999999999858E-2</v>
      </c>
    </row>
    <row r="56" spans="1:7">
      <c r="A56" s="476">
        <f t="shared" si="3"/>
        <v>50</v>
      </c>
      <c r="B56" s="476">
        <f t="shared" si="6"/>
        <v>29</v>
      </c>
      <c r="C56" s="480" t="s">
        <v>531</v>
      </c>
      <c r="D56" s="474">
        <v>24.58</v>
      </c>
      <c r="E56" s="474">
        <v>24.82</v>
      </c>
      <c r="F56" s="474">
        <f>+E56-D56</f>
        <v>0.24000000000000199</v>
      </c>
      <c r="G56" s="474">
        <f>-F56</f>
        <v>-0.24000000000000199</v>
      </c>
    </row>
    <row r="57" spans="1:7">
      <c r="A57" s="476">
        <f t="shared" si="3"/>
        <v>51</v>
      </c>
      <c r="B57" s="476">
        <f t="shared" si="6"/>
        <v>29</v>
      </c>
      <c r="C57" s="480"/>
      <c r="D57" s="474"/>
      <c r="E57" s="474"/>
      <c r="F57" s="474"/>
      <c r="G57" s="474"/>
    </row>
    <row r="58" spans="1:7">
      <c r="A58" s="476">
        <f t="shared" si="3"/>
        <v>52</v>
      </c>
      <c r="B58" s="476">
        <f t="shared" si="6"/>
        <v>29</v>
      </c>
      <c r="C58" s="480" t="s">
        <v>530</v>
      </c>
      <c r="D58" s="481">
        <v>9.0677999999999995E-2</v>
      </c>
      <c r="E58" s="481">
        <v>9.1560000000000002E-2</v>
      </c>
      <c r="F58" s="481">
        <f>+E58-D58</f>
        <v>8.8200000000000778E-4</v>
      </c>
      <c r="G58" s="481">
        <f>-F58</f>
        <v>-8.8200000000000778E-4</v>
      </c>
    </row>
    <row r="59" spans="1:7">
      <c r="A59" s="476">
        <f t="shared" si="3"/>
        <v>53</v>
      </c>
      <c r="B59" s="476">
        <f t="shared" si="6"/>
        <v>29</v>
      </c>
      <c r="C59" s="480" t="s">
        <v>529</v>
      </c>
      <c r="D59" s="481">
        <v>6.8867999999999999E-2</v>
      </c>
      <c r="E59" s="481">
        <v>6.9538000000000003E-2</v>
      </c>
      <c r="F59" s="481">
        <f>+E59-D59</f>
        <v>6.7000000000000393E-4</v>
      </c>
      <c r="G59" s="481">
        <f>-F59</f>
        <v>-6.7000000000000393E-4</v>
      </c>
    </row>
    <row r="60" spans="1:7">
      <c r="A60" s="476">
        <f t="shared" si="3"/>
        <v>54</v>
      </c>
      <c r="B60" s="476">
        <f t="shared" si="6"/>
        <v>29</v>
      </c>
      <c r="C60" s="480" t="s">
        <v>528</v>
      </c>
      <c r="D60" s="481">
        <v>6.2835000000000002E-2</v>
      </c>
      <c r="E60" s="481">
        <v>6.3446000000000002E-2</v>
      </c>
      <c r="F60" s="481">
        <f>+E60-D60</f>
        <v>6.1100000000000043E-4</v>
      </c>
      <c r="G60" s="481">
        <f>-F60</f>
        <v>-6.1100000000000043E-4</v>
      </c>
    </row>
    <row r="61" spans="1:7">
      <c r="A61" s="476">
        <f t="shared" si="3"/>
        <v>55</v>
      </c>
      <c r="B61" s="476">
        <f t="shared" si="6"/>
        <v>29</v>
      </c>
      <c r="C61" s="480" t="s">
        <v>527</v>
      </c>
      <c r="D61" s="481">
        <v>5.3838999999999998E-2</v>
      </c>
      <c r="E61" s="481">
        <v>5.4362000000000001E-2</v>
      </c>
      <c r="F61" s="481">
        <f>+E61-D61</f>
        <v>5.2300000000000263E-4</v>
      </c>
      <c r="G61" s="481">
        <f>-F61</f>
        <v>-5.2300000000000263E-4</v>
      </c>
    </row>
    <row r="62" spans="1:7">
      <c r="A62" s="476">
        <f t="shared" si="3"/>
        <v>56</v>
      </c>
      <c r="B62" s="476">
        <f t="shared" si="6"/>
        <v>29</v>
      </c>
      <c r="C62" s="475"/>
    </row>
    <row r="63" spans="1:7">
      <c r="A63" s="476">
        <f t="shared" si="3"/>
        <v>57</v>
      </c>
      <c r="B63" s="476">
        <f t="shared" si="6"/>
        <v>29</v>
      </c>
      <c r="C63" s="480" t="s">
        <v>526</v>
      </c>
      <c r="D63" s="474">
        <v>0</v>
      </c>
      <c r="E63" s="474">
        <v>0</v>
      </c>
      <c r="F63" s="474">
        <f>+E63-D63</f>
        <v>0</v>
      </c>
      <c r="G63" s="474">
        <f>-F63</f>
        <v>0</v>
      </c>
    </row>
    <row r="64" spans="1:7">
      <c r="A64" s="476">
        <f t="shared" si="3"/>
        <v>58</v>
      </c>
      <c r="B64" s="476">
        <f t="shared" si="6"/>
        <v>29</v>
      </c>
      <c r="C64" s="480" t="s">
        <v>525</v>
      </c>
      <c r="D64" s="474">
        <v>8.94</v>
      </c>
      <c r="E64" s="474">
        <v>9.0299999999999994</v>
      </c>
      <c r="F64" s="474">
        <f>+E64-D64</f>
        <v>8.9999999999999858E-2</v>
      </c>
      <c r="G64" s="474">
        <f>-F64</f>
        <v>-8.9999999999999858E-2</v>
      </c>
    </row>
    <row r="65" spans="1:7">
      <c r="A65" s="476">
        <f t="shared" si="3"/>
        <v>59</v>
      </c>
      <c r="B65" s="476">
        <f t="shared" si="6"/>
        <v>29</v>
      </c>
      <c r="C65" s="480" t="s">
        <v>524</v>
      </c>
      <c r="D65" s="474">
        <v>4.4000000000000004</v>
      </c>
      <c r="E65" s="474">
        <v>4.4400000000000004</v>
      </c>
      <c r="F65" s="474">
        <f>+E65-D65</f>
        <v>4.0000000000000036E-2</v>
      </c>
      <c r="G65" s="474">
        <f>-F65</f>
        <v>-4.0000000000000036E-2</v>
      </c>
    </row>
    <row r="66" spans="1:7">
      <c r="A66" s="476">
        <f t="shared" si="3"/>
        <v>60</v>
      </c>
      <c r="B66" s="476">
        <f t="shared" si="6"/>
        <v>29</v>
      </c>
      <c r="C66" s="480"/>
      <c r="D66" s="474"/>
      <c r="E66" s="474"/>
      <c r="F66" s="474"/>
      <c r="G66" s="474"/>
    </row>
    <row r="67" spans="1:7">
      <c r="A67" s="476">
        <f t="shared" si="3"/>
        <v>61</v>
      </c>
      <c r="B67" s="476">
        <f t="shared" si="6"/>
        <v>29</v>
      </c>
      <c r="C67" s="480" t="s">
        <v>519</v>
      </c>
      <c r="D67" s="483">
        <v>2.8400000000000001E-3</v>
      </c>
      <c r="E67" s="483">
        <v>2.8700000000000002E-3</v>
      </c>
      <c r="F67" s="483">
        <f>+E67-D67</f>
        <v>3.0000000000000079E-5</v>
      </c>
      <c r="G67" s="483">
        <f>-F67</f>
        <v>-3.0000000000000079E-5</v>
      </c>
    </row>
    <row r="68" spans="1:7">
      <c r="A68" s="476">
        <f t="shared" si="3"/>
        <v>62</v>
      </c>
    </row>
    <row r="69" spans="1:7">
      <c r="A69" s="476">
        <f t="shared" si="3"/>
        <v>63</v>
      </c>
      <c r="B69" s="476" t="s">
        <v>87</v>
      </c>
      <c r="C69" s="478" t="s">
        <v>523</v>
      </c>
    </row>
    <row r="70" spans="1:7">
      <c r="A70" s="476">
        <f t="shared" si="3"/>
        <v>64</v>
      </c>
      <c r="B70" s="476" t="str">
        <f t="shared" ref="B70:B77" si="7">+$B$69</f>
        <v>31 (10)</v>
      </c>
      <c r="C70" s="480" t="s">
        <v>520</v>
      </c>
      <c r="D70" s="474">
        <v>343.66</v>
      </c>
      <c r="E70" s="474">
        <v>347</v>
      </c>
      <c r="F70" s="474">
        <f>+E70-D70</f>
        <v>3.339999999999975</v>
      </c>
      <c r="G70" s="474">
        <f>-F70</f>
        <v>-3.339999999999975</v>
      </c>
    </row>
    <row r="71" spans="1:7">
      <c r="A71" s="476">
        <f t="shared" si="3"/>
        <v>65</v>
      </c>
      <c r="B71" s="476" t="str">
        <f t="shared" si="7"/>
        <v>31 (10)</v>
      </c>
      <c r="C71" s="480"/>
      <c r="D71" s="474"/>
      <c r="E71" s="474"/>
      <c r="F71" s="474"/>
      <c r="G71" s="474"/>
    </row>
    <row r="72" spans="1:7">
      <c r="A72" s="476">
        <f t="shared" ref="A72:A90" si="8">+A71+1</f>
        <v>66</v>
      </c>
      <c r="B72" s="476" t="str">
        <f t="shared" si="7"/>
        <v>31 (10)</v>
      </c>
      <c r="C72" s="480" t="s">
        <v>513</v>
      </c>
      <c r="D72" s="481">
        <v>5.5014E-2</v>
      </c>
      <c r="E72" s="481">
        <v>5.5556000000000001E-2</v>
      </c>
      <c r="F72" s="481">
        <f>+E72-D72</f>
        <v>5.4200000000000081E-4</v>
      </c>
      <c r="G72" s="481">
        <f>-F72</f>
        <v>-5.4200000000000081E-4</v>
      </c>
    </row>
    <row r="73" spans="1:7">
      <c r="A73" s="476">
        <f t="shared" si="8"/>
        <v>67</v>
      </c>
      <c r="B73" s="476" t="str">
        <f t="shared" si="7"/>
        <v>31 (10)</v>
      </c>
      <c r="C73" s="475"/>
    </row>
    <row r="74" spans="1:7">
      <c r="A74" s="476">
        <f t="shared" si="8"/>
        <v>68</v>
      </c>
      <c r="B74" s="476" t="str">
        <f t="shared" si="7"/>
        <v>31 (10)</v>
      </c>
      <c r="C74" s="480" t="s">
        <v>522</v>
      </c>
      <c r="D74" s="474">
        <v>11.46</v>
      </c>
      <c r="E74" s="474">
        <v>11.57</v>
      </c>
      <c r="F74" s="474">
        <f>+E74-D74</f>
        <v>0.10999999999999943</v>
      </c>
      <c r="G74" s="474">
        <f>-F74</f>
        <v>-0.10999999999999943</v>
      </c>
    </row>
    <row r="75" spans="1:7">
      <c r="A75" s="476">
        <f t="shared" si="8"/>
        <v>69</v>
      </c>
      <c r="B75" s="476" t="str">
        <f t="shared" si="7"/>
        <v>31 (10)</v>
      </c>
      <c r="C75" s="480" t="s">
        <v>521</v>
      </c>
      <c r="D75" s="474">
        <v>7.64</v>
      </c>
      <c r="E75" s="474">
        <v>7.71</v>
      </c>
      <c r="F75" s="474">
        <f>+E75-D75</f>
        <v>7.0000000000000284E-2</v>
      </c>
      <c r="G75" s="474">
        <f>-F75</f>
        <v>-7.0000000000000284E-2</v>
      </c>
    </row>
    <row r="76" spans="1:7">
      <c r="A76" s="476">
        <f t="shared" si="8"/>
        <v>70</v>
      </c>
      <c r="B76" s="476" t="str">
        <f t="shared" si="7"/>
        <v>31 (10)</v>
      </c>
      <c r="C76" s="480"/>
      <c r="D76" s="474"/>
      <c r="E76" s="474"/>
      <c r="F76" s="474"/>
      <c r="G76" s="474"/>
    </row>
    <row r="77" spans="1:7">
      <c r="A77" s="476">
        <f t="shared" si="8"/>
        <v>71</v>
      </c>
      <c r="B77" s="476" t="str">
        <f t="shared" si="7"/>
        <v>31 (10)</v>
      </c>
      <c r="C77" s="480" t="s">
        <v>519</v>
      </c>
      <c r="D77" s="483">
        <v>1.07E-3</v>
      </c>
      <c r="E77" s="483">
        <v>1.08E-3</v>
      </c>
      <c r="F77" s="483">
        <f>+E77-D77</f>
        <v>1.0000000000000026E-5</v>
      </c>
      <c r="G77" s="483">
        <f>-F77</f>
        <v>-1.0000000000000026E-5</v>
      </c>
    </row>
    <row r="78" spans="1:7">
      <c r="A78" s="476">
        <f t="shared" si="8"/>
        <v>72</v>
      </c>
    </row>
    <row r="79" spans="1:7">
      <c r="A79" s="476">
        <f t="shared" si="8"/>
        <v>73</v>
      </c>
      <c r="B79" s="476">
        <v>46</v>
      </c>
      <c r="C79" s="478" t="s">
        <v>518</v>
      </c>
    </row>
    <row r="80" spans="1:7">
      <c r="A80" s="476">
        <f t="shared" si="8"/>
        <v>74</v>
      </c>
      <c r="B80" s="476">
        <f t="shared" ref="B80:B85" si="9">+$B$79</f>
        <v>46</v>
      </c>
      <c r="C80" s="480" t="s">
        <v>513</v>
      </c>
      <c r="D80" s="481">
        <v>5.0738999999999999E-2</v>
      </c>
      <c r="E80" s="481">
        <v>5.1239E-2</v>
      </c>
      <c r="F80" s="481">
        <f>+E80-D80</f>
        <v>5.0000000000000044E-4</v>
      </c>
      <c r="G80" s="481">
        <f>-F80</f>
        <v>-5.0000000000000044E-4</v>
      </c>
    </row>
    <row r="81" spans="1:7">
      <c r="A81" s="476">
        <f t="shared" si="8"/>
        <v>75</v>
      </c>
      <c r="B81" s="476">
        <f t="shared" si="9"/>
        <v>46</v>
      </c>
      <c r="C81" s="475"/>
    </row>
    <row r="82" spans="1:7">
      <c r="A82" s="476">
        <f t="shared" si="8"/>
        <v>76</v>
      </c>
      <c r="B82" s="476">
        <f t="shared" si="9"/>
        <v>46</v>
      </c>
      <c r="C82" s="480" t="s">
        <v>517</v>
      </c>
      <c r="D82" s="474">
        <v>2.95</v>
      </c>
      <c r="E82" s="474">
        <v>2.98</v>
      </c>
      <c r="F82" s="474">
        <f>+E82-D82</f>
        <v>2.9999999999999805E-2</v>
      </c>
      <c r="G82" s="474">
        <f>-F82</f>
        <v>-2.9999999999999805E-2</v>
      </c>
    </row>
    <row r="83" spans="1:7">
      <c r="A83" s="476">
        <f t="shared" si="8"/>
        <v>77</v>
      </c>
      <c r="B83" s="476">
        <f t="shared" si="9"/>
        <v>46</v>
      </c>
      <c r="C83" s="480"/>
      <c r="D83" s="474"/>
      <c r="E83" s="474"/>
      <c r="F83" s="474"/>
      <c r="G83" s="474"/>
    </row>
    <row r="84" spans="1:7">
      <c r="A84" s="476">
        <f t="shared" si="8"/>
        <v>78</v>
      </c>
      <c r="B84" s="476">
        <f t="shared" si="9"/>
        <v>46</v>
      </c>
      <c r="C84" s="477" t="s">
        <v>516</v>
      </c>
      <c r="D84" s="474">
        <v>35.4</v>
      </c>
      <c r="E84" s="474">
        <v>35.76</v>
      </c>
      <c r="F84" s="474">
        <f>+E84-D84</f>
        <v>0.35999999999999943</v>
      </c>
      <c r="G84" s="474">
        <f>-F84</f>
        <v>-0.35999999999999943</v>
      </c>
    </row>
    <row r="85" spans="1:7">
      <c r="A85" s="476">
        <f t="shared" si="8"/>
        <v>79</v>
      </c>
      <c r="B85" s="476">
        <f t="shared" si="9"/>
        <v>46</v>
      </c>
      <c r="C85" s="480" t="s">
        <v>515</v>
      </c>
      <c r="D85" s="481">
        <v>4.5664999999999997E-2</v>
      </c>
      <c r="E85" s="481">
        <v>4.6115000000000003E-2</v>
      </c>
      <c r="F85" s="481">
        <f>+E85-D85</f>
        <v>4.5000000000000595E-4</v>
      </c>
      <c r="G85" s="481">
        <f>-F85</f>
        <v>-4.5000000000000595E-4</v>
      </c>
    </row>
    <row r="86" spans="1:7">
      <c r="A86" s="476">
        <f t="shared" si="8"/>
        <v>80</v>
      </c>
    </row>
    <row r="87" spans="1:7">
      <c r="A87" s="476">
        <f t="shared" si="8"/>
        <v>81</v>
      </c>
      <c r="B87" s="476">
        <v>49</v>
      </c>
      <c r="C87" s="482" t="s">
        <v>514</v>
      </c>
    </row>
    <row r="88" spans="1:7">
      <c r="A88" s="476">
        <f t="shared" si="8"/>
        <v>82</v>
      </c>
      <c r="B88" s="476">
        <f>+$B$87</f>
        <v>49</v>
      </c>
      <c r="C88" s="480" t="s">
        <v>513</v>
      </c>
      <c r="D88" s="481">
        <v>5.0738999999999999E-2</v>
      </c>
      <c r="E88" s="481">
        <v>5.1239E-2</v>
      </c>
      <c r="F88" s="481">
        <f>+E88-D88</f>
        <v>5.0000000000000044E-4</v>
      </c>
      <c r="G88" s="481">
        <f>-F88</f>
        <v>-5.0000000000000044E-4</v>
      </c>
    </row>
    <row r="89" spans="1:7">
      <c r="A89" s="476">
        <f t="shared" si="8"/>
        <v>83</v>
      </c>
      <c r="B89" s="476">
        <f>+$B$87</f>
        <v>49</v>
      </c>
      <c r="C89" s="475"/>
    </row>
    <row r="90" spans="1:7">
      <c r="A90" s="476">
        <f t="shared" si="8"/>
        <v>84</v>
      </c>
      <c r="B90" s="476">
        <f>+$B$87</f>
        <v>49</v>
      </c>
      <c r="C90" s="480" t="s">
        <v>512</v>
      </c>
      <c r="D90" s="474">
        <v>5.48</v>
      </c>
      <c r="E90" s="474">
        <v>5.53</v>
      </c>
      <c r="F90" s="474">
        <f>+E90-D90</f>
        <v>4.9999999999999822E-2</v>
      </c>
      <c r="G90" s="474">
        <f>-F90</f>
        <v>-4.9999999999999822E-2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3" fitToHeight="0" orientation="landscape" r:id="rId1"/>
  <headerFooter alignWithMargins="0">
    <oddFooter>&amp;L&amp;F
&amp;A&amp;RPage &amp;P of &amp;N</oddFooter>
  </headerFooter>
  <rowBreaks count="1" manualBreakCount="1">
    <brk id="52" max="12" man="1"/>
  </rowBreaks>
  <customProperties>
    <customPr name="_pios_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workbookViewId="0">
      <selection sqref="A1:I1"/>
    </sheetView>
  </sheetViews>
  <sheetFormatPr defaultRowHeight="12.75"/>
  <cols>
    <col min="1" max="1" width="7.7109375" bestFit="1" customWidth="1"/>
    <col min="2" max="2" width="33.7109375" bestFit="1" customWidth="1"/>
    <col min="3" max="3" width="10.140625" bestFit="1" customWidth="1"/>
    <col min="4" max="4" width="14.7109375" bestFit="1" customWidth="1"/>
    <col min="5" max="5" width="13.7109375" bestFit="1" customWidth="1"/>
    <col min="6" max="6" width="7.85546875" bestFit="1" customWidth="1"/>
    <col min="7" max="7" width="11.42578125" bestFit="1" customWidth="1"/>
    <col min="8" max="8" width="12.85546875" bestFit="1" customWidth="1"/>
    <col min="9" max="9" width="8.42578125" bestFit="1" customWidth="1"/>
  </cols>
  <sheetData>
    <row r="1" spans="1:9">
      <c r="A1" s="557" t="s">
        <v>0</v>
      </c>
      <c r="B1" s="557"/>
      <c r="C1" s="557"/>
      <c r="D1" s="557"/>
      <c r="E1" s="557"/>
      <c r="F1" s="557"/>
      <c r="G1" s="557"/>
      <c r="H1" s="557"/>
      <c r="I1" s="557"/>
    </row>
    <row r="2" spans="1:9">
      <c r="A2" s="557" t="s">
        <v>469</v>
      </c>
      <c r="B2" s="557"/>
      <c r="C2" s="557"/>
      <c r="D2" s="557"/>
      <c r="E2" s="557"/>
      <c r="F2" s="557"/>
      <c r="G2" s="557"/>
      <c r="H2" s="557"/>
      <c r="I2" s="557"/>
    </row>
    <row r="3" spans="1:9">
      <c r="A3" s="558" t="s">
        <v>427</v>
      </c>
      <c r="B3" s="557"/>
      <c r="C3" s="557"/>
      <c r="D3" s="557"/>
      <c r="E3" s="557"/>
      <c r="F3" s="557"/>
      <c r="G3" s="557"/>
      <c r="H3" s="557"/>
      <c r="I3" s="557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89.25">
      <c r="A5" s="68" t="s">
        <v>2</v>
      </c>
      <c r="B5" s="68" t="s">
        <v>139</v>
      </c>
      <c r="C5" s="68" t="s">
        <v>130</v>
      </c>
      <c r="D5" s="69" t="s">
        <v>428</v>
      </c>
      <c r="E5" s="69" t="s">
        <v>429</v>
      </c>
      <c r="F5" s="69" t="s">
        <v>470</v>
      </c>
      <c r="G5" s="69" t="s">
        <v>471</v>
      </c>
      <c r="H5" s="69" t="s">
        <v>472</v>
      </c>
      <c r="I5" s="69" t="s">
        <v>473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3">
        <v>7</v>
      </c>
      <c r="D8" s="78">
        <v>10838149000</v>
      </c>
      <c r="E8" s="78">
        <v>1075024000</v>
      </c>
      <c r="F8" s="80">
        <v>0</v>
      </c>
      <c r="G8" s="80">
        <v>-1.271E-3</v>
      </c>
      <c r="H8" s="79">
        <v>-13775287.379000001</v>
      </c>
      <c r="I8" s="81">
        <v>-1.2813934739131406E-2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0</v>
      </c>
      <c r="G9" s="85">
        <v>-1.271E-3</v>
      </c>
      <c r="H9" s="84">
        <v>-13775287.379000001</v>
      </c>
      <c r="I9" s="86">
        <v>-1.2813934739131406E-2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4" t="s">
        <v>133</v>
      </c>
      <c r="D12" s="87">
        <v>3117609000</v>
      </c>
      <c r="E12" s="87">
        <v>315731000</v>
      </c>
      <c r="F12" s="80">
        <v>0</v>
      </c>
      <c r="G12" s="80">
        <v>-9.4300000000000004E-4</v>
      </c>
      <c r="H12" s="88">
        <v>-2939905.287</v>
      </c>
      <c r="I12" s="90">
        <v>-9.3114242408886046E-3</v>
      </c>
    </row>
    <row r="13" spans="1:9">
      <c r="A13" s="74">
        <v>7</v>
      </c>
      <c r="B13" s="91" t="s">
        <v>153</v>
      </c>
      <c r="C13" s="344" t="s">
        <v>154</v>
      </c>
      <c r="D13" s="87">
        <v>3283168000</v>
      </c>
      <c r="E13" s="87">
        <v>310810000</v>
      </c>
      <c r="F13" s="80">
        <v>0</v>
      </c>
      <c r="G13" s="80">
        <v>-8.6700000000000004E-4</v>
      </c>
      <c r="H13" s="88">
        <v>-2846506.656</v>
      </c>
      <c r="I13" s="90">
        <v>-9.1583496541295332E-3</v>
      </c>
    </row>
    <row r="14" spans="1:9">
      <c r="A14" s="74">
        <v>8</v>
      </c>
      <c r="B14" s="91" t="s">
        <v>155</v>
      </c>
      <c r="C14" s="344" t="s">
        <v>204</v>
      </c>
      <c r="D14" s="87">
        <v>1942526000</v>
      </c>
      <c r="E14" s="87">
        <v>167048000</v>
      </c>
      <c r="F14" s="80">
        <v>0</v>
      </c>
      <c r="G14" s="80">
        <v>-8.5700000000000001E-4</v>
      </c>
      <c r="H14" s="88">
        <v>-1664744.7820000001</v>
      </c>
      <c r="I14" s="90">
        <v>-9.9656672453426569E-3</v>
      </c>
    </row>
    <row r="15" spans="1:9">
      <c r="A15" s="74">
        <v>9</v>
      </c>
      <c r="B15" s="77" t="s">
        <v>156</v>
      </c>
      <c r="C15" s="343">
        <v>29</v>
      </c>
      <c r="D15" s="87">
        <v>16292000</v>
      </c>
      <c r="E15" s="87">
        <v>1238000</v>
      </c>
      <c r="F15" s="80">
        <v>0</v>
      </c>
      <c r="G15" s="80">
        <v>-8.6700000000000004E-4</v>
      </c>
      <c r="H15" s="88">
        <v>-14125.164000000001</v>
      </c>
      <c r="I15" s="90">
        <v>-1.1409663974151859E-2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0</v>
      </c>
      <c r="G16" s="85">
        <v>-8.9301956482341547E-4</v>
      </c>
      <c r="H16" s="84">
        <v>-7465281.8889999995</v>
      </c>
      <c r="I16" s="86">
        <v>-9.3923355510066968E-3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4" t="s">
        <v>136</v>
      </c>
      <c r="D19" s="87">
        <v>1420073000</v>
      </c>
      <c r="E19" s="87">
        <v>119174000</v>
      </c>
      <c r="F19" s="80">
        <v>0</v>
      </c>
      <c r="G19" s="89">
        <v>-8.12E-4</v>
      </c>
      <c r="H19" s="88">
        <v>-1153099.2760000001</v>
      </c>
      <c r="I19" s="90">
        <v>-9.6757621293235112E-3</v>
      </c>
    </row>
    <row r="20" spans="1:9">
      <c r="A20" s="74">
        <v>14</v>
      </c>
      <c r="B20" s="77" t="s">
        <v>156</v>
      </c>
      <c r="C20" s="343">
        <v>35</v>
      </c>
      <c r="D20" s="87">
        <v>5174000</v>
      </c>
      <c r="E20" s="87">
        <v>290000</v>
      </c>
      <c r="F20" s="80">
        <v>0</v>
      </c>
      <c r="G20" s="89">
        <v>-8.12E-4</v>
      </c>
      <c r="H20" s="88">
        <v>-4201.2880000000005</v>
      </c>
      <c r="I20" s="90">
        <v>-1.4487200000000002E-2</v>
      </c>
    </row>
    <row r="21" spans="1:9">
      <c r="A21" s="74">
        <v>15</v>
      </c>
      <c r="B21" s="77" t="s">
        <v>159</v>
      </c>
      <c r="C21" s="343">
        <v>43</v>
      </c>
      <c r="D21" s="87">
        <v>127202000</v>
      </c>
      <c r="E21" s="87">
        <v>11686000</v>
      </c>
      <c r="F21" s="80">
        <v>0</v>
      </c>
      <c r="G21" s="89">
        <v>-1.14E-3</v>
      </c>
      <c r="H21" s="88">
        <v>-145010.28</v>
      </c>
      <c r="I21" s="90">
        <v>-1.2408889269211021E-2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0</v>
      </c>
      <c r="G22" s="85">
        <v>-8.3887512182364773E-4</v>
      </c>
      <c r="H22" s="84">
        <v>-1302310.844</v>
      </c>
      <c r="I22" s="86">
        <v>-9.9299339992375141E-3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3">
        <v>40</v>
      </c>
      <c r="D24" s="83">
        <v>586597000</v>
      </c>
      <c r="E24" s="83">
        <v>45383000</v>
      </c>
      <c r="F24" s="85">
        <v>0</v>
      </c>
      <c r="G24" s="85">
        <v>-8.5700000000000001E-4</v>
      </c>
      <c r="H24" s="84">
        <v>-502713.62900000002</v>
      </c>
      <c r="I24" s="86">
        <v>-1.107713524888174E-2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3">
        <v>46</v>
      </c>
      <c r="D27" s="87">
        <v>76029000</v>
      </c>
      <c r="E27" s="87">
        <v>5327000</v>
      </c>
      <c r="F27" s="89">
        <v>0</v>
      </c>
      <c r="G27" s="89">
        <v>-6.5300000000000004E-4</v>
      </c>
      <c r="H27" s="88">
        <v>-49646.937000000005</v>
      </c>
      <c r="I27" s="90">
        <v>-9.3198680307865593E-3</v>
      </c>
    </row>
    <row r="28" spans="1:9">
      <c r="A28" s="74">
        <v>22</v>
      </c>
      <c r="B28" s="91" t="s">
        <v>158</v>
      </c>
      <c r="C28" s="343">
        <v>49</v>
      </c>
      <c r="D28" s="87">
        <v>606297000</v>
      </c>
      <c r="E28" s="87">
        <v>42056000</v>
      </c>
      <c r="F28" s="89">
        <v>0</v>
      </c>
      <c r="G28" s="89">
        <v>-6.5300000000000004E-4</v>
      </c>
      <c r="H28" s="88">
        <v>-395911.94100000005</v>
      </c>
      <c r="I28" s="90">
        <v>-9.4139228885295814E-3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0</v>
      </c>
      <c r="G29" s="85">
        <v>-6.5300000000000004E-4</v>
      </c>
      <c r="H29" s="84">
        <v>-445558.87800000003</v>
      </c>
      <c r="I29" s="86">
        <v>-9.4033488381909131E-3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3" t="s">
        <v>17</v>
      </c>
      <c r="D31" s="83">
        <v>71427000</v>
      </c>
      <c r="E31" s="83">
        <v>17031000</v>
      </c>
      <c r="F31" s="85">
        <v>0</v>
      </c>
      <c r="G31" s="85">
        <v>-3.5850000000000001E-3</v>
      </c>
      <c r="H31" s="84">
        <v>-256065.79500000001</v>
      </c>
      <c r="I31" s="86">
        <v>-1.5035276554518232E-2</v>
      </c>
    </row>
    <row r="32" spans="1:9">
      <c r="A32" s="74">
        <v>26</v>
      </c>
      <c r="B32" s="205"/>
      <c r="C32" s="343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3" t="s">
        <v>18</v>
      </c>
      <c r="D33" s="83">
        <v>2024995000</v>
      </c>
      <c r="E33" s="83">
        <v>10680000</v>
      </c>
      <c r="F33" s="85">
        <v>0</v>
      </c>
      <c r="G33" s="85">
        <v>-1.46E-4</v>
      </c>
      <c r="H33" s="84">
        <v>-295649.27</v>
      </c>
      <c r="I33" s="86">
        <v>-2.7682515917602998E-2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0</v>
      </c>
      <c r="G35" s="99">
        <v>-9.9698657703593428E-4</v>
      </c>
      <c r="H35" s="98">
        <v>-24042867.684</v>
      </c>
      <c r="I35" s="100">
        <v>-1.1333074245408154E-2</v>
      </c>
    </row>
    <row r="36" spans="1:9" ht="13.5" thickTop="1"/>
  </sheetData>
  <mergeCells count="3">
    <mergeCell ref="A1:I1"/>
    <mergeCell ref="A2:I2"/>
    <mergeCell ref="A3:I3"/>
  </mergeCells>
  <pageMargins left="0.7" right="0.7" top="0.75" bottom="0.75" header="0.3" footer="0.3"/>
  <pageSetup scale="71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workbookViewId="0">
      <selection sqref="A1:K1"/>
    </sheetView>
  </sheetViews>
  <sheetFormatPr defaultColWidth="8.85546875" defaultRowHeight="12.75"/>
  <cols>
    <col min="1" max="2" width="6.140625" style="1" bestFit="1" customWidth="1"/>
    <col min="3" max="3" width="16.7109375" style="1" bestFit="1" customWidth="1"/>
    <col min="4" max="4" width="11.7109375" style="1" bestFit="1" customWidth="1"/>
    <col min="5" max="5" width="9.28515625" style="1" bestFit="1" customWidth="1"/>
    <col min="6" max="6" width="8.85546875" style="1"/>
    <col min="7" max="7" width="9.7109375" style="1" bestFit="1" customWidth="1"/>
    <col min="8" max="8" width="9.140625" style="1" bestFit="1" customWidth="1"/>
    <col min="9" max="9" width="8.85546875" style="1"/>
    <col min="10" max="10" width="10.28515625" style="1" bestFit="1" customWidth="1"/>
    <col min="11" max="11" width="9.7109375" style="1" bestFit="1" customWidth="1"/>
    <col min="12" max="16384" width="8.85546875" style="1"/>
  </cols>
  <sheetData>
    <row r="1" spans="1:11">
      <c r="A1" s="563" t="s">
        <v>0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</row>
    <row r="2" spans="1:11">
      <c r="A2" s="564" t="s">
        <v>432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</row>
    <row r="3" spans="1:11">
      <c r="A3" s="563" t="s">
        <v>364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</row>
    <row r="4" spans="1:11">
      <c r="A4" s="563" t="s">
        <v>433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</row>
    <row r="5" spans="1:11">
      <c r="A5" s="565"/>
      <c r="B5" s="565"/>
      <c r="C5" s="565"/>
      <c r="D5" s="565"/>
      <c r="E5" s="565"/>
      <c r="F5" s="565"/>
      <c r="G5" s="565"/>
      <c r="H5" s="565"/>
      <c r="I5" s="565"/>
      <c r="J5" s="565"/>
      <c r="K5" s="565"/>
    </row>
    <row r="6" spans="1:11">
      <c r="A6" s="562" t="s">
        <v>434</v>
      </c>
      <c r="B6" s="555"/>
      <c r="C6" s="555"/>
      <c r="D6" s="555"/>
      <c r="E6" s="555"/>
      <c r="F6" s="555"/>
      <c r="G6" s="555"/>
      <c r="H6" s="555"/>
      <c r="I6" s="555"/>
      <c r="J6" s="555"/>
      <c r="K6" s="555"/>
    </row>
    <row r="7" spans="1:11" ht="56.25">
      <c r="A7" s="404" t="s">
        <v>2</v>
      </c>
      <c r="B7" s="404" t="s">
        <v>3</v>
      </c>
      <c r="C7" s="404" t="s">
        <v>38</v>
      </c>
      <c r="D7" s="405" t="s">
        <v>365</v>
      </c>
      <c r="E7" s="406" t="s">
        <v>366</v>
      </c>
      <c r="F7" s="407"/>
      <c r="G7" s="405" t="s">
        <v>435</v>
      </c>
      <c r="H7" s="405" t="s">
        <v>386</v>
      </c>
      <c r="I7" s="407"/>
      <c r="J7" s="406" t="s">
        <v>369</v>
      </c>
      <c r="K7" s="406" t="s">
        <v>436</v>
      </c>
    </row>
    <row r="8" spans="1:11" ht="56.25">
      <c r="A8" s="404"/>
      <c r="B8" s="404"/>
      <c r="C8" s="404"/>
      <c r="D8" s="408" t="s">
        <v>142</v>
      </c>
      <c r="E8" s="409" t="s">
        <v>143</v>
      </c>
      <c r="F8" s="408"/>
      <c r="G8" s="408" t="s">
        <v>145</v>
      </c>
      <c r="H8" s="407" t="s">
        <v>146</v>
      </c>
      <c r="I8" s="408"/>
      <c r="J8" s="408" t="s">
        <v>370</v>
      </c>
      <c r="K8" s="408" t="s">
        <v>371</v>
      </c>
    </row>
    <row r="9" spans="1:11">
      <c r="A9" s="410">
        <v>1</v>
      </c>
      <c r="B9" s="410">
        <v>7</v>
      </c>
      <c r="C9" s="411"/>
      <c r="D9" s="412">
        <v>10838149000</v>
      </c>
      <c r="E9" s="413"/>
      <c r="F9" s="407"/>
      <c r="G9" s="414">
        <v>-1.237E-3</v>
      </c>
      <c r="H9" s="414">
        <v>6.2100000000000002E-4</v>
      </c>
      <c r="I9" s="407"/>
      <c r="J9" s="415">
        <v>-13407000</v>
      </c>
      <c r="K9" s="415">
        <v>6730000</v>
      </c>
    </row>
    <row r="10" spans="1:11">
      <c r="A10" s="410">
        <v>2</v>
      </c>
      <c r="B10" s="416" t="s">
        <v>207</v>
      </c>
      <c r="C10" s="411"/>
      <c r="D10" s="412">
        <v>2347000</v>
      </c>
      <c r="E10" s="413"/>
      <c r="F10" s="407"/>
      <c r="G10" s="414">
        <v>1.408E-3</v>
      </c>
      <c r="H10" s="414">
        <v>-6.5700000000000003E-4</v>
      </c>
      <c r="I10" s="407"/>
      <c r="J10" s="415">
        <v>3000</v>
      </c>
      <c r="K10" s="415">
        <v>-2000</v>
      </c>
    </row>
    <row r="11" spans="1:11">
      <c r="A11" s="410">
        <v>3</v>
      </c>
      <c r="B11" s="410"/>
      <c r="C11" s="411" t="s">
        <v>12</v>
      </c>
      <c r="D11" s="417">
        <v>10840496000</v>
      </c>
      <c r="E11" s="413"/>
      <c r="F11" s="407"/>
      <c r="G11" s="414"/>
      <c r="H11" s="418"/>
      <c r="I11" s="407"/>
      <c r="J11" s="419">
        <v>-13404000</v>
      </c>
      <c r="K11" s="419">
        <v>6728000</v>
      </c>
    </row>
    <row r="12" spans="1:11">
      <c r="A12" s="410">
        <v>4</v>
      </c>
      <c r="B12" s="410"/>
      <c r="C12" s="411"/>
      <c r="D12" s="413"/>
      <c r="E12" s="413"/>
      <c r="F12" s="420"/>
      <c r="G12" s="414"/>
      <c r="H12" s="418"/>
      <c r="I12" s="420"/>
      <c r="J12" s="415"/>
      <c r="K12" s="415"/>
    </row>
    <row r="13" spans="1:11">
      <c r="A13" s="410">
        <v>5</v>
      </c>
      <c r="B13" s="416" t="s">
        <v>367</v>
      </c>
      <c r="C13" s="411"/>
      <c r="D13" s="412">
        <v>274905000</v>
      </c>
      <c r="E13" s="413"/>
      <c r="F13" s="420"/>
      <c r="G13" s="414">
        <v>1.2509999999999999E-3</v>
      </c>
      <c r="H13" s="414">
        <v>2.8170000000000001E-3</v>
      </c>
      <c r="I13" s="420"/>
      <c r="J13" s="415">
        <v>344000</v>
      </c>
      <c r="K13" s="415">
        <v>774000</v>
      </c>
    </row>
    <row r="14" spans="1:11">
      <c r="A14" s="410">
        <v>6</v>
      </c>
      <c r="B14" s="410">
        <v>24</v>
      </c>
      <c r="C14" s="411"/>
      <c r="D14" s="412">
        <v>2842704000</v>
      </c>
      <c r="E14" s="413"/>
      <c r="F14" s="420"/>
      <c r="G14" s="418">
        <v>1.2509999999999999E-3</v>
      </c>
      <c r="H14" s="414">
        <v>2.8170000000000001E-3</v>
      </c>
      <c r="I14" s="420"/>
      <c r="J14" s="415">
        <v>3556000</v>
      </c>
      <c r="K14" s="415">
        <v>8008000</v>
      </c>
    </row>
    <row r="15" spans="1:11">
      <c r="A15" s="410">
        <v>7</v>
      </c>
      <c r="B15" s="416">
        <v>11</v>
      </c>
      <c r="C15" s="411"/>
      <c r="D15" s="412">
        <v>161833000</v>
      </c>
      <c r="E15" s="413"/>
      <c r="F15" s="420"/>
      <c r="G15" s="418">
        <v>1.408E-3</v>
      </c>
      <c r="H15" s="414">
        <v>-6.5700000000000003E-4</v>
      </c>
      <c r="I15" s="420"/>
      <c r="J15" s="415">
        <v>228000</v>
      </c>
      <c r="K15" s="415">
        <v>-106000</v>
      </c>
    </row>
    <row r="16" spans="1:11">
      <c r="A16" s="410">
        <v>8</v>
      </c>
      <c r="B16" s="416">
        <v>25</v>
      </c>
      <c r="C16" s="411"/>
      <c r="D16" s="412">
        <v>3118988000</v>
      </c>
      <c r="E16" s="413"/>
      <c r="F16" s="420"/>
      <c r="G16" s="418">
        <v>1.408E-3</v>
      </c>
      <c r="H16" s="414">
        <v>-6.5700000000000003E-4</v>
      </c>
      <c r="I16" s="420"/>
      <c r="J16" s="415">
        <v>4392000</v>
      </c>
      <c r="K16" s="415">
        <v>-2049000</v>
      </c>
    </row>
    <row r="17" spans="1:11">
      <c r="A17" s="410">
        <v>9</v>
      </c>
      <c r="B17" s="410">
        <v>12</v>
      </c>
      <c r="C17" s="411"/>
      <c r="D17" s="412">
        <v>19940000</v>
      </c>
      <c r="E17" s="413"/>
      <c r="F17" s="420"/>
      <c r="G17" s="414">
        <v>8.5000000000000006E-5</v>
      </c>
      <c r="H17" s="414">
        <v>-1.27E-4</v>
      </c>
      <c r="I17" s="420"/>
      <c r="J17" s="415">
        <v>2000</v>
      </c>
      <c r="K17" s="415">
        <v>-3000</v>
      </c>
    </row>
    <row r="18" spans="1:11">
      <c r="A18" s="410">
        <v>10</v>
      </c>
      <c r="B18" s="416" t="s">
        <v>368</v>
      </c>
      <c r="C18" s="411"/>
      <c r="D18" s="412">
        <v>1922586000</v>
      </c>
      <c r="E18" s="413"/>
      <c r="F18" s="420"/>
      <c r="G18" s="418">
        <v>8.5000000000000006E-5</v>
      </c>
      <c r="H18" s="414">
        <v>-1.27E-4</v>
      </c>
      <c r="I18" s="420"/>
      <c r="J18" s="415">
        <v>163000</v>
      </c>
      <c r="K18" s="415">
        <v>-244000</v>
      </c>
    </row>
    <row r="19" spans="1:11">
      <c r="A19" s="410">
        <v>11</v>
      </c>
      <c r="B19" s="410">
        <v>12</v>
      </c>
      <c r="C19" s="411"/>
      <c r="D19" s="412"/>
      <c r="E19" s="412">
        <v>46801</v>
      </c>
      <c r="F19" s="420"/>
      <c r="G19" s="421">
        <v>-0.06</v>
      </c>
      <c r="H19" s="421">
        <v>0.37</v>
      </c>
      <c r="I19" s="420"/>
      <c r="J19" s="415">
        <v>-3000</v>
      </c>
      <c r="K19" s="415">
        <v>17000</v>
      </c>
    </row>
    <row r="20" spans="1:11">
      <c r="A20" s="410">
        <v>12</v>
      </c>
      <c r="B20" s="416" t="s">
        <v>368</v>
      </c>
      <c r="C20" s="411"/>
      <c r="D20" s="412"/>
      <c r="E20" s="412">
        <v>4364676</v>
      </c>
      <c r="F20" s="420"/>
      <c r="G20" s="422">
        <v>-0.06</v>
      </c>
      <c r="H20" s="421">
        <v>0.37</v>
      </c>
      <c r="I20" s="420"/>
      <c r="J20" s="415">
        <v>-262000</v>
      </c>
      <c r="K20" s="415">
        <v>1615000</v>
      </c>
    </row>
    <row r="21" spans="1:11">
      <c r="A21" s="410">
        <v>13</v>
      </c>
      <c r="B21" s="410">
        <v>29</v>
      </c>
      <c r="C21" s="411"/>
      <c r="D21" s="412">
        <v>16292000</v>
      </c>
      <c r="E21" s="413"/>
      <c r="F21" s="420"/>
      <c r="G21" s="418">
        <v>1.408E-3</v>
      </c>
      <c r="H21" s="414">
        <v>-6.5700000000000003E-4</v>
      </c>
      <c r="I21" s="420"/>
      <c r="J21" s="415">
        <v>23000</v>
      </c>
      <c r="K21" s="415">
        <v>-11000</v>
      </c>
    </row>
    <row r="22" spans="1:11">
      <c r="A22" s="410">
        <v>14</v>
      </c>
      <c r="B22" s="410"/>
      <c r="C22" s="423" t="s">
        <v>14</v>
      </c>
      <c r="D22" s="417">
        <v>8357248000</v>
      </c>
      <c r="E22" s="417">
        <v>4411477</v>
      </c>
      <c r="F22" s="420"/>
      <c r="G22" s="414"/>
      <c r="H22" s="418"/>
      <c r="I22" s="420"/>
      <c r="J22" s="419">
        <v>8443000</v>
      </c>
      <c r="K22" s="419">
        <v>8001000</v>
      </c>
    </row>
    <row r="23" spans="1:11">
      <c r="A23" s="410">
        <v>15</v>
      </c>
      <c r="B23" s="410"/>
      <c r="C23" s="411"/>
      <c r="D23" s="413"/>
      <c r="E23" s="413"/>
      <c r="F23" s="420"/>
      <c r="G23" s="414"/>
      <c r="H23" s="418"/>
      <c r="I23" s="420"/>
      <c r="J23" s="415"/>
      <c r="K23" s="415"/>
    </row>
    <row r="24" spans="1:11">
      <c r="A24" s="410">
        <v>16</v>
      </c>
      <c r="B24" s="410">
        <v>10</v>
      </c>
      <c r="C24" s="411"/>
      <c r="D24" s="412">
        <v>36510000</v>
      </c>
      <c r="E24" s="413"/>
      <c r="F24" s="420"/>
      <c r="G24" s="414">
        <v>-5.5999999999999999E-5</v>
      </c>
      <c r="H24" s="414">
        <v>-2.5399999999999999E-4</v>
      </c>
      <c r="I24" s="420"/>
      <c r="J24" s="415">
        <v>-2000</v>
      </c>
      <c r="K24" s="415">
        <v>-9000</v>
      </c>
    </row>
    <row r="25" spans="1:11">
      <c r="A25" s="410">
        <v>17</v>
      </c>
      <c r="B25" s="410">
        <v>31</v>
      </c>
      <c r="C25" s="411"/>
      <c r="D25" s="412">
        <v>1383563000</v>
      </c>
      <c r="E25" s="413"/>
      <c r="F25" s="420"/>
      <c r="G25" s="418">
        <v>-5.5999999999999999E-5</v>
      </c>
      <c r="H25" s="414">
        <v>-2.5399999999999999E-4</v>
      </c>
      <c r="I25" s="420"/>
      <c r="J25" s="415">
        <v>-77000</v>
      </c>
      <c r="K25" s="415">
        <v>-351000</v>
      </c>
    </row>
    <row r="26" spans="1:11">
      <c r="A26" s="410">
        <v>18</v>
      </c>
      <c r="B26" s="410">
        <v>10</v>
      </c>
      <c r="C26" s="411"/>
      <c r="D26" s="424"/>
      <c r="E26" s="413">
        <v>78827</v>
      </c>
      <c r="F26" s="420"/>
      <c r="G26" s="421">
        <v>-0.08</v>
      </c>
      <c r="H26" s="421">
        <v>0.16</v>
      </c>
      <c r="I26" s="420"/>
      <c r="J26" s="415">
        <v>-6000</v>
      </c>
      <c r="K26" s="415">
        <v>13000</v>
      </c>
    </row>
    <row r="27" spans="1:11">
      <c r="A27" s="410">
        <v>19</v>
      </c>
      <c r="B27" s="410">
        <v>31</v>
      </c>
      <c r="C27" s="411"/>
      <c r="D27" s="424"/>
      <c r="E27" s="413">
        <v>3302465</v>
      </c>
      <c r="F27" s="420"/>
      <c r="G27" s="422">
        <v>-0.08</v>
      </c>
      <c r="H27" s="421">
        <v>0.16</v>
      </c>
      <c r="I27" s="420"/>
      <c r="J27" s="415">
        <v>-264000</v>
      </c>
      <c r="K27" s="415">
        <v>528000</v>
      </c>
    </row>
    <row r="28" spans="1:11">
      <c r="A28" s="410">
        <v>20</v>
      </c>
      <c r="B28" s="410">
        <v>35</v>
      </c>
      <c r="C28" s="411"/>
      <c r="D28" s="412">
        <v>5174000</v>
      </c>
      <c r="E28" s="413"/>
      <c r="F28" s="420"/>
      <c r="G28" s="418">
        <v>1.408E-3</v>
      </c>
      <c r="H28" s="414">
        <v>-6.5700000000000003E-4</v>
      </c>
      <c r="I28" s="420"/>
      <c r="J28" s="415">
        <v>7000</v>
      </c>
      <c r="K28" s="415">
        <v>-3000</v>
      </c>
    </row>
    <row r="29" spans="1:11">
      <c r="A29" s="410">
        <v>21</v>
      </c>
      <c r="B29" s="410">
        <v>43</v>
      </c>
      <c r="C29" s="411"/>
      <c r="D29" s="412">
        <v>127202000</v>
      </c>
      <c r="E29" s="413"/>
      <c r="F29" s="420"/>
      <c r="G29" s="418">
        <v>1.408E-3</v>
      </c>
      <c r="H29" s="414">
        <v>-6.5700000000000003E-4</v>
      </c>
      <c r="I29" s="420"/>
      <c r="J29" s="415">
        <v>179000</v>
      </c>
      <c r="K29" s="415">
        <v>-84000</v>
      </c>
    </row>
    <row r="30" spans="1:11">
      <c r="A30" s="410">
        <v>22</v>
      </c>
      <c r="B30" s="410"/>
      <c r="C30" s="411" t="s">
        <v>15</v>
      </c>
      <c r="D30" s="417">
        <v>1552449000</v>
      </c>
      <c r="E30" s="417">
        <v>3381292</v>
      </c>
      <c r="F30" s="420"/>
      <c r="G30" s="414"/>
      <c r="H30" s="418"/>
      <c r="I30" s="420"/>
      <c r="J30" s="419">
        <v>-163000</v>
      </c>
      <c r="K30" s="419">
        <v>94000</v>
      </c>
    </row>
    <row r="31" spans="1:11">
      <c r="A31" s="410">
        <v>23</v>
      </c>
      <c r="B31" s="410"/>
      <c r="C31" s="411"/>
      <c r="D31" s="413"/>
      <c r="E31" s="413"/>
      <c r="F31" s="420"/>
      <c r="G31" s="414"/>
      <c r="H31" s="418"/>
      <c r="I31" s="420"/>
      <c r="J31" s="415"/>
      <c r="K31" s="415"/>
    </row>
    <row r="32" spans="1:11">
      <c r="A32" s="410">
        <v>24</v>
      </c>
      <c r="B32" s="410">
        <v>40</v>
      </c>
      <c r="C32" s="411"/>
      <c r="D32" s="425">
        <v>586597000</v>
      </c>
      <c r="E32" s="413"/>
      <c r="F32" s="420"/>
      <c r="G32" s="414">
        <v>1.7980000000000001E-3</v>
      </c>
      <c r="H32" s="414">
        <v>4.182E-3</v>
      </c>
      <c r="I32" s="420"/>
      <c r="J32" s="415">
        <v>1055000</v>
      </c>
      <c r="K32" s="415">
        <v>2453000</v>
      </c>
    </row>
    <row r="33" spans="1:11">
      <c r="A33" s="410">
        <v>25</v>
      </c>
      <c r="B33" s="410"/>
      <c r="C33" s="411"/>
      <c r="D33" s="413"/>
      <c r="E33" s="413"/>
      <c r="F33" s="420"/>
      <c r="G33" s="414"/>
      <c r="H33" s="418"/>
      <c r="I33" s="420"/>
      <c r="J33" s="415"/>
      <c r="K33" s="415"/>
    </row>
    <row r="34" spans="1:11">
      <c r="A34" s="410">
        <v>26</v>
      </c>
      <c r="B34" s="410">
        <v>46</v>
      </c>
      <c r="C34" s="411"/>
      <c r="D34" s="412">
        <v>76029000</v>
      </c>
      <c r="E34" s="413"/>
      <c r="F34" s="420"/>
      <c r="G34" s="414">
        <v>1.323E-3</v>
      </c>
      <c r="H34" s="414">
        <v>1.84E-4</v>
      </c>
      <c r="I34" s="420"/>
      <c r="J34" s="415">
        <v>101000</v>
      </c>
      <c r="K34" s="415">
        <v>14000</v>
      </c>
    </row>
    <row r="35" spans="1:11">
      <c r="A35" s="410">
        <v>27</v>
      </c>
      <c r="B35" s="410">
        <v>49</v>
      </c>
      <c r="C35" s="411"/>
      <c r="D35" s="412">
        <v>606297000</v>
      </c>
      <c r="E35" s="413"/>
      <c r="F35" s="420"/>
      <c r="G35" s="418">
        <v>1.323E-3</v>
      </c>
      <c r="H35" s="414">
        <v>1.84E-4</v>
      </c>
      <c r="I35" s="420"/>
      <c r="J35" s="415">
        <v>802000</v>
      </c>
      <c r="K35" s="415">
        <v>112000</v>
      </c>
    </row>
    <row r="36" spans="1:11">
      <c r="A36" s="410">
        <v>28</v>
      </c>
      <c r="B36" s="410"/>
      <c r="C36" s="411" t="s">
        <v>16</v>
      </c>
      <c r="D36" s="417">
        <v>682326000</v>
      </c>
      <c r="E36" s="413"/>
      <c r="F36" s="420"/>
      <c r="G36" s="418"/>
      <c r="H36" s="418"/>
      <c r="I36" s="420"/>
      <c r="J36" s="419">
        <v>903000</v>
      </c>
      <c r="K36" s="419">
        <v>126000</v>
      </c>
    </row>
    <row r="37" spans="1:11">
      <c r="A37" s="410">
        <v>29</v>
      </c>
      <c r="B37" s="410"/>
      <c r="C37" s="411"/>
      <c r="D37" s="413"/>
      <c r="E37" s="413"/>
      <c r="F37" s="420"/>
      <c r="G37" s="426"/>
      <c r="H37" s="426"/>
      <c r="I37" s="420"/>
      <c r="J37" s="415"/>
      <c r="K37" s="415"/>
    </row>
    <row r="38" spans="1:11">
      <c r="A38" s="410">
        <v>30</v>
      </c>
      <c r="B38" s="410" t="s">
        <v>17</v>
      </c>
      <c r="C38" s="411"/>
      <c r="D38" s="425">
        <v>71427000</v>
      </c>
      <c r="E38" s="413"/>
      <c r="F38" s="420"/>
      <c r="G38" s="426"/>
      <c r="H38" s="426"/>
      <c r="I38" s="420"/>
      <c r="J38" s="415">
        <v>0</v>
      </c>
      <c r="K38" s="415">
        <v>0</v>
      </c>
    </row>
    <row r="39" spans="1:11">
      <c r="A39" s="410">
        <v>31</v>
      </c>
      <c r="B39" s="410"/>
      <c r="C39" s="411"/>
      <c r="D39" s="413"/>
      <c r="E39" s="413"/>
      <c r="F39" s="420"/>
      <c r="G39" s="426"/>
      <c r="H39" s="426"/>
      <c r="I39" s="420"/>
      <c r="J39" s="415"/>
      <c r="K39" s="415"/>
    </row>
    <row r="40" spans="1:11">
      <c r="A40" s="410">
        <v>32</v>
      </c>
      <c r="B40" s="410" t="s">
        <v>18</v>
      </c>
      <c r="C40" s="411"/>
      <c r="D40" s="425">
        <v>2024995000</v>
      </c>
      <c r="E40" s="413"/>
      <c r="F40" s="420"/>
      <c r="G40" s="426"/>
      <c r="H40" s="426"/>
      <c r="I40" s="420"/>
      <c r="J40" s="415">
        <v>0</v>
      </c>
      <c r="K40" s="415">
        <v>0</v>
      </c>
    </row>
    <row r="41" spans="1:11">
      <c r="A41" s="410">
        <v>33</v>
      </c>
      <c r="B41" s="410"/>
      <c r="C41" s="411"/>
      <c r="D41" s="413"/>
      <c r="E41" s="413"/>
      <c r="F41" s="420"/>
      <c r="G41" s="426"/>
      <c r="H41" s="426"/>
      <c r="I41" s="420"/>
      <c r="J41" s="415"/>
      <c r="K41" s="415"/>
    </row>
    <row r="42" spans="1:11" ht="13.5" thickBot="1">
      <c r="A42" s="410">
        <v>34</v>
      </c>
      <c r="B42" s="410"/>
      <c r="C42" s="423" t="s">
        <v>89</v>
      </c>
      <c r="D42" s="427">
        <v>24115538000</v>
      </c>
      <c r="E42" s="427">
        <v>7792769</v>
      </c>
      <c r="F42" s="420"/>
      <c r="G42" s="426"/>
      <c r="H42" s="426"/>
      <c r="I42" s="420"/>
      <c r="J42" s="428">
        <v>-3166000</v>
      </c>
      <c r="K42" s="428">
        <v>17402000</v>
      </c>
    </row>
    <row r="43" spans="1:11" ht="13.5" thickTop="1"/>
  </sheetData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7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selection sqref="A1:D1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5.140625" style="1" bestFit="1" customWidth="1"/>
    <col min="4" max="4" width="12.42578125" style="1" bestFit="1" customWidth="1"/>
    <col min="5" max="16384" width="8.85546875" style="1"/>
  </cols>
  <sheetData>
    <row r="1" spans="1:4">
      <c r="A1" s="566" t="s">
        <v>0</v>
      </c>
      <c r="B1" s="566"/>
      <c r="C1" s="566"/>
      <c r="D1" s="566"/>
    </row>
    <row r="2" spans="1:4">
      <c r="A2" s="566" t="s">
        <v>165</v>
      </c>
      <c r="B2" s="566"/>
      <c r="C2" s="566"/>
      <c r="D2" s="566"/>
    </row>
    <row r="3" spans="1:4">
      <c r="A3" s="566" t="s">
        <v>166</v>
      </c>
      <c r="B3" s="566"/>
      <c r="C3" s="566"/>
      <c r="D3" s="566"/>
    </row>
    <row r="4" spans="1:4">
      <c r="A4" s="567" t="s">
        <v>333</v>
      </c>
      <c r="B4" s="566"/>
      <c r="C4" s="566"/>
      <c r="D4" s="566"/>
    </row>
    <row r="5" spans="1:4">
      <c r="A5" s="567" t="s">
        <v>334</v>
      </c>
      <c r="B5" s="566"/>
      <c r="C5" s="566"/>
      <c r="D5" s="566"/>
    </row>
    <row r="6" spans="1:4">
      <c r="A6" s="102"/>
      <c r="B6" s="102"/>
      <c r="C6" s="103"/>
      <c r="D6" s="103"/>
    </row>
    <row r="7" spans="1:4">
      <c r="A7" s="104" t="s">
        <v>2</v>
      </c>
      <c r="B7" s="104"/>
      <c r="C7" s="104" t="s">
        <v>38</v>
      </c>
      <c r="D7" s="105" t="s">
        <v>167</v>
      </c>
    </row>
    <row r="8" spans="1:4">
      <c r="A8" s="106">
        <v>1</v>
      </c>
      <c r="B8" s="102"/>
      <c r="C8" s="107" t="s">
        <v>326</v>
      </c>
      <c r="D8" s="108">
        <v>10907855</v>
      </c>
    </row>
    <row r="9" spans="1:4">
      <c r="A9" s="106">
        <v>2</v>
      </c>
      <c r="B9" s="109"/>
      <c r="C9" s="102"/>
      <c r="D9" s="110"/>
    </row>
    <row r="10" spans="1:4">
      <c r="A10" s="106">
        <v>3</v>
      </c>
      <c r="B10" s="107"/>
      <c r="C10" s="107" t="s">
        <v>327</v>
      </c>
      <c r="D10" s="111">
        <v>75268651.353983968</v>
      </c>
    </row>
    <row r="11" spans="1:4">
      <c r="A11" s="106">
        <v>4</v>
      </c>
      <c r="B11" s="109"/>
      <c r="C11" s="102"/>
      <c r="D11" s="112"/>
    </row>
    <row r="12" spans="1:4">
      <c r="A12" s="106">
        <v>5</v>
      </c>
      <c r="B12" s="109"/>
      <c r="C12" s="113" t="s">
        <v>328</v>
      </c>
      <c r="D12" s="114">
        <v>1827804.9350000001</v>
      </c>
    </row>
    <row r="13" spans="1:4">
      <c r="A13" s="106">
        <v>6</v>
      </c>
      <c r="B13" s="102" t="s">
        <v>168</v>
      </c>
      <c r="C13" s="115" t="s">
        <v>169</v>
      </c>
      <c r="D13" s="116">
        <v>77096456.288983971</v>
      </c>
    </row>
    <row r="14" spans="1:4">
      <c r="A14" s="106">
        <v>7</v>
      </c>
      <c r="B14" s="102"/>
      <c r="C14" s="115"/>
      <c r="D14" s="112"/>
    </row>
    <row r="15" spans="1:4">
      <c r="A15" s="106">
        <v>8</v>
      </c>
      <c r="B15" s="109"/>
      <c r="C15" s="117" t="s">
        <v>170</v>
      </c>
      <c r="D15" s="118">
        <v>0.95437899999999998</v>
      </c>
    </row>
    <row r="16" spans="1:4" ht="13.5" thickBot="1">
      <c r="A16" s="106">
        <v>9</v>
      </c>
      <c r="B16" s="102" t="s">
        <v>171</v>
      </c>
      <c r="C16" s="119" t="s">
        <v>172</v>
      </c>
      <c r="D16" s="120">
        <v>80781802.919997171</v>
      </c>
    </row>
    <row r="17" spans="1:4" ht="13.5" thickTop="1">
      <c r="A17" s="106">
        <v>10</v>
      </c>
      <c r="B17" s="109"/>
      <c r="C17" s="103"/>
      <c r="D17" s="121"/>
    </row>
    <row r="18" spans="1:4" ht="13.5" thickBot="1">
      <c r="A18" s="106">
        <v>11</v>
      </c>
      <c r="B18" s="102" t="s">
        <v>173</v>
      </c>
      <c r="C18" s="107" t="s">
        <v>329</v>
      </c>
      <c r="D18" s="122">
        <v>7.4058380000000005E-3</v>
      </c>
    </row>
    <row r="19" spans="1:4" ht="13.5" thickTop="1">
      <c r="A19" s="106">
        <v>12</v>
      </c>
      <c r="B19" s="109"/>
      <c r="C19" s="103"/>
      <c r="D19" s="121"/>
    </row>
    <row r="20" spans="1:4">
      <c r="A20" s="106">
        <v>13</v>
      </c>
      <c r="B20" s="109"/>
      <c r="C20" s="123" t="s">
        <v>174</v>
      </c>
      <c r="D20" s="121"/>
    </row>
    <row r="21" spans="1:4">
      <c r="A21" s="106">
        <v>14</v>
      </c>
      <c r="B21" s="109"/>
      <c r="C21" s="103" t="s">
        <v>330</v>
      </c>
      <c r="D21" s="121"/>
    </row>
    <row r="22" spans="1:4">
      <c r="A22" s="106">
        <v>15</v>
      </c>
      <c r="B22" s="109"/>
      <c r="C22" s="102" t="s">
        <v>175</v>
      </c>
      <c r="D22" s="121"/>
    </row>
    <row r="23" spans="1:4">
      <c r="A23" s="106">
        <v>16</v>
      </c>
      <c r="B23" s="109"/>
      <c r="C23" s="113" t="s">
        <v>331</v>
      </c>
      <c r="D23" s="124">
        <v>97.419999999999987</v>
      </c>
    </row>
    <row r="24" spans="1:4">
      <c r="A24" s="106">
        <v>17</v>
      </c>
      <c r="B24" s="109"/>
      <c r="C24" s="113" t="s">
        <v>332</v>
      </c>
      <c r="D24" s="124">
        <v>96.859999999999985</v>
      </c>
    </row>
    <row r="25" spans="1:4">
      <c r="A25" s="106">
        <v>18</v>
      </c>
      <c r="B25" s="102" t="s">
        <v>176</v>
      </c>
      <c r="C25" s="113" t="s">
        <v>177</v>
      </c>
      <c r="D25" s="125">
        <v>-0.56000000000000227</v>
      </c>
    </row>
    <row r="26" spans="1:4" ht="13.5" thickBot="1">
      <c r="A26" s="106">
        <v>19</v>
      </c>
      <c r="B26" s="102" t="s">
        <v>178</v>
      </c>
      <c r="C26" s="126" t="s">
        <v>179</v>
      </c>
      <c r="D26" s="330">
        <v>-5.7483063026072916E-3</v>
      </c>
    </row>
    <row r="27" spans="1:4" ht="13.5" thickTop="1">
      <c r="A27" s="103"/>
      <c r="B27" s="109"/>
      <c r="C27" s="103"/>
      <c r="D27" s="103"/>
    </row>
    <row r="28" spans="1:4">
      <c r="A28" s="103"/>
      <c r="B28" s="103"/>
      <c r="C28" s="103"/>
      <c r="D28" s="10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workbookViewId="0"/>
  </sheetViews>
  <sheetFormatPr defaultColWidth="9.42578125" defaultRowHeight="15"/>
  <cols>
    <col min="1" max="1" width="1.7109375" style="203" customWidth="1"/>
    <col min="2" max="2" width="8.42578125" style="203" customWidth="1"/>
    <col min="3" max="3" width="3.7109375" style="203" customWidth="1"/>
    <col min="4" max="4" width="12.5703125" style="203" bestFit="1" customWidth="1"/>
    <col min="5" max="5" width="1.7109375" style="203" customWidth="1"/>
    <col min="6" max="6" width="12" style="203" bestFit="1" customWidth="1"/>
    <col min="7" max="7" width="1.7109375" style="203" customWidth="1"/>
    <col min="8" max="8" width="12.5703125" style="203" bestFit="1" customWidth="1"/>
    <col min="9" max="9" width="1.7109375" style="203" customWidth="1"/>
    <col min="10" max="10" width="12.7109375" style="203" customWidth="1"/>
    <col min="11" max="11" width="1.7109375" style="203" customWidth="1"/>
    <col min="12" max="12" width="10.42578125" style="203" customWidth="1"/>
    <col min="13" max="13" width="2.28515625" style="203" hidden="1" customWidth="1"/>
    <col min="14" max="14" width="8" style="203" customWidth="1"/>
    <col min="15" max="15" width="1.7109375" style="203" customWidth="1"/>
    <col min="16" max="16" width="9.7109375" style="203" customWidth="1"/>
    <col min="17" max="17" width="1.7109375" style="203" hidden="1" customWidth="1"/>
    <col min="18" max="18" width="12" style="203" bestFit="1" customWidth="1"/>
    <col min="19" max="19" width="3.42578125" style="203" customWidth="1"/>
    <col min="20" max="20" width="46.85546875" style="203" bestFit="1" customWidth="1"/>
    <col min="21" max="21" width="14" style="203" bestFit="1" customWidth="1"/>
    <col min="22" max="22" width="14.42578125" style="203" bestFit="1" customWidth="1"/>
    <col min="23" max="23" width="14.28515625" style="203" bestFit="1" customWidth="1"/>
    <col min="24" max="25" width="14" style="203" bestFit="1" customWidth="1"/>
    <col min="26" max="26" width="2.85546875" style="248" customWidth="1"/>
    <col min="27" max="27" width="6.5703125" style="203" customWidth="1"/>
    <col min="28" max="28" width="8.7109375" style="203" customWidth="1"/>
    <col min="29" max="16384" width="9.42578125" style="203"/>
  </cols>
  <sheetData>
    <row r="1" spans="1:28" ht="20.25">
      <c r="B1" s="280" t="s"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</row>
    <row r="2" spans="1:28" ht="20.25">
      <c r="B2" s="280" t="s">
        <v>244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28" ht="20.25">
      <c r="B3" s="280" t="s">
        <v>264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28" ht="20.25">
      <c r="B4" s="280" t="s">
        <v>263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</row>
    <row r="5" spans="1:28">
      <c r="A5" s="249"/>
    </row>
    <row r="6" spans="1:28" ht="17.25">
      <c r="A6" s="249"/>
      <c r="B6" s="253"/>
      <c r="C6" s="253"/>
      <c r="D6" s="278" t="s">
        <v>262</v>
      </c>
      <c r="E6" s="278"/>
      <c r="F6" s="278"/>
      <c r="G6" s="278"/>
      <c r="H6" s="278"/>
      <c r="I6" s="278"/>
      <c r="J6" s="278"/>
      <c r="K6" s="253"/>
      <c r="L6" s="277" t="s">
        <v>261</v>
      </c>
      <c r="M6" s="277"/>
      <c r="N6" s="277"/>
      <c r="O6" s="250"/>
      <c r="P6" s="277" t="s">
        <v>260</v>
      </c>
      <c r="Q6" s="277"/>
      <c r="R6" s="277"/>
    </row>
    <row r="7" spans="1:28" ht="17.25" thickBot="1">
      <c r="A7" s="249"/>
      <c r="B7" s="253"/>
      <c r="C7" s="253"/>
      <c r="D7" s="275" t="s">
        <v>343</v>
      </c>
      <c r="E7" s="275"/>
      <c r="F7" s="275"/>
      <c r="G7" s="276"/>
      <c r="H7" s="275" t="s">
        <v>344</v>
      </c>
      <c r="I7" s="275"/>
      <c r="J7" s="275"/>
      <c r="K7" s="253"/>
      <c r="L7" s="275" t="s">
        <v>30</v>
      </c>
      <c r="M7" s="275"/>
      <c r="N7" s="275"/>
      <c r="O7" s="250"/>
      <c r="P7" s="275" t="s">
        <v>30</v>
      </c>
      <c r="Q7" s="275"/>
      <c r="R7" s="275"/>
    </row>
    <row r="8" spans="1:28" ht="15.75">
      <c r="A8" s="249"/>
      <c r="B8" s="274" t="s">
        <v>241</v>
      </c>
      <c r="C8" s="253"/>
      <c r="D8" s="273" t="s">
        <v>259</v>
      </c>
      <c r="E8" s="272"/>
      <c r="F8" s="271" t="s">
        <v>258</v>
      </c>
      <c r="G8" s="253"/>
      <c r="H8" s="273" t="s">
        <v>259</v>
      </c>
      <c r="I8" s="272"/>
      <c r="J8" s="271" t="s">
        <v>258</v>
      </c>
      <c r="K8" s="253"/>
      <c r="L8" s="273" t="s">
        <v>259</v>
      </c>
      <c r="M8" s="272"/>
      <c r="N8" s="271" t="s">
        <v>258</v>
      </c>
      <c r="O8" s="250"/>
      <c r="P8" s="273" t="s">
        <v>259</v>
      </c>
      <c r="Q8" s="272"/>
      <c r="R8" s="271" t="s">
        <v>258</v>
      </c>
      <c r="T8" s="534" t="s">
        <v>257</v>
      </c>
      <c r="U8" s="535"/>
      <c r="V8" s="536"/>
      <c r="W8" s="537" t="s">
        <v>256</v>
      </c>
      <c r="X8" s="535"/>
      <c r="Y8" s="536"/>
    </row>
    <row r="9" spans="1:28" ht="15.75">
      <c r="A9" s="249"/>
      <c r="B9" s="253"/>
      <c r="C9" s="253"/>
      <c r="D9" s="270"/>
      <c r="E9" s="270"/>
      <c r="F9" s="270"/>
      <c r="G9" s="270"/>
      <c r="H9" s="270"/>
      <c r="I9" s="270"/>
      <c r="J9" s="270"/>
      <c r="K9" s="250"/>
      <c r="L9" s="250"/>
      <c r="M9" s="250"/>
      <c r="N9" s="250"/>
      <c r="O9" s="250"/>
      <c r="P9" s="250"/>
      <c r="Q9" s="250"/>
      <c r="R9" s="250"/>
      <c r="T9" s="263"/>
      <c r="U9" s="269" t="s">
        <v>255</v>
      </c>
      <c r="V9" s="268" t="s">
        <v>254</v>
      </c>
      <c r="W9" s="263"/>
      <c r="X9" s="269" t="s">
        <v>255</v>
      </c>
      <c r="Y9" s="268" t="s">
        <v>254</v>
      </c>
    </row>
    <row r="10" spans="1:28" ht="15.75">
      <c r="A10" s="249"/>
      <c r="B10" s="256">
        <v>500</v>
      </c>
      <c r="C10" s="251"/>
      <c r="D10" s="254">
        <f>ROUND($U$10+$B10*$U$14,2)</f>
        <v>57.89</v>
      </c>
      <c r="E10" s="254"/>
      <c r="F10" s="254">
        <f>ROUND($V$10+$B10*$V$14,2)</f>
        <v>72.989999999999995</v>
      </c>
      <c r="G10" s="254"/>
      <c r="H10" s="254">
        <f>ROUND($X$10+$B10*$X$14,2)</f>
        <v>59.39</v>
      </c>
      <c r="I10" s="254"/>
      <c r="J10" s="254">
        <f>ROUND($Y$10+$B10*$Y$14,2)</f>
        <v>74.92</v>
      </c>
      <c r="K10" s="253"/>
      <c r="L10" s="254">
        <f>H10-D10</f>
        <v>1.5</v>
      </c>
      <c r="M10" s="254"/>
      <c r="N10" s="254">
        <f>J10-F10</f>
        <v>1.9300000000000068</v>
      </c>
      <c r="O10" s="250"/>
      <c r="P10" s="252">
        <f>ROUND(H10/D10-1,4)</f>
        <v>2.5899999999999999E-2</v>
      </c>
      <c r="Q10" s="253"/>
      <c r="R10" s="252">
        <f>ROUND(J10/F10-1,4)</f>
        <v>2.64E-2</v>
      </c>
      <c r="T10" s="263" t="s">
        <v>253</v>
      </c>
      <c r="U10" s="234">
        <f>SUM(U17,V28,V32)</f>
        <v>9.8000000000000007</v>
      </c>
      <c r="V10" s="233">
        <f>SUM(V17,V29,V33)</f>
        <v>24.9</v>
      </c>
      <c r="W10" s="263" t="str">
        <f>+T10</f>
        <v>Basic Charge</v>
      </c>
      <c r="X10" s="234">
        <f>SUM(X17,Y28,Y32)</f>
        <v>10.08</v>
      </c>
      <c r="Y10" s="284">
        <f>SUM(Y17,Y29,Y33)</f>
        <v>25.61</v>
      </c>
      <c r="Z10" s="260"/>
      <c r="AA10" s="226">
        <f>(X10-U10)/U10</f>
        <v>2.8571428571428505E-2</v>
      </c>
      <c r="AB10" s="226">
        <f>(Y10-V10)/V10</f>
        <v>2.8514056224899633E-2</v>
      </c>
    </row>
    <row r="11" spans="1:28" ht="15.75">
      <c r="A11" s="249"/>
      <c r="B11" s="256">
        <f>+B10+500</f>
        <v>1000</v>
      </c>
      <c r="C11" s="251"/>
      <c r="D11" s="254">
        <f>ROUND($U$10+$B11*$U$14,2)</f>
        <v>105.98</v>
      </c>
      <c r="E11" s="254"/>
      <c r="F11" s="254">
        <f>ROUND($V$10+$B11*$V$14,2)</f>
        <v>121.08</v>
      </c>
      <c r="G11" s="254"/>
      <c r="H11" s="254">
        <f>ROUND($X$10+$B11*$X$14,2)</f>
        <v>108.69</v>
      </c>
      <c r="I11" s="254"/>
      <c r="J11" s="254">
        <f>ROUND($Y$10+$B11*$Y$14,2)</f>
        <v>124.22</v>
      </c>
      <c r="K11" s="253"/>
      <c r="L11" s="254">
        <f>H11-D11</f>
        <v>2.7099999999999937</v>
      </c>
      <c r="M11" s="254"/>
      <c r="N11" s="254">
        <f>J11-F11</f>
        <v>3.1400000000000006</v>
      </c>
      <c r="O11" s="250"/>
      <c r="P11" s="252">
        <f>ROUND(H11/D11-1,4)</f>
        <v>2.5600000000000001E-2</v>
      </c>
      <c r="Q11" s="253"/>
      <c r="R11" s="252">
        <f>ROUND(J11/F11-1,4)</f>
        <v>2.5899999999999999E-2</v>
      </c>
      <c r="T11" s="263"/>
      <c r="U11" s="266"/>
      <c r="V11" s="265"/>
      <c r="W11" s="457"/>
      <c r="X11" s="266"/>
      <c r="Y11" s="265"/>
    </row>
    <row r="12" spans="1:28" ht="15.75">
      <c r="A12" s="249"/>
      <c r="B12" s="256">
        <f>+B11+500</f>
        <v>1500</v>
      </c>
      <c r="C12" s="251"/>
      <c r="D12" s="254">
        <f>ROUND($U$10+$B12*$U$14,2)</f>
        <v>154.07</v>
      </c>
      <c r="E12" s="254"/>
      <c r="F12" s="254">
        <f>ROUND($V$10+$B12*$V$14,2)</f>
        <v>169.17</v>
      </c>
      <c r="G12" s="254"/>
      <c r="H12" s="254">
        <f>ROUND($X$10+$B12*$X$14,2)</f>
        <v>158</v>
      </c>
      <c r="I12" s="254"/>
      <c r="J12" s="254">
        <f>ROUND($Y$10+$B12*$Y$14,2)</f>
        <v>173.53</v>
      </c>
      <c r="K12" s="253"/>
      <c r="L12" s="254">
        <f>H12-D12</f>
        <v>3.9300000000000068</v>
      </c>
      <c r="M12" s="254"/>
      <c r="N12" s="254">
        <f>J12-F12</f>
        <v>4.3600000000000136</v>
      </c>
      <c r="O12" s="250"/>
      <c r="P12" s="252">
        <f>ROUND(H12/D12-1,4)</f>
        <v>2.5499999999999998E-2</v>
      </c>
      <c r="Q12" s="253"/>
      <c r="R12" s="252">
        <f>ROUND(J12/F12-1,4)</f>
        <v>2.58E-2</v>
      </c>
      <c r="T12" s="264" t="s">
        <v>252</v>
      </c>
      <c r="U12" s="230">
        <f>SUM(U18,V22:V27,V30,V34,V36:V37)</f>
        <v>9.7641523054372695E-2</v>
      </c>
      <c r="V12" s="228">
        <f>U12</f>
        <v>9.7641523054372695E-2</v>
      </c>
      <c r="W12" s="263" t="str">
        <f>+T12</f>
        <v xml:space="preserve">Winter kWh </v>
      </c>
      <c r="X12" s="230">
        <f>SUM(X18,Y22:Y27,Y30,Y34,Y36:Y37)</f>
        <v>0.10015270150255354</v>
      </c>
      <c r="Y12" s="228">
        <f>X12</f>
        <v>0.10015270150255354</v>
      </c>
      <c r="AA12" s="226">
        <f t="shared" ref="AA12:AB14" si="0">(X12-U12)/U12</f>
        <v>2.5718345736807757E-2</v>
      </c>
      <c r="AB12" s="226">
        <f t="shared" si="0"/>
        <v>2.5718345736807757E-2</v>
      </c>
    </row>
    <row r="13" spans="1:28" ht="15.75">
      <c r="A13" s="249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T13" s="263" t="s">
        <v>251</v>
      </c>
      <c r="U13" s="230">
        <f>SUM(U19,V22:V27,V31,V35:V37)</f>
        <v>9.4504523054372708E-2</v>
      </c>
      <c r="V13" s="228">
        <f>U13</f>
        <v>9.4504523054372708E-2</v>
      </c>
      <c r="W13" s="263" t="str">
        <f>+T13</f>
        <v>Summer kWh</v>
      </c>
      <c r="X13" s="230">
        <f>SUM(X19,Y22:Y27,Y31,Y35:Y37)</f>
        <v>9.6887701502553547E-2</v>
      </c>
      <c r="Y13" s="228">
        <f>X13</f>
        <v>9.6887701502553547E-2</v>
      </c>
      <c r="AA13" s="226">
        <f t="shared" si="0"/>
        <v>2.5217612566646036E-2</v>
      </c>
      <c r="AB13" s="226">
        <f t="shared" si="0"/>
        <v>2.5217612566646036E-2</v>
      </c>
    </row>
    <row r="14" spans="1:28" ht="15.75">
      <c r="A14" s="249"/>
      <c r="B14" s="256">
        <v>2500</v>
      </c>
      <c r="C14" s="251"/>
      <c r="D14" s="254">
        <f>ROUND($U$10+$B14*$U$14,2)</f>
        <v>250.25</v>
      </c>
      <c r="E14" s="254"/>
      <c r="F14" s="254">
        <f>ROUND($V$10+$B14*$V$14,2)</f>
        <v>265.35000000000002</v>
      </c>
      <c r="G14" s="254"/>
      <c r="H14" s="254">
        <f>ROUND($X$10+$B14*$X$14,2)</f>
        <v>256.61</v>
      </c>
      <c r="I14" s="254"/>
      <c r="J14" s="254">
        <f>ROUND($Y$10+$B14*$Y$14,2)</f>
        <v>272.14</v>
      </c>
      <c r="K14" s="253"/>
      <c r="L14" s="254">
        <f>H14-D14</f>
        <v>6.3600000000000136</v>
      </c>
      <c r="M14" s="254"/>
      <c r="N14" s="254">
        <f>J14-F14</f>
        <v>6.7899999999999636</v>
      </c>
      <c r="O14" s="250"/>
      <c r="P14" s="252">
        <f>ROUND(H14/D14-1,4)</f>
        <v>2.5399999999999999E-2</v>
      </c>
      <c r="Q14" s="253"/>
      <c r="R14" s="252">
        <f>ROUND(J14/F14-1,4)</f>
        <v>2.5600000000000001E-2</v>
      </c>
      <c r="T14" s="263" t="s">
        <v>250</v>
      </c>
      <c r="U14" s="230">
        <f>ROUND(SUM(U20,V22:V27,V36:V37)+AVERAGE(V30:V31)+AVERAGE(V34:V35),6)</f>
        <v>9.6179000000000001E-2</v>
      </c>
      <c r="V14" s="228">
        <f>U14</f>
        <v>9.6179000000000001E-2</v>
      </c>
      <c r="W14" s="263" t="str">
        <f>+T14</f>
        <v>Average kWh</v>
      </c>
      <c r="X14" s="230">
        <f>ROUND(SUM(X20,Y22:Y27,Y36:Y37)+AVERAGE(Y30:Y31)+AVERAGE(Y34:Y35),6)</f>
        <v>9.8613000000000006E-2</v>
      </c>
      <c r="Y14" s="228">
        <f>X14</f>
        <v>9.8613000000000006E-2</v>
      </c>
      <c r="AA14" s="226">
        <f t="shared" si="0"/>
        <v>2.5306979694112077E-2</v>
      </c>
      <c r="AB14" s="226">
        <f t="shared" si="0"/>
        <v>2.5306979694112077E-2</v>
      </c>
    </row>
    <row r="15" spans="1:28" ht="16.5" thickBot="1">
      <c r="A15" s="249"/>
      <c r="B15" s="256">
        <f>+B14+500</f>
        <v>3000</v>
      </c>
      <c r="C15" s="251"/>
      <c r="D15" s="254">
        <f>ROUND($U$10+$B15*$U$14,2)</f>
        <v>298.33999999999997</v>
      </c>
      <c r="E15" s="254"/>
      <c r="F15" s="254">
        <f>ROUND($V$10+$B15*$V$14,2)</f>
        <v>313.44</v>
      </c>
      <c r="G15" s="254"/>
      <c r="H15" s="254">
        <f>ROUND($X$10+$B15*$X$14,2)</f>
        <v>305.92</v>
      </c>
      <c r="I15" s="254"/>
      <c r="J15" s="254">
        <f>ROUND($Y$10+$B15*$Y$14,2)</f>
        <v>321.45</v>
      </c>
      <c r="K15" s="253"/>
      <c r="L15" s="254">
        <f>H15-D15</f>
        <v>7.5800000000000409</v>
      </c>
      <c r="M15" s="254"/>
      <c r="N15" s="254">
        <f>J15-F15</f>
        <v>8.0099999999999909</v>
      </c>
      <c r="O15" s="250"/>
      <c r="P15" s="252">
        <f>ROUND(H15/D15-1,4)</f>
        <v>2.5399999999999999E-2</v>
      </c>
      <c r="Q15" s="253"/>
      <c r="R15" s="252">
        <f>ROUND(J15/F15-1,4)</f>
        <v>2.5600000000000001E-2</v>
      </c>
      <c r="T15" s="262" t="s">
        <v>21</v>
      </c>
      <c r="U15" s="223" t="s">
        <v>21</v>
      </c>
      <c r="V15" s="261" t="s">
        <v>21</v>
      </c>
      <c r="W15" s="262" t="s">
        <v>21</v>
      </c>
      <c r="X15" s="223" t="s">
        <v>21</v>
      </c>
      <c r="Y15" s="261" t="s">
        <v>21</v>
      </c>
    </row>
    <row r="16" spans="1:28" ht="15.75">
      <c r="A16" s="249"/>
      <c r="B16" s="256">
        <f>+B15+500</f>
        <v>3500</v>
      </c>
      <c r="C16" s="251"/>
      <c r="D16" s="254">
        <f>ROUND($U$10+$B16*$U$14,2)</f>
        <v>346.43</v>
      </c>
      <c r="E16" s="254"/>
      <c r="F16" s="254">
        <f>ROUND($V$10+$B16*$V$14,2)</f>
        <v>361.53</v>
      </c>
      <c r="G16" s="254"/>
      <c r="H16" s="254">
        <f>ROUND($X$10+$B16*$X$14,2)</f>
        <v>355.23</v>
      </c>
      <c r="I16" s="254"/>
      <c r="J16" s="254">
        <f>ROUND($Y$10+$B16*$Y$14,2)</f>
        <v>370.76</v>
      </c>
      <c r="K16" s="253"/>
      <c r="L16" s="254">
        <f>H16-D16</f>
        <v>8.8000000000000114</v>
      </c>
      <c r="M16" s="254"/>
      <c r="N16" s="254">
        <f>J16-F16</f>
        <v>9.2300000000000182</v>
      </c>
      <c r="O16" s="250"/>
      <c r="P16" s="252">
        <f>ROUND(H16/D16-1,4)</f>
        <v>2.5399999999999999E-2</v>
      </c>
      <c r="Q16" s="253"/>
      <c r="R16" s="252">
        <f>ROUND(J16/F16-1,4)</f>
        <v>2.5499999999999998E-2</v>
      </c>
      <c r="AA16" s="211"/>
    </row>
    <row r="17" spans="1:27" ht="15.75">
      <c r="A17" s="249"/>
      <c r="B17" s="250"/>
      <c r="C17" s="251"/>
      <c r="D17" s="259"/>
      <c r="E17" s="259"/>
      <c r="F17" s="259"/>
      <c r="G17" s="259"/>
      <c r="H17" s="259"/>
      <c r="I17" s="259"/>
      <c r="J17" s="259"/>
      <c r="K17" s="250"/>
      <c r="L17" s="254"/>
      <c r="M17" s="254"/>
      <c r="N17" s="254"/>
      <c r="O17" s="250"/>
      <c r="P17" s="252"/>
      <c r="Q17" s="250"/>
      <c r="R17" s="250"/>
      <c r="T17" s="203" t="str">
        <f>+T10</f>
        <v>Basic Charge</v>
      </c>
      <c r="U17" s="219">
        <v>9.8000000000000007</v>
      </c>
      <c r="V17" s="219">
        <v>24.9</v>
      </c>
      <c r="X17" s="219">
        <v>10.08</v>
      </c>
      <c r="Y17" s="219">
        <v>25.61</v>
      </c>
      <c r="AA17" s="232"/>
    </row>
    <row r="18" spans="1:27" ht="15.75">
      <c r="A18" s="249"/>
      <c r="B18" s="256">
        <f>+B16+500</f>
        <v>4000</v>
      </c>
      <c r="C18" s="251"/>
      <c r="D18" s="254">
        <f>ROUND($U$10+$B18*$U$14,2)</f>
        <v>394.52</v>
      </c>
      <c r="E18" s="254"/>
      <c r="F18" s="254">
        <f>ROUND($V$10+$B18*$V$14,2)</f>
        <v>409.62</v>
      </c>
      <c r="G18" s="254"/>
      <c r="H18" s="254">
        <f>ROUND($X$10+$B18*$X$14,2)</f>
        <v>404.53</v>
      </c>
      <c r="I18" s="254"/>
      <c r="J18" s="254">
        <f>ROUND($Y$10+$B18*$Y$14,2)</f>
        <v>420.06</v>
      </c>
      <c r="K18" s="253"/>
      <c r="L18" s="254">
        <f>H18-D18</f>
        <v>10.009999999999991</v>
      </c>
      <c r="M18" s="254"/>
      <c r="N18" s="254">
        <f>J18-F18</f>
        <v>10.439999999999998</v>
      </c>
      <c r="O18" s="250"/>
      <c r="P18" s="252">
        <f>ROUND(H18/D18-1,4)</f>
        <v>2.5399999999999999E-2</v>
      </c>
      <c r="Q18" s="253"/>
      <c r="R18" s="252">
        <f>ROUND(J18/F18-1,4)</f>
        <v>2.5499999999999998E-2</v>
      </c>
      <c r="T18" s="203" t="str">
        <f>+T12</f>
        <v xml:space="preserve">Winter kWh </v>
      </c>
      <c r="U18" s="219">
        <v>9.071499999999999E-2</v>
      </c>
      <c r="V18" s="219">
        <f>+U18</f>
        <v>9.071499999999999E-2</v>
      </c>
      <c r="X18" s="219">
        <v>9.3352999999999992E-2</v>
      </c>
      <c r="Y18" s="219">
        <f>+X18</f>
        <v>9.3352999999999992E-2</v>
      </c>
      <c r="AA18" s="232"/>
    </row>
    <row r="19" spans="1:27" ht="15.75">
      <c r="B19" s="256">
        <f>+B18+500</f>
        <v>4500</v>
      </c>
      <c r="C19" s="251"/>
      <c r="D19" s="254">
        <f>ROUND($U$10+$B19*$U$14,2)</f>
        <v>442.61</v>
      </c>
      <c r="E19" s="254"/>
      <c r="F19" s="254">
        <f>ROUND($V$10+$B19*$V$14,2)</f>
        <v>457.71</v>
      </c>
      <c r="G19" s="254"/>
      <c r="H19" s="254">
        <f>ROUND($X$10+$B19*$X$14,2)</f>
        <v>453.84</v>
      </c>
      <c r="I19" s="254"/>
      <c r="J19" s="254">
        <f>ROUND($Y$10+$B19*$Y$14,2)</f>
        <v>469.37</v>
      </c>
      <c r="K19" s="253"/>
      <c r="L19" s="254">
        <f>H19-D19</f>
        <v>11.229999999999961</v>
      </c>
      <c r="M19" s="254"/>
      <c r="N19" s="254">
        <f>J19-F19</f>
        <v>11.660000000000025</v>
      </c>
      <c r="O19" s="250"/>
      <c r="P19" s="252">
        <f>ROUND(H19/D19-1,4)</f>
        <v>2.5399999999999999E-2</v>
      </c>
      <c r="Q19" s="253"/>
      <c r="R19" s="252">
        <f>ROUND(J19/F19-1,4)</f>
        <v>2.5499999999999998E-2</v>
      </c>
      <c r="T19" s="203" t="str">
        <f>+T13</f>
        <v>Summer kWh</v>
      </c>
      <c r="U19" s="219">
        <v>8.7578000000000003E-2</v>
      </c>
      <c r="V19" s="219">
        <f>+U19</f>
        <v>8.7578000000000003E-2</v>
      </c>
      <c r="X19" s="219">
        <v>9.0088000000000001E-2</v>
      </c>
      <c r="Y19" s="219">
        <f>+X19</f>
        <v>9.0088000000000001E-2</v>
      </c>
      <c r="Z19" s="260"/>
      <c r="AA19" s="211"/>
    </row>
    <row r="20" spans="1:27" ht="15.75">
      <c r="A20" s="249"/>
      <c r="B20" s="256">
        <f>+B19+500</f>
        <v>5000</v>
      </c>
      <c r="C20" s="251"/>
      <c r="D20" s="254">
        <f>ROUND($U$10+$B20*$U$14,2)</f>
        <v>490.7</v>
      </c>
      <c r="E20" s="254"/>
      <c r="F20" s="254">
        <f>ROUND($V$10+$B20*$V$14,2)</f>
        <v>505.8</v>
      </c>
      <c r="G20" s="254"/>
      <c r="H20" s="254">
        <f>ROUND($X$10+$B20*$X$14,2)</f>
        <v>503.15</v>
      </c>
      <c r="I20" s="254"/>
      <c r="J20" s="254">
        <f>ROUND($Y$10+$B20*$Y$14,2)</f>
        <v>518.67999999999995</v>
      </c>
      <c r="K20" s="253"/>
      <c r="L20" s="254">
        <f>H20-D20</f>
        <v>12.449999999999989</v>
      </c>
      <c r="M20" s="254"/>
      <c r="N20" s="254">
        <f>J20-F20</f>
        <v>12.879999999999939</v>
      </c>
      <c r="O20" s="250"/>
      <c r="P20" s="252">
        <f>ROUND(H20/D20-1,4)</f>
        <v>2.5399999999999999E-2</v>
      </c>
      <c r="Q20" s="253"/>
      <c r="R20" s="252">
        <f>ROUND(J20/F20-1,4)</f>
        <v>2.5499999999999998E-2</v>
      </c>
      <c r="T20" s="203" t="str">
        <f>+T14</f>
        <v>Average kWh</v>
      </c>
      <c r="U20" s="219">
        <v>8.9251999999999998E-2</v>
      </c>
      <c r="V20" s="219">
        <f>+U20</f>
        <v>8.9251999999999998E-2</v>
      </c>
      <c r="X20" s="219">
        <v>9.1813000000000006E-2</v>
      </c>
      <c r="Y20" s="219">
        <f>+X20</f>
        <v>9.1813000000000006E-2</v>
      </c>
    </row>
    <row r="21" spans="1:27" ht="15.75">
      <c r="A21" s="249"/>
      <c r="B21" s="250"/>
      <c r="C21" s="251"/>
      <c r="D21" s="259"/>
      <c r="E21" s="259"/>
      <c r="F21" s="259"/>
      <c r="G21" s="259"/>
      <c r="H21" s="259"/>
      <c r="I21" s="259"/>
      <c r="J21" s="259"/>
      <c r="K21" s="250"/>
      <c r="L21" s="254"/>
      <c r="M21" s="254"/>
      <c r="N21" s="254"/>
      <c r="O21" s="250"/>
      <c r="P21" s="252"/>
      <c r="Q21" s="250"/>
      <c r="R21" s="250"/>
    </row>
    <row r="22" spans="1:27" ht="15.75">
      <c r="A22" s="249"/>
      <c r="B22" s="256">
        <f>+B20+1000</f>
        <v>6000</v>
      </c>
      <c r="C22" s="255"/>
      <c r="D22" s="254">
        <f>ROUND($U$10+$B22*$U$14,2)</f>
        <v>586.87</v>
      </c>
      <c r="E22" s="254"/>
      <c r="F22" s="254">
        <f>ROUND($V$10+$B22*$V$14,2)</f>
        <v>601.97</v>
      </c>
      <c r="G22" s="254"/>
      <c r="H22" s="254">
        <f>ROUND($X$10+$B22*$X$14,2)</f>
        <v>601.76</v>
      </c>
      <c r="I22" s="254"/>
      <c r="J22" s="254">
        <f>ROUND($Y$10+$B22*$Y$14,2)</f>
        <v>617.29</v>
      </c>
      <c r="K22" s="253"/>
      <c r="L22" s="254">
        <f>H22-D22</f>
        <v>14.889999999999986</v>
      </c>
      <c r="M22" s="254"/>
      <c r="N22" s="254">
        <f>J22-F22</f>
        <v>15.319999999999936</v>
      </c>
      <c r="O22" s="250"/>
      <c r="P22" s="252">
        <f>ROUND(H22/D22-1,4)</f>
        <v>2.5399999999999999E-2</v>
      </c>
      <c r="Q22" s="253"/>
      <c r="R22" s="252">
        <f>ROUND(J22/F22-1,4)</f>
        <v>2.5399999999999999E-2</v>
      </c>
      <c r="T22" s="218" t="s">
        <v>233</v>
      </c>
      <c r="U22" s="246"/>
      <c r="V22" s="219">
        <f>+'Sch 95'!E11</f>
        <v>1.2682155181916366E-4</v>
      </c>
      <c r="W22" s="246"/>
      <c r="X22" s="246"/>
      <c r="Y22" s="471">
        <v>0</v>
      </c>
    </row>
    <row r="23" spans="1:27" ht="15.75">
      <c r="B23" s="256">
        <f>+B22+1000</f>
        <v>7000</v>
      </c>
      <c r="C23" s="255"/>
      <c r="D23" s="254">
        <f>ROUND($U$10+$B23*$U$14,2)</f>
        <v>683.05</v>
      </c>
      <c r="E23" s="254"/>
      <c r="F23" s="254">
        <f>ROUND($V$10+$B23*$V$14,2)</f>
        <v>698.15</v>
      </c>
      <c r="G23" s="254"/>
      <c r="H23" s="254">
        <f>ROUND($X$10+$B23*$X$14,2)</f>
        <v>700.37</v>
      </c>
      <c r="I23" s="254"/>
      <c r="J23" s="254">
        <f>ROUND($Y$10+$B23*$Y$14,2)</f>
        <v>715.9</v>
      </c>
      <c r="K23" s="253"/>
      <c r="L23" s="254">
        <f>H23-D23</f>
        <v>17.32000000000005</v>
      </c>
      <c r="M23" s="254"/>
      <c r="N23" s="254">
        <f>J23-F23</f>
        <v>17.75</v>
      </c>
      <c r="O23" s="250"/>
      <c r="P23" s="252">
        <f>ROUND(H23/D23-1,4)</f>
        <v>2.5399999999999999E-2</v>
      </c>
      <c r="Q23" s="253"/>
      <c r="R23" s="252">
        <f>ROUND(J23/F23-1,4)</f>
        <v>2.5399999999999999E-2</v>
      </c>
      <c r="T23" s="218" t="s">
        <v>232</v>
      </c>
      <c r="U23" s="246"/>
      <c r="V23" s="219">
        <f>+'Sch 95a'!E11</f>
        <v>-1.6410000000000001E-3</v>
      </c>
      <c r="W23" s="246"/>
      <c r="X23" s="246"/>
      <c r="Y23" s="219">
        <f t="shared" ref="Y23:Y36" si="1">+V23</f>
        <v>-1.6410000000000001E-3</v>
      </c>
    </row>
    <row r="24" spans="1:27" ht="15.75">
      <c r="A24" s="249"/>
      <c r="B24" s="256">
        <f>+B23+1000</f>
        <v>8000</v>
      </c>
      <c r="C24" s="255"/>
      <c r="D24" s="254">
        <f>ROUND($U$10+$B24*$U$14,2)</f>
        <v>779.23</v>
      </c>
      <c r="E24" s="254"/>
      <c r="F24" s="254">
        <f>ROUND($V$10+$B24*$V$14,2)</f>
        <v>794.33</v>
      </c>
      <c r="G24" s="254"/>
      <c r="H24" s="254">
        <f>ROUND($X$10+$B24*$X$14,2)</f>
        <v>798.98</v>
      </c>
      <c r="I24" s="254"/>
      <c r="J24" s="254">
        <f>ROUND($Y$10+$B24*$Y$14,2)</f>
        <v>814.51</v>
      </c>
      <c r="K24" s="253"/>
      <c r="L24" s="254">
        <f>H24-D24</f>
        <v>19.75</v>
      </c>
      <c r="M24" s="254"/>
      <c r="N24" s="254">
        <f>J24-F24</f>
        <v>20.17999999999995</v>
      </c>
      <c r="O24" s="250"/>
      <c r="P24" s="252">
        <f>ROUND(H24/D24-1,4)</f>
        <v>2.53E-2</v>
      </c>
      <c r="Q24" s="253"/>
      <c r="R24" s="252">
        <f>ROUND(J24/F24-1,4)</f>
        <v>2.5399999999999999E-2</v>
      </c>
      <c r="T24" s="218" t="s">
        <v>231</v>
      </c>
      <c r="U24" s="246"/>
      <c r="V24" s="219">
        <f>+'Sch 120'!E11</f>
        <v>3.3279999999999998E-3</v>
      </c>
      <c r="W24" s="246"/>
      <c r="X24" s="246"/>
      <c r="Y24" s="219">
        <f t="shared" si="1"/>
        <v>3.3279999999999998E-3</v>
      </c>
    </row>
    <row r="25" spans="1:27" ht="15.75">
      <c r="A25" s="249"/>
      <c r="B25" s="257"/>
      <c r="C25" s="258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T25" s="218" t="s">
        <v>193</v>
      </c>
      <c r="U25" s="246"/>
      <c r="V25" s="219">
        <f>+'Sch 129'!E11</f>
        <v>8.5670150255354833E-4</v>
      </c>
      <c r="W25" s="246"/>
      <c r="X25" s="246"/>
      <c r="Y25" s="219">
        <f t="shared" si="1"/>
        <v>8.5670150255354833E-4</v>
      </c>
    </row>
    <row r="26" spans="1:27" ht="15.75">
      <c r="A26" s="249"/>
      <c r="B26" s="256">
        <f>+B24+1000</f>
        <v>9000</v>
      </c>
      <c r="C26" s="255"/>
      <c r="D26" s="254">
        <f>ROUND($U$10+$B26*$U$14,2)</f>
        <v>875.41</v>
      </c>
      <c r="E26" s="254"/>
      <c r="F26" s="254">
        <f>ROUND($V$10+$B26*$V$14,2)</f>
        <v>890.51</v>
      </c>
      <c r="G26" s="254"/>
      <c r="H26" s="254">
        <f>ROUND($X$10+$B26*$X$14,2)</f>
        <v>897.6</v>
      </c>
      <c r="I26" s="254"/>
      <c r="J26" s="254">
        <f>ROUND($Y$10+$B26*$Y$14,2)</f>
        <v>913.13</v>
      </c>
      <c r="K26" s="253"/>
      <c r="L26" s="254">
        <f>H26-D26</f>
        <v>22.190000000000055</v>
      </c>
      <c r="M26" s="254"/>
      <c r="N26" s="254">
        <f>J26-F26</f>
        <v>22.620000000000005</v>
      </c>
      <c r="O26" s="250"/>
      <c r="P26" s="252">
        <f>ROUND(H26/D26-1,4)</f>
        <v>2.53E-2</v>
      </c>
      <c r="Q26" s="253"/>
      <c r="R26" s="252">
        <f>ROUND(J26/F26-1,4)</f>
        <v>2.5399999999999999E-2</v>
      </c>
      <c r="T26" s="220" t="s">
        <v>229</v>
      </c>
      <c r="U26" s="246"/>
      <c r="V26" s="219">
        <f>+'Sch 137'!E11</f>
        <v>-6.3E-5</v>
      </c>
      <c r="W26" s="246"/>
      <c r="X26" s="246"/>
      <c r="Y26" s="219">
        <f t="shared" si="1"/>
        <v>-6.3E-5</v>
      </c>
    </row>
    <row r="27" spans="1:27" ht="15.75">
      <c r="B27" s="256">
        <f>+B26+1000</f>
        <v>10000</v>
      </c>
      <c r="C27" s="255"/>
      <c r="D27" s="254">
        <f>ROUND($U$10+$B27*$U$14,2)</f>
        <v>971.59</v>
      </c>
      <c r="E27" s="254"/>
      <c r="F27" s="254">
        <f>ROUND($V$10+$B27*$V$14,2)</f>
        <v>986.69</v>
      </c>
      <c r="G27" s="254"/>
      <c r="H27" s="254">
        <f>ROUND($X$10+$B27*$X$14,2)</f>
        <v>996.21</v>
      </c>
      <c r="I27" s="254"/>
      <c r="J27" s="254">
        <f>ROUND($Y$10+$B27*$Y$14,2)</f>
        <v>1011.74</v>
      </c>
      <c r="K27" s="253"/>
      <c r="L27" s="254">
        <f>H27-D27</f>
        <v>24.620000000000005</v>
      </c>
      <c r="M27" s="254"/>
      <c r="N27" s="254">
        <f>J27-F27</f>
        <v>25.049999999999955</v>
      </c>
      <c r="O27" s="250"/>
      <c r="P27" s="252">
        <f>ROUND(H27/D27-1,4)</f>
        <v>2.53E-2</v>
      </c>
      <c r="Q27" s="253"/>
      <c r="R27" s="252">
        <f>ROUND(J27/F27-1,4)</f>
        <v>2.5399999999999999E-2</v>
      </c>
      <c r="T27" s="220" t="s">
        <v>205</v>
      </c>
      <c r="U27" s="246"/>
      <c r="V27" s="219">
        <f>+'Sch 140'!E11</f>
        <v>2.4450000000000001E-3</v>
      </c>
      <c r="W27" s="246"/>
      <c r="X27" s="246"/>
      <c r="Y27" s="219">
        <f t="shared" si="1"/>
        <v>2.4450000000000001E-3</v>
      </c>
    </row>
    <row r="28" spans="1:27" ht="15.75">
      <c r="A28" s="249"/>
      <c r="B28" s="256">
        <f>+B27+1000</f>
        <v>11000</v>
      </c>
      <c r="C28" s="255"/>
      <c r="D28" s="254">
        <f>ROUND($U$10+$B28*$U$14,2)</f>
        <v>1067.77</v>
      </c>
      <c r="E28" s="254"/>
      <c r="F28" s="254">
        <f>ROUND($V$10+$B28*$V$14,2)</f>
        <v>1082.8699999999999</v>
      </c>
      <c r="G28" s="254"/>
      <c r="H28" s="254">
        <f>ROUND($X$10+$B28*$X$14,2)</f>
        <v>1094.82</v>
      </c>
      <c r="I28" s="254"/>
      <c r="J28" s="254">
        <f>ROUND($Y$10+$B28*$Y$14,2)</f>
        <v>1110.3499999999999</v>
      </c>
      <c r="K28" s="253"/>
      <c r="L28" s="254">
        <f>H28-D28</f>
        <v>27.049999999999955</v>
      </c>
      <c r="M28" s="254"/>
      <c r="N28" s="254">
        <f>J28-F28</f>
        <v>27.480000000000018</v>
      </c>
      <c r="O28" s="250"/>
      <c r="P28" s="252">
        <f>ROUND(H28/D28-1,4)</f>
        <v>2.53E-2</v>
      </c>
      <c r="Q28" s="253"/>
      <c r="R28" s="252">
        <f>ROUND(J28/F28-1,4)</f>
        <v>2.5399999999999999E-2</v>
      </c>
      <c r="T28" s="218" t="s">
        <v>249</v>
      </c>
      <c r="U28" s="246"/>
      <c r="V28" s="456">
        <f>+'UE-180899 Sch 141&amp;141x Rates'!$F$15</f>
        <v>0.10999999999999943</v>
      </c>
      <c r="W28" s="246"/>
      <c r="X28" s="246"/>
      <c r="Y28" s="471">
        <v>0</v>
      </c>
    </row>
    <row r="29" spans="1:27" ht="15.75">
      <c r="A29" s="249"/>
      <c r="B29" s="250"/>
      <c r="C29" s="251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T29" s="218" t="s">
        <v>248</v>
      </c>
      <c r="U29" s="246"/>
      <c r="V29" s="456">
        <f>+'UE-180899 Sch 141&amp;141x Rates'!$F$16</f>
        <v>0.28000000000000114</v>
      </c>
      <c r="W29" s="246"/>
      <c r="X29" s="246"/>
      <c r="Y29" s="471">
        <v>0</v>
      </c>
    </row>
    <row r="30" spans="1:27" ht="15.75">
      <c r="A30" s="249"/>
      <c r="B30" s="256">
        <f>+B28+1000</f>
        <v>12000</v>
      </c>
      <c r="C30" s="255"/>
      <c r="D30" s="254">
        <f>ROUND($U$10+$B30*$U$14,2)</f>
        <v>1163.95</v>
      </c>
      <c r="E30" s="254"/>
      <c r="F30" s="254">
        <f>ROUND($V$10+$B30*$V$14,2)</f>
        <v>1179.05</v>
      </c>
      <c r="G30" s="254"/>
      <c r="H30" s="254">
        <f>ROUND($X$10+$B30*$X$14,2)</f>
        <v>1193.44</v>
      </c>
      <c r="I30" s="254"/>
      <c r="J30" s="254">
        <f>ROUND($Y$10+$B30*$Y$14,2)</f>
        <v>1208.97</v>
      </c>
      <c r="K30" s="253"/>
      <c r="L30" s="254">
        <f>H30-D30</f>
        <v>29.490000000000009</v>
      </c>
      <c r="M30" s="254"/>
      <c r="N30" s="254">
        <f>J30-F30</f>
        <v>29.920000000000073</v>
      </c>
      <c r="O30" s="250"/>
      <c r="P30" s="252">
        <f>ROUND(H30/D30-1,4)</f>
        <v>2.53E-2</v>
      </c>
      <c r="Q30" s="253"/>
      <c r="R30" s="252">
        <f>ROUND(J30/F30-1,4)</f>
        <v>2.5399999999999999E-2</v>
      </c>
      <c r="T30" s="218" t="s">
        <v>247</v>
      </c>
      <c r="U30" s="246"/>
      <c r="V30" s="219">
        <f>+'UE-180899 Sch 141&amp;141x Rates'!$F$18</f>
        <v>1.0070000000000079E-3</v>
      </c>
      <c r="W30" s="246"/>
      <c r="X30" s="246"/>
      <c r="Y30" s="471">
        <v>0</v>
      </c>
    </row>
    <row r="31" spans="1:27" ht="15.75">
      <c r="B31" s="256">
        <f>+B30+1000</f>
        <v>13000</v>
      </c>
      <c r="C31" s="255"/>
      <c r="D31" s="254">
        <f>ROUND($U$10+$B31*$U$14,2)</f>
        <v>1260.1300000000001</v>
      </c>
      <c r="E31" s="254"/>
      <c r="F31" s="254">
        <f>ROUND($V$10+$B31*$V$14,2)</f>
        <v>1275.23</v>
      </c>
      <c r="G31" s="254"/>
      <c r="H31" s="254">
        <f>ROUND($X$10+$B31*$X$14,2)</f>
        <v>1292.05</v>
      </c>
      <c r="I31" s="254"/>
      <c r="J31" s="254">
        <f>ROUND($Y$10+$B31*$Y$14,2)</f>
        <v>1307.58</v>
      </c>
      <c r="K31" s="253"/>
      <c r="L31" s="254">
        <f>H31-D31</f>
        <v>31.919999999999845</v>
      </c>
      <c r="M31" s="254"/>
      <c r="N31" s="254">
        <f>J31-F31</f>
        <v>32.349999999999909</v>
      </c>
      <c r="O31" s="250"/>
      <c r="P31" s="252">
        <f>ROUND(H31/D31-1,4)</f>
        <v>2.53E-2</v>
      </c>
      <c r="Q31" s="253"/>
      <c r="R31" s="252">
        <f>ROUND(J31/F31-1,4)</f>
        <v>2.5399999999999999E-2</v>
      </c>
      <c r="T31" s="218" t="s">
        <v>246</v>
      </c>
      <c r="U31" s="246"/>
      <c r="V31" s="219">
        <f>+'UE-180899 Sch 141&amp;141x Rates'!$F$19</f>
        <v>9.8199999999999676E-4</v>
      </c>
      <c r="W31" s="246"/>
      <c r="X31" s="246"/>
      <c r="Y31" s="471">
        <v>0</v>
      </c>
    </row>
    <row r="32" spans="1:27" ht="15.75">
      <c r="A32" s="249"/>
      <c r="B32" s="256">
        <f>+B31+1000</f>
        <v>14000</v>
      </c>
      <c r="C32" s="255"/>
      <c r="D32" s="254">
        <f>ROUND($U$10+$B32*$U$14,2)</f>
        <v>1356.31</v>
      </c>
      <c r="E32" s="254"/>
      <c r="F32" s="254">
        <f>ROUND($V$10+$B32*$V$14,2)</f>
        <v>1371.41</v>
      </c>
      <c r="G32" s="254"/>
      <c r="H32" s="254">
        <f>ROUND($X$10+$B32*$X$14,2)</f>
        <v>1390.66</v>
      </c>
      <c r="I32" s="254"/>
      <c r="J32" s="254">
        <f>ROUND($Y$10+$B32*$Y$14,2)</f>
        <v>1406.19</v>
      </c>
      <c r="K32" s="253"/>
      <c r="L32" s="254">
        <f>H32-D32</f>
        <v>34.350000000000136</v>
      </c>
      <c r="M32" s="254"/>
      <c r="N32" s="254">
        <f>J32-F32</f>
        <v>34.779999999999973</v>
      </c>
      <c r="O32" s="250"/>
      <c r="P32" s="252">
        <f>ROUND(H32/D32-1,4)</f>
        <v>2.53E-2</v>
      </c>
      <c r="Q32" s="253"/>
      <c r="R32" s="252">
        <f>ROUND(J32/F32-1,4)</f>
        <v>2.5399999999999999E-2</v>
      </c>
      <c r="T32" s="218" t="s">
        <v>481</v>
      </c>
      <c r="U32" s="246"/>
      <c r="V32" s="456">
        <f>+'UE-180899 Sch 141&amp;141x Rates'!$G$15</f>
        <v>-0.10999999999999943</v>
      </c>
      <c r="W32" s="246"/>
      <c r="X32" s="246"/>
      <c r="Y32" s="471">
        <v>0</v>
      </c>
    </row>
    <row r="33" spans="1:25" ht="15.75">
      <c r="A33" s="249"/>
      <c r="B33" s="250"/>
      <c r="C33" s="251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T33" s="218" t="s">
        <v>479</v>
      </c>
      <c r="U33" s="246"/>
      <c r="V33" s="456">
        <f>+'UE-180899 Sch 141&amp;141x Rates'!$G$16</f>
        <v>-0.28000000000000114</v>
      </c>
      <c r="W33" s="246"/>
      <c r="X33" s="246"/>
      <c r="Y33" s="471">
        <v>0</v>
      </c>
    </row>
    <row r="34" spans="1:25" ht="15.75">
      <c r="A34" s="249"/>
      <c r="B34" s="256">
        <f>+B32+1000</f>
        <v>15000</v>
      </c>
      <c r="C34" s="255"/>
      <c r="D34" s="254">
        <f>ROUND($U$10+$B34*$U$14,2)</f>
        <v>1452.49</v>
      </c>
      <c r="E34" s="254"/>
      <c r="F34" s="254">
        <f>ROUND($V$10+$B34*$V$14,2)</f>
        <v>1467.59</v>
      </c>
      <c r="G34" s="254"/>
      <c r="H34" s="254">
        <f>ROUND($X$10+$B34*$X$14,2)</f>
        <v>1489.28</v>
      </c>
      <c r="I34" s="254"/>
      <c r="J34" s="254">
        <f>ROUND($Y$10+$B34*$Y$14,2)</f>
        <v>1504.81</v>
      </c>
      <c r="K34" s="253"/>
      <c r="L34" s="254">
        <f>H34-D34</f>
        <v>36.789999999999964</v>
      </c>
      <c r="M34" s="254"/>
      <c r="N34" s="254">
        <f>J34-F34</f>
        <v>37.220000000000027</v>
      </c>
      <c r="O34" s="250"/>
      <c r="P34" s="252">
        <f>ROUND(H34/D34-1,4)</f>
        <v>2.53E-2</v>
      </c>
      <c r="Q34" s="253"/>
      <c r="R34" s="252">
        <f>ROUND(J34/F34-1,4)</f>
        <v>2.5399999999999999E-2</v>
      </c>
      <c r="T34" s="218" t="s">
        <v>480</v>
      </c>
      <c r="U34" s="246"/>
      <c r="V34" s="219">
        <f>+'UE-180899 Sch 141&amp;141x Rates'!$G$18</f>
        <v>-1.0070000000000079E-3</v>
      </c>
      <c r="W34" s="246"/>
      <c r="X34" s="246"/>
      <c r="Y34" s="471">
        <v>0</v>
      </c>
    </row>
    <row r="35" spans="1:25" ht="15.75">
      <c r="B35" s="256">
        <f>+B34+1000</f>
        <v>16000</v>
      </c>
      <c r="C35" s="255"/>
      <c r="D35" s="254">
        <f>ROUND($U$10+$B35*$U$14,2)</f>
        <v>1548.66</v>
      </c>
      <c r="E35" s="254"/>
      <c r="F35" s="254">
        <f>ROUND($V$10+$B35*$V$14,2)</f>
        <v>1563.76</v>
      </c>
      <c r="G35" s="254"/>
      <c r="H35" s="254">
        <f>ROUND($X$10+$B35*$X$14,2)</f>
        <v>1587.89</v>
      </c>
      <c r="I35" s="254"/>
      <c r="J35" s="254">
        <f>ROUND($Y$10+$B35*$Y$14,2)</f>
        <v>1603.42</v>
      </c>
      <c r="K35" s="253"/>
      <c r="L35" s="254">
        <f>H35-D35</f>
        <v>39.230000000000018</v>
      </c>
      <c r="M35" s="254"/>
      <c r="N35" s="254">
        <f>J35-F35</f>
        <v>39.660000000000082</v>
      </c>
      <c r="O35" s="250"/>
      <c r="P35" s="252">
        <f>ROUND(H35/D35-1,4)</f>
        <v>2.53E-2</v>
      </c>
      <c r="Q35" s="253"/>
      <c r="R35" s="252">
        <f>ROUND(J35/F35-1,4)</f>
        <v>2.5399999999999999E-2</v>
      </c>
      <c r="T35" s="218" t="s">
        <v>482</v>
      </c>
      <c r="V35" s="219">
        <f>+'UE-180899 Sch 141&amp;141x Rates'!$G$19</f>
        <v>-9.8199999999999676E-4</v>
      </c>
      <c r="Y35" s="471">
        <v>0</v>
      </c>
    </row>
    <row r="36" spans="1:25" ht="15.75">
      <c r="A36" s="249"/>
      <c r="B36" s="256">
        <f>+B35+1000</f>
        <v>17000</v>
      </c>
      <c r="C36" s="255"/>
      <c r="D36" s="254">
        <f>ROUND($U$10+$B36*$U$14,2)</f>
        <v>1644.84</v>
      </c>
      <c r="E36" s="254"/>
      <c r="F36" s="254">
        <f>ROUND($V$10+$B36*$V$14,2)</f>
        <v>1659.94</v>
      </c>
      <c r="G36" s="254"/>
      <c r="H36" s="254">
        <f>ROUND($X$10+$B36*$X$14,2)</f>
        <v>1686.5</v>
      </c>
      <c r="I36" s="254"/>
      <c r="J36" s="254">
        <f>ROUND($Y$10+$B36*$Y$14,2)</f>
        <v>1702.03</v>
      </c>
      <c r="K36" s="253"/>
      <c r="L36" s="254">
        <f>H36-D36</f>
        <v>41.660000000000082</v>
      </c>
      <c r="M36" s="254"/>
      <c r="N36" s="254">
        <f>J36-F36</f>
        <v>42.089999999999918</v>
      </c>
      <c r="O36" s="250"/>
      <c r="P36" s="252">
        <f>ROUND(H36/D36-1,4)</f>
        <v>2.53E-2</v>
      </c>
      <c r="Q36" s="253"/>
      <c r="R36" s="252">
        <f>ROUND(J36/F36-1,4)</f>
        <v>2.5399999999999999E-2</v>
      </c>
      <c r="T36" s="218" t="s">
        <v>477</v>
      </c>
      <c r="U36" s="246"/>
      <c r="V36" s="219">
        <f>+'Sch 141y'!E11</f>
        <v>-9.4300000000000004E-4</v>
      </c>
      <c r="W36" s="246"/>
      <c r="X36" s="246"/>
      <c r="Y36" s="219">
        <f t="shared" si="1"/>
        <v>-9.4300000000000004E-4</v>
      </c>
    </row>
    <row r="37" spans="1:25" ht="15.75">
      <c r="A37" s="249"/>
      <c r="B37" s="250"/>
      <c r="C37" s="251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T37" s="220" t="s">
        <v>211</v>
      </c>
      <c r="U37" s="246"/>
      <c r="V37" s="219">
        <f>+'Sch 142'!F11</f>
        <v>2.8170000000000001E-3</v>
      </c>
      <c r="W37" s="246"/>
      <c r="X37" s="246"/>
      <c r="Y37" s="219">
        <f>+V37</f>
        <v>2.8170000000000001E-3</v>
      </c>
    </row>
    <row r="38" spans="1:25" ht="15.75">
      <c r="A38" s="249"/>
      <c r="B38" s="256">
        <f>+B36+1000</f>
        <v>18000</v>
      </c>
      <c r="C38" s="255"/>
      <c r="D38" s="254">
        <f>ROUND($U$10+$B38*$U$14,2)</f>
        <v>1741.02</v>
      </c>
      <c r="E38" s="254"/>
      <c r="F38" s="254">
        <f>ROUND($V$10+$B38*$V$14,2)</f>
        <v>1756.12</v>
      </c>
      <c r="G38" s="254"/>
      <c r="H38" s="254">
        <f>ROUND($X$10+$B38*$X$14,2)</f>
        <v>1785.11</v>
      </c>
      <c r="I38" s="254"/>
      <c r="J38" s="254">
        <f>ROUND($Y$10+$B38*$Y$14,2)</f>
        <v>1800.64</v>
      </c>
      <c r="K38" s="253"/>
      <c r="L38" s="254">
        <f>H38-D38</f>
        <v>44.089999999999918</v>
      </c>
      <c r="M38" s="254"/>
      <c r="N38" s="254">
        <f>J38-F38</f>
        <v>44.520000000000209</v>
      </c>
      <c r="O38" s="250"/>
      <c r="P38" s="252">
        <f>ROUND(H38/D38-1,4)</f>
        <v>2.53E-2</v>
      </c>
      <c r="Q38" s="253"/>
      <c r="R38" s="252">
        <f>ROUND(J38/F38-1,4)</f>
        <v>2.5399999999999999E-2</v>
      </c>
    </row>
    <row r="39" spans="1:25" ht="15.75">
      <c r="A39" s="249"/>
      <c r="B39" s="256">
        <f>+B38+1000</f>
        <v>19000</v>
      </c>
      <c r="C39" s="255"/>
      <c r="D39" s="254">
        <f>ROUND($U$10+$B39*$U$14,2)</f>
        <v>1837.2</v>
      </c>
      <c r="E39" s="254"/>
      <c r="F39" s="254">
        <f>ROUND($V$10+$B39*$V$14,2)</f>
        <v>1852.3</v>
      </c>
      <c r="G39" s="254"/>
      <c r="H39" s="254">
        <f>ROUND($X$10+$B39*$X$14,2)</f>
        <v>1883.73</v>
      </c>
      <c r="I39" s="254"/>
      <c r="J39" s="254">
        <f>ROUND($Y$10+$B39*$Y$14,2)</f>
        <v>1899.26</v>
      </c>
      <c r="K39" s="253"/>
      <c r="L39" s="254">
        <f>H39-D39</f>
        <v>46.529999999999973</v>
      </c>
      <c r="M39" s="254"/>
      <c r="N39" s="254">
        <f>J39-F39</f>
        <v>46.960000000000036</v>
      </c>
      <c r="O39" s="250"/>
      <c r="P39" s="252">
        <f>ROUND(H39/D39-1,4)</f>
        <v>2.53E-2</v>
      </c>
      <c r="Q39" s="253"/>
      <c r="R39" s="252">
        <f>ROUND(J39/F39-1,4)</f>
        <v>2.5399999999999999E-2</v>
      </c>
      <c r="T39" s="218"/>
      <c r="V39" s="217"/>
      <c r="Y39" s="219"/>
    </row>
    <row r="40" spans="1:25" ht="15.75">
      <c r="A40" s="249"/>
      <c r="B40" s="256">
        <f>+B39+1000</f>
        <v>20000</v>
      </c>
      <c r="C40" s="255"/>
      <c r="D40" s="254">
        <f>ROUND($U$10+$B40*$U$14,2)</f>
        <v>1933.38</v>
      </c>
      <c r="E40" s="254"/>
      <c r="F40" s="254">
        <f>ROUND($V$10+$B40*$V$14,2)</f>
        <v>1948.48</v>
      </c>
      <c r="G40" s="254"/>
      <c r="H40" s="254">
        <f>ROUND($X$10+$B40*$X$14,2)</f>
        <v>1982.34</v>
      </c>
      <c r="I40" s="254"/>
      <c r="J40" s="254">
        <f>ROUND($Y$10+$B40*$Y$14,2)</f>
        <v>1997.87</v>
      </c>
      <c r="K40" s="253"/>
      <c r="L40" s="254">
        <f>H40-D40</f>
        <v>48.959999999999809</v>
      </c>
      <c r="M40" s="254"/>
      <c r="N40" s="254">
        <f>J40-F40</f>
        <v>49.389999999999873</v>
      </c>
      <c r="O40" s="250"/>
      <c r="P40" s="252">
        <f>ROUND(H40/D40-1,4)</f>
        <v>2.53E-2</v>
      </c>
      <c r="Q40" s="253"/>
      <c r="R40" s="252">
        <f>ROUND(J40/F40-1,4)</f>
        <v>2.53E-2</v>
      </c>
      <c r="U40" s="204" t="s">
        <v>21</v>
      </c>
    </row>
    <row r="41" spans="1:25" ht="15.75">
      <c r="A41" s="249"/>
      <c r="B41" s="250"/>
      <c r="C41" s="251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T41" s="216" t="s">
        <v>337</v>
      </c>
      <c r="U41" s="215">
        <f>+'Exhibit No.__(JAP-Prof-Prop)'!Q21</f>
        <v>2.8675678745892368E-2</v>
      </c>
    </row>
    <row r="42" spans="1:25">
      <c r="A42" s="249"/>
      <c r="B42" s="531" t="s">
        <v>223</v>
      </c>
      <c r="C42" s="531"/>
      <c r="D42" s="531"/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T42" s="218"/>
      <c r="U42" s="246"/>
      <c r="V42" s="317"/>
      <c r="W42" s="246"/>
      <c r="X42" s="246"/>
      <c r="Y42" s="219"/>
    </row>
    <row r="43" spans="1:25" ht="15.6" customHeight="1">
      <c r="A43" s="249"/>
      <c r="B43" s="531" t="s">
        <v>573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</row>
    <row r="44" spans="1:25">
      <c r="A44" s="249"/>
      <c r="B44" s="336" t="s">
        <v>245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</row>
    <row r="45" spans="1:25">
      <c r="A45" s="249"/>
      <c r="B45" s="337" t="s">
        <v>483</v>
      </c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</row>
    <row r="46" spans="1:25">
      <c r="A46" s="249"/>
      <c r="B46" s="337" t="s">
        <v>484</v>
      </c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</row>
    <row r="47" spans="1:25">
      <c r="A47" s="249"/>
      <c r="T47" s="216"/>
      <c r="U47" s="215"/>
    </row>
    <row r="48" spans="1:25">
      <c r="M48" s="204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4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3"/>
  <sheetViews>
    <sheetView workbookViewId="0"/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50.5703125" style="203" bestFit="1" customWidth="1"/>
    <col min="15" max="15" width="16.85546875" style="203" customWidth="1"/>
    <col min="16" max="16" width="24" style="203" bestFit="1" customWidth="1"/>
    <col min="17" max="17" width="11.85546875" style="203" bestFit="1" customWidth="1"/>
    <col min="18" max="18" width="2.42578125" style="203" customWidth="1"/>
    <col min="19" max="16384" width="9.42578125" style="203"/>
  </cols>
  <sheetData>
    <row r="1" spans="1:19" ht="20.25">
      <c r="B1" s="280" t="s"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91"/>
      <c r="M1" s="291"/>
    </row>
    <row r="2" spans="1:19" ht="20.25">
      <c r="B2" s="280" t="s">
        <v>244</v>
      </c>
      <c r="C2" s="280"/>
      <c r="D2" s="280"/>
      <c r="E2" s="280"/>
      <c r="F2" s="280"/>
      <c r="G2" s="280"/>
      <c r="H2" s="280"/>
      <c r="I2" s="280"/>
      <c r="J2" s="280"/>
      <c r="K2" s="280"/>
      <c r="L2" s="291"/>
      <c r="M2" s="291"/>
    </row>
    <row r="3" spans="1:19" ht="20.25">
      <c r="B3" s="280" t="s">
        <v>278</v>
      </c>
      <c r="C3" s="280"/>
      <c r="D3" s="280"/>
      <c r="E3" s="280"/>
      <c r="F3" s="280"/>
      <c r="G3" s="280"/>
      <c r="H3" s="280"/>
      <c r="I3" s="280"/>
      <c r="J3" s="280"/>
      <c r="K3" s="280"/>
      <c r="L3" s="291"/>
      <c r="M3" s="291"/>
    </row>
    <row r="4" spans="1:19" ht="20.25">
      <c r="B4" s="292" t="s">
        <v>286</v>
      </c>
      <c r="C4" s="280"/>
      <c r="D4" s="280"/>
      <c r="E4" s="280"/>
      <c r="F4" s="280"/>
      <c r="G4" s="280"/>
      <c r="H4" s="280"/>
      <c r="I4" s="280"/>
      <c r="J4" s="280"/>
      <c r="K4" s="280"/>
      <c r="L4" s="291"/>
      <c r="M4" s="291"/>
    </row>
    <row r="5" spans="1:19">
      <c r="A5" s="249"/>
      <c r="B5" s="290"/>
    </row>
    <row r="6" spans="1:19" ht="15.75">
      <c r="A6" s="249"/>
      <c r="B6" s="288" t="s">
        <v>285</v>
      </c>
      <c r="C6" s="253"/>
      <c r="D6" s="253"/>
      <c r="E6" s="253"/>
      <c r="F6" s="253"/>
      <c r="G6" s="538" t="s">
        <v>284</v>
      </c>
      <c r="H6" s="539"/>
      <c r="I6" s="539"/>
      <c r="J6" s="253"/>
      <c r="K6" s="250"/>
      <c r="L6" s="249"/>
      <c r="M6" s="249"/>
    </row>
    <row r="7" spans="1:19" ht="16.5" thickBot="1">
      <c r="A7" s="249"/>
      <c r="B7" s="289" t="s">
        <v>283</v>
      </c>
      <c r="C7" s="277"/>
      <c r="D7" s="288" t="s">
        <v>282</v>
      </c>
      <c r="E7" s="253"/>
      <c r="F7" s="253"/>
      <c r="G7" s="287" t="s">
        <v>281</v>
      </c>
      <c r="H7" s="250"/>
      <c r="I7" s="287" t="s">
        <v>26</v>
      </c>
      <c r="J7" s="253"/>
      <c r="K7" s="277" t="s">
        <v>260</v>
      </c>
      <c r="L7" s="249"/>
      <c r="M7" s="249"/>
    </row>
    <row r="8" spans="1:19" ht="16.5">
      <c r="A8" s="249"/>
      <c r="B8" s="274" t="s">
        <v>280</v>
      </c>
      <c r="C8" s="270"/>
      <c r="D8" s="286" t="s">
        <v>279</v>
      </c>
      <c r="E8" s="274" t="s">
        <v>241</v>
      </c>
      <c r="F8" s="253"/>
      <c r="G8" s="285" t="s">
        <v>345</v>
      </c>
      <c r="H8" s="285"/>
      <c r="I8" s="285" t="s">
        <v>346</v>
      </c>
      <c r="J8" s="253"/>
      <c r="K8" s="275" t="s">
        <v>30</v>
      </c>
      <c r="L8" s="249"/>
      <c r="M8" s="249"/>
      <c r="N8" s="534" t="s">
        <v>257</v>
      </c>
      <c r="O8" s="536"/>
      <c r="P8" s="537" t="s">
        <v>256</v>
      </c>
      <c r="Q8" s="536"/>
      <c r="R8" s="248"/>
    </row>
    <row r="9" spans="1:19" ht="15.75">
      <c r="A9" s="249"/>
      <c r="B9" s="253"/>
      <c r="C9" s="253"/>
      <c r="D9" s="253"/>
      <c r="E9" s="253"/>
      <c r="F9" s="253"/>
      <c r="G9" s="270"/>
      <c r="H9" s="270"/>
      <c r="I9" s="270"/>
      <c r="J9" s="250"/>
      <c r="K9" s="250"/>
      <c r="N9" s="263"/>
      <c r="O9" s="268"/>
      <c r="P9" s="227"/>
      <c r="Q9" s="268"/>
      <c r="R9" s="248"/>
    </row>
    <row r="10" spans="1:19" ht="15.75">
      <c r="A10" s="249"/>
      <c r="B10" s="253">
        <v>50</v>
      </c>
      <c r="C10" s="253"/>
      <c r="D10" s="253">
        <v>300</v>
      </c>
      <c r="E10" s="256">
        <f>ROUND((B$10*D10),0)</f>
        <v>15000</v>
      </c>
      <c r="F10" s="253"/>
      <c r="G10" s="254">
        <f>+O$10+IF($E10&lt;20000,$E10*O$14,20000*O$14+($E10-20000)*O$16)+IF($B10&gt;50,($B10-50)*O$22,0)</f>
        <v>1396.1949999999999</v>
      </c>
      <c r="H10" s="254"/>
      <c r="I10" s="254">
        <f>+Q$10+IF($E10&lt;20000,$E10*Q$14,20000*Q$14+($E10-20000)*Q$16)+IF($B10&gt;50,($B10-50)*Q$22,0)</f>
        <v>1412.4350000000002</v>
      </c>
      <c r="J10" s="253"/>
      <c r="K10" s="251">
        <f>ROUND((+I10-G10)/G10,3)</f>
        <v>1.2E-2</v>
      </c>
      <c r="L10" s="249"/>
      <c r="M10" s="249"/>
      <c r="N10" s="263" t="s">
        <v>253</v>
      </c>
      <c r="O10" s="233">
        <f>SUM(O27,O45,O52)</f>
        <v>52.3</v>
      </c>
      <c r="P10" s="263" t="str">
        <f>+N10</f>
        <v>Basic Charge</v>
      </c>
      <c r="Q10" s="284">
        <f>SUM(Q27,Q45,Q52)</f>
        <v>53.42</v>
      </c>
      <c r="R10" s="260"/>
      <c r="S10" s="226">
        <f>(Q10-O10)/O10</f>
        <v>2.1414913957935079E-2</v>
      </c>
    </row>
    <row r="11" spans="1:19" ht="15.75">
      <c r="A11" s="249"/>
      <c r="B11" s="253">
        <f>+B10</f>
        <v>50</v>
      </c>
      <c r="C11" s="253"/>
      <c r="D11" s="253">
        <v>500</v>
      </c>
      <c r="E11" s="256">
        <f>ROUND((B$10*D11),0)</f>
        <v>25000</v>
      </c>
      <c r="F11" s="253"/>
      <c r="G11" s="254">
        <f>+O$10+IF($E11&lt;20000,$E11*O$14,20000*O$14+($E11-20000)*O$16)+IF($B11&gt;50,($B11-50)*O$22,0)</f>
        <v>2179.9222269442189</v>
      </c>
      <c r="H11" s="254"/>
      <c r="I11" s="254">
        <f>+Q$10+IF($E11&lt;20000,$E11*Q$14,20000*Q$14+($E11-20000)*Q$16)+IF($B11&gt;50,($B11-50)*Q$22,0)</f>
        <v>2207.481689179368</v>
      </c>
      <c r="J11" s="253"/>
      <c r="K11" s="251">
        <f>ROUND((+I11-G11)/G11,3)</f>
        <v>1.2999999999999999E-2</v>
      </c>
      <c r="L11" s="249"/>
      <c r="M11" s="249"/>
      <c r="N11" s="263"/>
      <c r="O11" s="265"/>
      <c r="P11" s="267"/>
      <c r="Q11" s="265"/>
      <c r="R11" s="248"/>
    </row>
    <row r="12" spans="1:19" ht="15.75">
      <c r="A12" s="249"/>
      <c r="B12" s="253">
        <f>+B11</f>
        <v>50</v>
      </c>
      <c r="C12" s="253"/>
      <c r="D12" s="253">
        <v>700</v>
      </c>
      <c r="E12" s="256">
        <f>ROUND((B$10*D12),0)</f>
        <v>35000</v>
      </c>
      <c r="F12" s="253"/>
      <c r="G12" s="254">
        <f>+O$10+IF($E12&lt;20000,$E12*O$14,20000*O$14+($E12-20000)*O$16)+IF($B12&gt;50,($B12-50)*O$22,0)</f>
        <v>2851.4466808326551</v>
      </c>
      <c r="H12" s="254"/>
      <c r="I12" s="254">
        <f>+Q$10+IF($E12&lt;20000,$E12*Q$14,20000*Q$14+($E12-20000)*Q$16)+IF($B12&gt;50,($B12-50)*Q$22,0)</f>
        <v>2891.5650675381039</v>
      </c>
      <c r="J12" s="253"/>
      <c r="K12" s="251">
        <f>ROUND((+I12-G12)/G12,3)</f>
        <v>1.4E-2</v>
      </c>
      <c r="N12" s="264" t="s">
        <v>277</v>
      </c>
      <c r="O12" s="228">
        <f>SUM(O28,O39:O44,O48,O55,O59:O60)</f>
        <v>9.3833445388843667E-2</v>
      </c>
      <c r="P12" s="263" t="str">
        <f>+N12</f>
        <v>Winter kWh - First 20,000</v>
      </c>
      <c r="Q12" s="228">
        <f>SUM(Q28,Q39:Q44,Q48,Q55,Q59:Q60)</f>
        <v>9.5054703253198758E-2</v>
      </c>
      <c r="R12" s="248"/>
      <c r="S12" s="226">
        <f>(Q12-O12)/O12</f>
        <v>1.3015165960220537E-2</v>
      </c>
    </row>
    <row r="13" spans="1:19">
      <c r="A13" s="249"/>
      <c r="L13" s="249"/>
      <c r="M13" s="249"/>
      <c r="N13" s="264" t="s">
        <v>276</v>
      </c>
      <c r="O13" s="228">
        <f>SUM(O29,O39:O44,O49,O56,O59:O60)</f>
        <v>8.530644538884366E-2</v>
      </c>
      <c r="P13" s="263" t="str">
        <f>+N13</f>
        <v>Summer kWh - First 20,000</v>
      </c>
      <c r="Q13" s="228">
        <f>SUM(Q29,Q39:Q44,Q49,Q56,Q59:Q60)</f>
        <v>8.6098703253198752E-2</v>
      </c>
      <c r="R13" s="248"/>
      <c r="S13" s="226">
        <f>(Q13-O13)/O13</f>
        <v>9.2871981799713243E-3</v>
      </c>
    </row>
    <row r="14" spans="1:19" ht="15.75">
      <c r="A14" s="249"/>
      <c r="B14" s="253">
        <v>100</v>
      </c>
      <c r="C14" s="253"/>
      <c r="D14" s="253">
        <v>300</v>
      </c>
      <c r="E14" s="256">
        <f>ROUND((B$14*D14),0)</f>
        <v>30000</v>
      </c>
      <c r="F14" s="253"/>
      <c r="G14" s="254">
        <f>+O$10+IF($E14&lt;20000,$E14*O$14,20000*O$14+($E14-20000)*O$16)+IF($B14&gt;50,($B14-50)*O$22,0)</f>
        <v>2910.184453888437</v>
      </c>
      <c r="H14" s="254"/>
      <c r="I14" s="254">
        <f>+Q$10+IF($E14&lt;20000,$E14*Q$14,20000*Q$14+($E14-20000)*Q$16)+IF($B14&gt;50,($B14-50)*Q$22,0)</f>
        <v>2963.523378358736</v>
      </c>
      <c r="J14" s="253"/>
      <c r="K14" s="251">
        <f>ROUND((+I14-G14)/G14,3)</f>
        <v>1.7999999999999999E-2</v>
      </c>
      <c r="L14" s="249"/>
      <c r="M14" s="249"/>
      <c r="N14" s="264" t="s">
        <v>325</v>
      </c>
      <c r="O14" s="228">
        <f>ROUND(SUM(O30,O39:O44,O59:O60)+AVERAGE(O48:O49)+AVERAGE(O55:O56),6)</f>
        <v>8.9593000000000006E-2</v>
      </c>
      <c r="P14" s="263" t="str">
        <f>+N14</f>
        <v>Average kWh - First 20,000</v>
      </c>
      <c r="Q14" s="228">
        <f>ROUND(SUM(Q30,Q39:Q44,Q59:Q60)+AVERAGE(Q48:Q49)+AVERAGE(Q55:Q56),6)</f>
        <v>9.0601000000000001E-2</v>
      </c>
      <c r="R14" s="248"/>
      <c r="S14" s="226">
        <f>(Q14-O14)/O14</f>
        <v>1.1250878974919859E-2</v>
      </c>
    </row>
    <row r="15" spans="1:19" ht="15.75">
      <c r="A15" s="249"/>
      <c r="B15" s="253">
        <f>+B14</f>
        <v>100</v>
      </c>
      <c r="C15" s="253"/>
      <c r="D15" s="253">
        <v>500</v>
      </c>
      <c r="E15" s="256">
        <f>ROUND((B$14*D15),0)</f>
        <v>50000</v>
      </c>
      <c r="F15" s="253"/>
      <c r="G15" s="254">
        <f>+O$10+IF($E15&lt;20000,$E15*O$14,20000*O$14+($E15-20000)*O$16)+IF($B15&gt;50,($B15-50)*O$22,0)</f>
        <v>4253.2333616653104</v>
      </c>
      <c r="H15" s="254"/>
      <c r="I15" s="254">
        <f>+Q$10+IF($E15&lt;20000,$E15*Q$14,20000*Q$14+($E15-20000)*Q$16)+IF($B15&gt;50,($B15-50)*Q$22,0)</f>
        <v>4331.6901350762073</v>
      </c>
      <c r="J15" s="253"/>
      <c r="K15" s="251">
        <f>ROUND((+I15-G15)/G15,3)</f>
        <v>1.7999999999999999E-2</v>
      </c>
      <c r="L15" s="249"/>
      <c r="M15" s="249"/>
      <c r="N15" s="263"/>
      <c r="O15" s="228"/>
      <c r="P15" s="263"/>
      <c r="Q15" s="228"/>
      <c r="R15" s="248"/>
    </row>
    <row r="16" spans="1:19" ht="15.75">
      <c r="A16" s="249"/>
      <c r="B16" s="253">
        <f>+B15</f>
        <v>100</v>
      </c>
      <c r="C16" s="253"/>
      <c r="D16" s="253">
        <v>700</v>
      </c>
      <c r="E16" s="256">
        <f>ROUND((B$14*D16),0)</f>
        <v>70000</v>
      </c>
      <c r="F16" s="253"/>
      <c r="G16" s="254">
        <f>+O$10+IF($E16&lt;20000,$E16*O$14,20000*O$14+($E16-20000)*O$16)+IF($B16&gt;50,($B16-50)*O$22,0)</f>
        <v>5596.2822694421839</v>
      </c>
      <c r="H16" s="254"/>
      <c r="I16" s="254">
        <f>+Q$10+IF($E16&lt;20000,$E16*Q$14,20000*Q$14+($E16-20000)*Q$16)+IF($B16&gt;50,($B16-50)*Q$22,0)</f>
        <v>5699.8568917936791</v>
      </c>
      <c r="J16" s="253"/>
      <c r="K16" s="251">
        <f>ROUND((+I16-G16)/G16,3)</f>
        <v>1.9E-2</v>
      </c>
      <c r="N16" s="264" t="s">
        <v>275</v>
      </c>
      <c r="O16" s="228">
        <f>SUM(O31,O39:O44,O50,O57,O59:O60)</f>
        <v>6.7152445388843671E-2</v>
      </c>
      <c r="P16" s="263" t="str">
        <f>+N16</f>
        <v>kWh - All Over 20,000</v>
      </c>
      <c r="Q16" s="228">
        <f>SUM(Q31,Q39:Q44,Q50,Q57,Q59:Q60)</f>
        <v>6.8408337835873578E-2</v>
      </c>
      <c r="R16" s="248"/>
      <c r="S16" s="226">
        <f>(Q16-O16)/O16</f>
        <v>1.8702110396095189E-2</v>
      </c>
    </row>
    <row r="17" spans="1:19" ht="15.75">
      <c r="A17" s="249"/>
      <c r="B17" s="253"/>
      <c r="C17" s="253"/>
      <c r="D17" s="253"/>
      <c r="E17" s="253"/>
      <c r="F17" s="253"/>
      <c r="G17" s="254"/>
      <c r="H17" s="254"/>
      <c r="I17" s="254"/>
      <c r="J17" s="250"/>
      <c r="K17" s="252"/>
      <c r="L17" s="249"/>
      <c r="M17" s="249"/>
      <c r="N17" s="264"/>
      <c r="O17" s="228"/>
      <c r="P17" s="264"/>
      <c r="Q17" s="228"/>
      <c r="R17" s="248"/>
      <c r="S17" s="232"/>
    </row>
    <row r="18" spans="1:19" ht="15.75">
      <c r="A18" s="249"/>
      <c r="B18" s="253">
        <v>150</v>
      </c>
      <c r="C18" s="253"/>
      <c r="D18" s="253">
        <v>300</v>
      </c>
      <c r="E18" s="256">
        <f>ROUND((B$18*D18),0)</f>
        <v>45000</v>
      </c>
      <c r="F18" s="253"/>
      <c r="G18" s="254">
        <f>+O$10+IF($E18&lt;20000,$E18*O$14,20000*O$14+($E18-20000)*O$16)+IF($B18&gt;50,($B18-50)*O$22,0)</f>
        <v>4311.9711347210923</v>
      </c>
      <c r="H18" s="254"/>
      <c r="I18" s="254">
        <f>+Q$10+IF($E18&lt;20000,$E18*Q$14,20000*Q$14+($E18-20000)*Q$16)+IF($B18&gt;50,($B18-50)*Q$22,0)</f>
        <v>4403.6484458968398</v>
      </c>
      <c r="J18" s="253"/>
      <c r="K18" s="251">
        <f>ROUND((+I18-G18)/G18,3)</f>
        <v>2.1000000000000001E-2</v>
      </c>
      <c r="L18" s="249"/>
      <c r="M18" s="249"/>
      <c r="N18" s="264" t="s">
        <v>274</v>
      </c>
      <c r="O18" s="228">
        <v>0</v>
      </c>
      <c r="P18" s="263" t="str">
        <f>+N18</f>
        <v>kW - First 50</v>
      </c>
      <c r="Q18" s="228">
        <v>0</v>
      </c>
      <c r="R18" s="248"/>
      <c r="S18" s="232"/>
    </row>
    <row r="19" spans="1:19" ht="15.75">
      <c r="A19" s="249"/>
      <c r="B19" s="253">
        <f>+B18</f>
        <v>150</v>
      </c>
      <c r="C19" s="253"/>
      <c r="D19" s="253">
        <v>500</v>
      </c>
      <c r="E19" s="256">
        <f>ROUND((B$18*D19),0)</f>
        <v>75000</v>
      </c>
      <c r="F19" s="253"/>
      <c r="G19" s="254">
        <f>+O$10+IF($E19&lt;20000,$E19*O$14,20000*O$14+($E19-20000)*O$16)+IF($B19&gt;50,($B19-50)*O$22,0)</f>
        <v>6326.544496386402</v>
      </c>
      <c r="H19" s="254"/>
      <c r="I19" s="254">
        <f>+Q$10+IF($E19&lt;20000,$E19*Q$14,20000*Q$14+($E19-20000)*Q$16)+IF($B19&gt;50,($B19-50)*Q$22,0)</f>
        <v>6455.8985809730475</v>
      </c>
      <c r="J19" s="253"/>
      <c r="K19" s="251">
        <f>ROUND((+I19-G19)/G19,3)</f>
        <v>0.02</v>
      </c>
      <c r="L19" s="249"/>
      <c r="M19" s="249"/>
      <c r="N19" s="264"/>
      <c r="O19" s="228"/>
      <c r="P19" s="264"/>
      <c r="Q19" s="228"/>
      <c r="R19" s="260"/>
      <c r="S19" s="211"/>
    </row>
    <row r="20" spans="1:19" ht="15.75">
      <c r="A20" s="249"/>
      <c r="B20" s="253">
        <f>+B19</f>
        <v>150</v>
      </c>
      <c r="C20" s="253"/>
      <c r="D20" s="253">
        <v>700</v>
      </c>
      <c r="E20" s="256">
        <f>ROUND((B$18*D20),0)</f>
        <v>105000</v>
      </c>
      <c r="F20" s="253"/>
      <c r="G20" s="254">
        <f>+O$10+IF($E20&lt;20000,$E20*O$14,20000*O$14+($E20-20000)*O$16)+IF($B20&gt;50,($B20-50)*O$22,0)</f>
        <v>8341.1178580517117</v>
      </c>
      <c r="H20" s="254"/>
      <c r="I20" s="254">
        <f>+Q$10+IF($E20&lt;20000,$E20*Q$14,20000*Q$14+($E20-20000)*Q$16)+IF($B20&gt;50,($B20-50)*Q$22,0)</f>
        <v>8508.1487160492543</v>
      </c>
      <c r="J20" s="253"/>
      <c r="K20" s="251">
        <f>ROUND((+I20-G20)/G20,3)</f>
        <v>0.02</v>
      </c>
      <c r="N20" s="264" t="s">
        <v>273</v>
      </c>
      <c r="O20" s="284">
        <f>SUM(O33,O46,O62,O53)</f>
        <v>9.42</v>
      </c>
      <c r="P20" s="263" t="str">
        <f>+N20</f>
        <v>Winter kW - Over 50</v>
      </c>
      <c r="Q20" s="284">
        <f>SUM(Q33,Q46,Q62,Q53)</f>
        <v>9.89</v>
      </c>
      <c r="R20" s="248"/>
      <c r="S20" s="226">
        <f>(Q20-O20)/O20</f>
        <v>4.9893842887473526E-2</v>
      </c>
    </row>
    <row r="21" spans="1:19" ht="15.75">
      <c r="A21" s="249"/>
      <c r="B21" s="253"/>
      <c r="C21" s="253"/>
      <c r="D21" s="253"/>
      <c r="E21" s="253"/>
      <c r="F21" s="253"/>
      <c r="G21" s="254"/>
      <c r="H21" s="254"/>
      <c r="I21" s="254"/>
      <c r="J21" s="250"/>
      <c r="K21" s="252"/>
      <c r="L21" s="249"/>
      <c r="M21" s="249"/>
      <c r="N21" s="264" t="s">
        <v>272</v>
      </c>
      <c r="O21" s="284">
        <f>SUM(O34,O46,O62,O53)</f>
        <v>6.29</v>
      </c>
      <c r="P21" s="263" t="str">
        <f>+N21</f>
        <v>Summer kW - Over 50</v>
      </c>
      <c r="Q21" s="284">
        <f>SUM(Q34,Q46,Q62,Q53)</f>
        <v>6.61</v>
      </c>
      <c r="R21" s="248"/>
      <c r="S21" s="226">
        <f>(Q21-O21)/O21</f>
        <v>5.0874403815580331E-2</v>
      </c>
    </row>
    <row r="22" spans="1:19" ht="15.75">
      <c r="A22" s="249"/>
      <c r="B22" s="253">
        <v>200</v>
      </c>
      <c r="C22" s="253"/>
      <c r="D22" s="253">
        <v>300</v>
      </c>
      <c r="E22" s="256">
        <f>ROUND((B$22*D22),0)</f>
        <v>60000</v>
      </c>
      <c r="F22" s="253"/>
      <c r="G22" s="254">
        <f>+O$10+IF($E22&lt;20000,$E22*O$14,20000*O$14+($E22-20000)*O$16)+IF($B22&gt;50,($B22-50)*O$22,0)</f>
        <v>5713.7578155537476</v>
      </c>
      <c r="H22" s="254"/>
      <c r="I22" s="254">
        <f>+Q$10+IF($E22&lt;20000,$E22*Q$14,20000*Q$14+($E22-20000)*Q$16)+IF($B22&gt;50,($B22-50)*Q$22,0)</f>
        <v>5843.7735134349432</v>
      </c>
      <c r="J22" s="253"/>
      <c r="K22" s="251">
        <f>ROUND((+I22-G22)/G22,3)</f>
        <v>2.3E-2</v>
      </c>
      <c r="L22" s="249"/>
      <c r="M22" s="249"/>
      <c r="N22" s="264" t="s">
        <v>271</v>
      </c>
      <c r="O22" s="284">
        <f>SUM(O35)+AVERAGE(O46:O47)+AVERAGE(O53:O54)</f>
        <v>7.8899999999999988</v>
      </c>
      <c r="P22" s="263" t="str">
        <f>+N22</f>
        <v>Average kW - Over 50</v>
      </c>
      <c r="Q22" s="284">
        <f>SUM(Q35)+AVERAGE(Q46:Q47)+AVERAGE(Q53:Q54)</f>
        <v>8.2799999999999994</v>
      </c>
      <c r="R22" s="248"/>
      <c r="S22" s="226">
        <f>(Q22-O22)/O22</f>
        <v>4.9429657794676889E-2</v>
      </c>
    </row>
    <row r="23" spans="1:19" ht="15.75">
      <c r="A23" s="249"/>
      <c r="B23" s="253">
        <f>+B22</f>
        <v>200</v>
      </c>
      <c r="C23" s="253"/>
      <c r="D23" s="253">
        <v>500</v>
      </c>
      <c r="E23" s="256">
        <f>ROUND((B$22*D23),0)</f>
        <v>100000</v>
      </c>
      <c r="F23" s="253"/>
      <c r="G23" s="254">
        <f>+O$10+IF($E23&lt;20000,$E23*O$14,20000*O$14+($E23-20000)*O$16)+IF($B23&gt;50,($B23-50)*O$22,0)</f>
        <v>8399.8556311074935</v>
      </c>
      <c r="H23" s="254"/>
      <c r="I23" s="254">
        <f>+Q$10+IF($E23&lt;20000,$E23*Q$14,20000*Q$14+($E23-20000)*Q$16)+IF($B23&gt;50,($B23-50)*Q$22,0)</f>
        <v>8580.1070268698859</v>
      </c>
      <c r="J23" s="253"/>
      <c r="K23" s="251">
        <f>ROUND((+I23-G23)/G23,3)</f>
        <v>2.1000000000000001E-2</v>
      </c>
      <c r="L23" s="249"/>
      <c r="M23" s="249"/>
      <c r="N23" s="263"/>
      <c r="O23" s="228"/>
      <c r="P23" s="263"/>
      <c r="Q23" s="228"/>
      <c r="R23" s="248"/>
    </row>
    <row r="24" spans="1:19" ht="15.75">
      <c r="A24" s="249"/>
      <c r="B24" s="253">
        <f>+B23</f>
        <v>200</v>
      </c>
      <c r="C24" s="253"/>
      <c r="D24" s="253">
        <v>700</v>
      </c>
      <c r="E24" s="256">
        <f>ROUND((B$22*D24),0)</f>
        <v>140000</v>
      </c>
      <c r="F24" s="253"/>
      <c r="G24" s="254">
        <f>+O$10+IF($E24&lt;20000,$E24*O$14,20000*O$14+($E24-20000)*O$16)+IF($B24&gt;50,($B24-50)*O$22,0)</f>
        <v>11085.95344666124</v>
      </c>
      <c r="H24" s="254"/>
      <c r="I24" s="254">
        <f>+Q$10+IF($E24&lt;20000,$E24*Q$14,20000*Q$14+($E24-20000)*Q$16)+IF($B24&gt;50,($B24-50)*Q$22,0)</f>
        <v>11316.440540304829</v>
      </c>
      <c r="J24" s="253"/>
      <c r="K24" s="251">
        <f>ROUND((+I24-G24)/G24,3)</f>
        <v>2.1000000000000001E-2</v>
      </c>
      <c r="N24" s="263" t="s">
        <v>270</v>
      </c>
      <c r="O24" s="283">
        <f>+O36+O51+O58</f>
        <v>2.96E-3</v>
      </c>
      <c r="P24" s="263" t="str">
        <f>+N24</f>
        <v>kVarh</v>
      </c>
      <c r="Q24" s="283">
        <f>+Q36+Q51+Q58</f>
        <v>3.1099999999999999E-3</v>
      </c>
      <c r="R24" s="248"/>
      <c r="S24" s="226">
        <f>(Q24-O24)/O24</f>
        <v>5.0675675675675665E-2</v>
      </c>
    </row>
    <row r="25" spans="1:19" ht="16.5" thickBot="1">
      <c r="A25" s="249"/>
      <c r="B25" s="253"/>
      <c r="C25" s="253"/>
      <c r="D25" s="253"/>
      <c r="E25" s="253"/>
      <c r="F25" s="253"/>
      <c r="G25" s="254"/>
      <c r="H25" s="254"/>
      <c r="I25" s="254"/>
      <c r="J25" s="250"/>
      <c r="K25" s="252"/>
      <c r="L25" s="249"/>
      <c r="M25" s="249"/>
      <c r="N25" s="262" t="s">
        <v>21</v>
      </c>
      <c r="O25" s="261" t="s">
        <v>21</v>
      </c>
      <c r="P25" s="262" t="s">
        <v>21</v>
      </c>
      <c r="Q25" s="261" t="s">
        <v>21</v>
      </c>
      <c r="R25" s="248"/>
    </row>
    <row r="26" spans="1:19" ht="15.75">
      <c r="A26" s="249"/>
      <c r="B26" s="253">
        <v>250</v>
      </c>
      <c r="C26" s="253"/>
      <c r="D26" s="253">
        <v>300</v>
      </c>
      <c r="E26" s="256">
        <f>ROUND((B$26*D26),0)</f>
        <v>75000</v>
      </c>
      <c r="F26" s="253"/>
      <c r="G26" s="254">
        <f>+O$10+IF($E26&lt;20000,$E26*O$14,20000*O$14+($E26-20000)*O$16)+IF($B26&gt;50,($B26-50)*O$22,0)</f>
        <v>7115.544496386402</v>
      </c>
      <c r="H26" s="254"/>
      <c r="I26" s="254">
        <f>+Q$10+IF($E26&lt;20000,$E26*Q$14,20000*Q$14+($E26-20000)*Q$16)+IF($B26&gt;50,($B26-50)*Q$22,0)</f>
        <v>7283.8985809730475</v>
      </c>
      <c r="J26" s="253"/>
      <c r="K26" s="251">
        <f>ROUND((+I26-G26)/G26,3)</f>
        <v>2.4E-2</v>
      </c>
      <c r="L26" s="249"/>
      <c r="M26" s="249"/>
      <c r="R26" s="248"/>
    </row>
    <row r="27" spans="1:19" ht="15.75">
      <c r="A27" s="249"/>
      <c r="B27" s="253">
        <f>+B26</f>
        <v>250</v>
      </c>
      <c r="C27" s="253"/>
      <c r="D27" s="253">
        <v>500</v>
      </c>
      <c r="E27" s="256">
        <f>ROUND((B$26*D27),0)</f>
        <v>125000</v>
      </c>
      <c r="F27" s="253"/>
      <c r="G27" s="254">
        <f>+O$10+IF($E27&lt;20000,$E27*O$14,20000*O$14+($E27-20000)*O$16)+IF($B27&gt;50,($B27-50)*O$22,0)</f>
        <v>10473.166765828584</v>
      </c>
      <c r="H27" s="254"/>
      <c r="I27" s="254">
        <f>+Q$10+IF($E27&lt;20000,$E27*Q$14,20000*Q$14+($E27-20000)*Q$16)+IF($B27&gt;50,($B27-50)*Q$22,0)</f>
        <v>10704.315472766726</v>
      </c>
      <c r="J27" s="253"/>
      <c r="K27" s="251">
        <f>ROUND((+I27-G27)/G27,3)</f>
        <v>2.1999999999999999E-2</v>
      </c>
      <c r="L27" s="249"/>
      <c r="M27" s="249"/>
      <c r="N27" s="203" t="str">
        <f>+N10</f>
        <v>Basic Charge</v>
      </c>
      <c r="O27" s="456">
        <v>52.3</v>
      </c>
      <c r="Q27" s="456">
        <v>53.42</v>
      </c>
      <c r="R27" s="248"/>
    </row>
    <row r="28" spans="1:19" ht="15.75">
      <c r="A28" s="249"/>
      <c r="B28" s="253">
        <f>+B27</f>
        <v>250</v>
      </c>
      <c r="C28" s="253"/>
      <c r="D28" s="253">
        <v>700</v>
      </c>
      <c r="E28" s="256">
        <f>ROUND((B$26*D28),0)</f>
        <v>175000</v>
      </c>
      <c r="F28" s="253"/>
      <c r="G28" s="254">
        <f>+O$10+IF($E28&lt;20000,$E28*O$14,20000*O$14+($E28-20000)*O$16)+IF($B28&gt;50,($B28-50)*O$22,0)</f>
        <v>13830.789035270769</v>
      </c>
      <c r="H28" s="254"/>
      <c r="I28" s="254">
        <f>+Q$10+IF($E28&lt;20000,$E28*Q$14,20000*Q$14+($E28-20000)*Q$16)+IF($B28&gt;50,($B28-50)*Q$22,0)</f>
        <v>14124.732364560405</v>
      </c>
      <c r="J28" s="253"/>
      <c r="K28" s="251">
        <f>ROUND((+I28-G28)/G28,3)</f>
        <v>2.1000000000000001E-2</v>
      </c>
      <c r="N28" s="203" t="str">
        <f>+N12</f>
        <v>Winter kWh - First 20,000</v>
      </c>
      <c r="O28" s="219">
        <v>9.0753E-2</v>
      </c>
      <c r="Q28" s="219">
        <v>9.2095365417325173E-2</v>
      </c>
      <c r="R28" s="248"/>
    </row>
    <row r="29" spans="1:19" ht="15.75">
      <c r="A29" s="249"/>
      <c r="B29" s="253"/>
      <c r="C29" s="253"/>
      <c r="D29" s="253"/>
      <c r="E29" s="253"/>
      <c r="F29" s="253"/>
      <c r="G29" s="254"/>
      <c r="H29" s="254"/>
      <c r="I29" s="254"/>
      <c r="J29" s="250"/>
      <c r="K29" s="252"/>
      <c r="L29" s="249"/>
      <c r="M29" s="249"/>
      <c r="N29" s="203" t="str">
        <f>+N13</f>
        <v>Summer kWh - First 20,000</v>
      </c>
      <c r="O29" s="219">
        <v>8.2225999999999994E-2</v>
      </c>
      <c r="Q29" s="219">
        <v>8.3139365417325167E-2</v>
      </c>
      <c r="R29" s="248"/>
    </row>
    <row r="30" spans="1:19" ht="15.75">
      <c r="A30" s="249"/>
      <c r="B30" s="253">
        <v>300</v>
      </c>
      <c r="C30" s="253"/>
      <c r="D30" s="253">
        <v>300</v>
      </c>
      <c r="E30" s="256">
        <f>ROUND((B$30*D30),0)</f>
        <v>90000</v>
      </c>
      <c r="F30" s="253"/>
      <c r="G30" s="254">
        <f>+O$10+IF($E30&lt;20000,$E30*O$14,20000*O$14+($E30-20000)*O$16)+IF($B30&gt;50,($B30-50)*O$22,0)</f>
        <v>8517.3311772190555</v>
      </c>
      <c r="H30" s="254"/>
      <c r="I30" s="254">
        <f>+Q$10+IF($E30&lt;20000,$E30*Q$14,20000*Q$14+($E30-20000)*Q$16)+IF($B30&gt;50,($B30-50)*Q$22,0)</f>
        <v>8724.0236485111509</v>
      </c>
      <c r="J30" s="253"/>
      <c r="K30" s="251">
        <f>ROUND((+I30-G30)/G30,3)</f>
        <v>2.4E-2</v>
      </c>
      <c r="L30" s="249"/>
      <c r="M30" s="249"/>
      <c r="N30" s="203" t="str">
        <f>+N14</f>
        <v>Average kWh - First 20,000</v>
      </c>
      <c r="O30" s="219">
        <v>8.6513000000000007E-2</v>
      </c>
      <c r="Q30" s="219">
        <v>8.7641999999999998E-2</v>
      </c>
      <c r="R30" s="248"/>
    </row>
    <row r="31" spans="1:19" ht="15.75">
      <c r="A31" s="249"/>
      <c r="B31" s="253">
        <f>+B30</f>
        <v>300</v>
      </c>
      <c r="C31" s="253"/>
      <c r="D31" s="253">
        <v>500</v>
      </c>
      <c r="E31" s="256">
        <f>ROUND((B$30*D31),0)</f>
        <v>150000</v>
      </c>
      <c r="F31" s="253"/>
      <c r="G31" s="254">
        <f>+O$10+IF($E31&lt;20000,$E31*O$14,20000*O$14+($E31-20000)*O$16)+IF($B31&gt;50,($B31-50)*O$22,0)</f>
        <v>12546.477900549677</v>
      </c>
      <c r="H31" s="254"/>
      <c r="I31" s="254">
        <f>+Q$10+IF($E31&lt;20000,$E31*Q$14,20000*Q$14+($E31-20000)*Q$16)+IF($B31&gt;50,($B31-50)*Q$22,0)</f>
        <v>12828.523918663566</v>
      </c>
      <c r="J31" s="253"/>
      <c r="K31" s="251">
        <f>ROUND((+I31-G31)/G31,3)</f>
        <v>2.1999999999999999E-2</v>
      </c>
      <c r="L31" s="249"/>
      <c r="M31" s="249"/>
      <c r="N31" s="203" t="str">
        <f>+N16</f>
        <v>kWh - All Over 20,000</v>
      </c>
      <c r="O31" s="219">
        <v>6.4072000000000004E-2</v>
      </c>
      <c r="Q31" s="219">
        <v>6.5448999999999993E-2</v>
      </c>
      <c r="R31" s="248"/>
    </row>
    <row r="32" spans="1:19" ht="15.75">
      <c r="A32" s="249"/>
      <c r="B32" s="253">
        <f>+B31</f>
        <v>300</v>
      </c>
      <c r="C32" s="253"/>
      <c r="D32" s="253">
        <v>700</v>
      </c>
      <c r="E32" s="256">
        <f>ROUND((B$30*D32),0)</f>
        <v>210000</v>
      </c>
      <c r="F32" s="253"/>
      <c r="G32" s="254">
        <f>+O$10+IF($E32&lt;20000,$E32*O$14,20000*O$14+($E32-20000)*O$16)+IF($B32&gt;50,($B32-50)*O$22,0)</f>
        <v>16575.624623880296</v>
      </c>
      <c r="H32" s="254"/>
      <c r="I32" s="254">
        <f>+Q$10+IF($E32&lt;20000,$E32*Q$14,20000*Q$14+($E32-20000)*Q$16)+IF($B32&gt;50,($B32-50)*Q$22,0)</f>
        <v>16933.02418881598</v>
      </c>
      <c r="J32" s="253"/>
      <c r="K32" s="251">
        <f>ROUND((+I32-G32)/G32,3)</f>
        <v>2.1999999999999999E-2</v>
      </c>
      <c r="N32" s="203" t="str">
        <f>+N18</f>
        <v>kW - First 50</v>
      </c>
      <c r="O32" s="219">
        <v>0</v>
      </c>
      <c r="Q32" s="219">
        <v>0</v>
      </c>
      <c r="R32" s="248"/>
    </row>
    <row r="33" spans="1:18" ht="15.75">
      <c r="A33" s="249"/>
      <c r="B33" s="253"/>
      <c r="C33" s="253"/>
      <c r="D33" s="253"/>
      <c r="E33" s="253"/>
      <c r="F33" s="253"/>
      <c r="G33" s="254"/>
      <c r="H33" s="254"/>
      <c r="I33" s="254"/>
      <c r="J33" s="250"/>
      <c r="K33" s="252"/>
      <c r="L33" s="249"/>
      <c r="M33" s="249"/>
      <c r="N33" s="203" t="str">
        <f>+N20</f>
        <v>Winter kW - Over 50</v>
      </c>
      <c r="O33" s="456">
        <v>9.42</v>
      </c>
      <c r="P33" s="456"/>
      <c r="Q33" s="456">
        <v>9.89</v>
      </c>
      <c r="R33" s="456"/>
    </row>
    <row r="34" spans="1:18" ht="15.75">
      <c r="A34" s="249"/>
      <c r="B34" s="253">
        <v>350</v>
      </c>
      <c r="C34" s="253"/>
      <c r="D34" s="253">
        <v>300</v>
      </c>
      <c r="E34" s="256">
        <f>ROUND((B$34*D34),0)</f>
        <v>105000</v>
      </c>
      <c r="F34" s="253"/>
      <c r="G34" s="254">
        <f>+O$10+IF($E34&lt;20000,$E34*O$14,20000*O$14+($E34-20000)*O$16)+IF($B34&gt;50,($B34-50)*O$22,0)</f>
        <v>9919.1178580517117</v>
      </c>
      <c r="H34" s="254"/>
      <c r="I34" s="254">
        <f>+Q$10+IF($E34&lt;20000,$E34*Q$14,20000*Q$14+($E34-20000)*Q$16)+IF($B34&gt;50,($B34-50)*Q$22,0)</f>
        <v>10164.148716049254</v>
      </c>
      <c r="J34" s="253"/>
      <c r="K34" s="251">
        <f>ROUND((+I34-G34)/G34,3)</f>
        <v>2.5000000000000001E-2</v>
      </c>
      <c r="L34" s="249"/>
      <c r="M34" s="249"/>
      <c r="N34" s="203" t="str">
        <f t="shared" ref="N34:N35" si="0">+N21</f>
        <v>Summer kW - Over 50</v>
      </c>
      <c r="O34" s="456">
        <v>6.29</v>
      </c>
      <c r="P34" s="456"/>
      <c r="Q34" s="456">
        <v>6.61</v>
      </c>
      <c r="R34" s="456"/>
    </row>
    <row r="35" spans="1:18" ht="15.75">
      <c r="A35" s="249"/>
      <c r="B35" s="253">
        <f>+B34</f>
        <v>350</v>
      </c>
      <c r="C35" s="253"/>
      <c r="D35" s="253">
        <v>500</v>
      </c>
      <c r="E35" s="256">
        <f>ROUND((B$34*D35),0)</f>
        <v>175000</v>
      </c>
      <c r="F35" s="253"/>
      <c r="G35" s="254">
        <f>+O$10+IF($E35&lt;20000,$E35*O$14,20000*O$14+($E35-20000)*O$16)+IF($B35&gt;50,($B35-50)*O$22,0)</f>
        <v>14619.789035270769</v>
      </c>
      <c r="H35" s="254"/>
      <c r="I35" s="254">
        <f>+Q$10+IF($E35&lt;20000,$E35*Q$14,20000*Q$14+($E35-20000)*Q$16)+IF($B35&gt;50,($B35-50)*Q$22,0)</f>
        <v>14952.732364560405</v>
      </c>
      <c r="J35" s="253"/>
      <c r="K35" s="251">
        <f>ROUND((+I35-G35)/G35,3)</f>
        <v>2.3E-2</v>
      </c>
      <c r="L35" s="249"/>
      <c r="M35" s="249"/>
      <c r="N35" s="203" t="str">
        <f t="shared" si="0"/>
        <v>Average kW - Over 50</v>
      </c>
      <c r="O35" s="456">
        <v>7.89</v>
      </c>
      <c r="P35" s="456"/>
      <c r="Q35" s="456">
        <v>8.2799999999999994</v>
      </c>
      <c r="R35" s="456"/>
    </row>
    <row r="36" spans="1:18" ht="15.75">
      <c r="A36" s="249"/>
      <c r="B36" s="253">
        <f>+B35</f>
        <v>350</v>
      </c>
      <c r="C36" s="253"/>
      <c r="D36" s="253">
        <v>700</v>
      </c>
      <c r="E36" s="256">
        <f>ROUND((B$34*D36),0)</f>
        <v>245000</v>
      </c>
      <c r="F36" s="253"/>
      <c r="G36" s="254">
        <f>+O$10+IF($E36&lt;20000,$E36*O$14,20000*O$14+($E36-20000)*O$16)+IF($B36&gt;50,($B36-50)*O$22,0)</f>
        <v>19320.460212489827</v>
      </c>
      <c r="H36" s="254"/>
      <c r="I36" s="254">
        <f>+Q$10+IF($E36&lt;20000,$E36*Q$14,20000*Q$14+($E36-20000)*Q$16)+IF($B36&gt;50,($B36-50)*Q$22,0)</f>
        <v>19741.316013071551</v>
      </c>
      <c r="J36" s="253"/>
      <c r="K36" s="251">
        <f>ROUND((+I36-G36)/G36,3)</f>
        <v>2.1999999999999999E-2</v>
      </c>
      <c r="N36" s="203" t="str">
        <f>+N24</f>
        <v>kVarh</v>
      </c>
      <c r="O36" s="458">
        <v>2.96E-3</v>
      </c>
      <c r="Q36" s="458">
        <v>3.1099999999999999E-3</v>
      </c>
    </row>
    <row r="37" spans="1:18" ht="15.75">
      <c r="A37" s="249"/>
      <c r="B37" s="282"/>
      <c r="C37" s="282"/>
      <c r="D37" s="282"/>
      <c r="E37" s="282"/>
      <c r="F37" s="282"/>
      <c r="G37" s="282"/>
      <c r="H37" s="282"/>
      <c r="I37" s="282"/>
      <c r="J37" s="281"/>
      <c r="K37" s="281"/>
      <c r="L37" s="249"/>
      <c r="M37" s="249"/>
    </row>
    <row r="38" spans="1:18" ht="15.7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</row>
    <row r="39" spans="1:18" ht="15.75">
      <c r="B39" s="250" t="s">
        <v>223</v>
      </c>
      <c r="C39" s="250"/>
      <c r="D39" s="250"/>
      <c r="E39" s="250"/>
      <c r="F39" s="250"/>
      <c r="G39" s="250"/>
      <c r="H39" s="250"/>
      <c r="I39" s="250"/>
      <c r="J39" s="250"/>
      <c r="K39" s="250"/>
      <c r="N39" s="218" t="s">
        <v>233</v>
      </c>
      <c r="O39" s="461">
        <f>+'Sch 95'!E14</f>
        <v>1.2110755297008581E-4</v>
      </c>
      <c r="P39" s="462"/>
      <c r="Q39" s="471">
        <v>0</v>
      </c>
    </row>
    <row r="40" spans="1:18" ht="16.5">
      <c r="B40" s="497" t="s">
        <v>574</v>
      </c>
      <c r="C40" s="250"/>
      <c r="D40" s="250"/>
      <c r="E40" s="250"/>
      <c r="F40" s="250"/>
      <c r="G40" s="250"/>
      <c r="H40" s="250"/>
      <c r="I40" s="250"/>
      <c r="J40" s="250"/>
      <c r="K40" s="250"/>
      <c r="N40" s="218" t="s">
        <v>232</v>
      </c>
      <c r="O40" s="461">
        <f>+'Sch 95a'!E13</f>
        <v>-1.5679999999999999E-3</v>
      </c>
      <c r="P40" s="462"/>
      <c r="Q40" s="461">
        <f t="shared" ref="Q40:Q59" si="1">+O40</f>
        <v>-1.5679999999999999E-3</v>
      </c>
    </row>
    <row r="41" spans="1:18" ht="16.5">
      <c r="A41" s="249"/>
      <c r="B41" s="337" t="s">
        <v>265</v>
      </c>
      <c r="N41" s="218" t="s">
        <v>231</v>
      </c>
      <c r="O41" s="461">
        <f>+'Sch 120'!E13</f>
        <v>3.179E-3</v>
      </c>
      <c r="P41" s="462"/>
      <c r="Q41" s="461">
        <f t="shared" si="1"/>
        <v>3.179E-3</v>
      </c>
    </row>
    <row r="42" spans="1:18">
      <c r="A42" s="249"/>
      <c r="B42" s="337" t="s">
        <v>485</v>
      </c>
      <c r="N42" s="218" t="s">
        <v>193</v>
      </c>
      <c r="O42" s="461">
        <f>+'Sch 129'!E13</f>
        <v>7.9633783587359575E-4</v>
      </c>
      <c r="P42" s="462"/>
      <c r="Q42" s="461">
        <f t="shared" si="1"/>
        <v>7.9633783587359575E-4</v>
      </c>
    </row>
    <row r="43" spans="1:18">
      <c r="A43" s="249"/>
      <c r="B43" s="337" t="s">
        <v>486</v>
      </c>
      <c r="N43" s="220" t="s">
        <v>229</v>
      </c>
      <c r="O43" s="461">
        <f>+'Sch 137'!E13</f>
        <v>-6.0000000000000002E-5</v>
      </c>
      <c r="P43" s="462"/>
      <c r="Q43" s="461">
        <f t="shared" si="1"/>
        <v>-6.0000000000000002E-5</v>
      </c>
    </row>
    <row r="44" spans="1:18">
      <c r="A44" s="249"/>
      <c r="N44" s="220" t="s">
        <v>205</v>
      </c>
      <c r="O44" s="461">
        <f>+'Sch 140'!E13</f>
        <v>2.1359999999999999E-3</v>
      </c>
      <c r="P44" s="462"/>
      <c r="Q44" s="461">
        <f t="shared" si="1"/>
        <v>2.1359999999999999E-3</v>
      </c>
    </row>
    <row r="45" spans="1:18">
      <c r="A45" s="249"/>
      <c r="B45" s="336"/>
      <c r="N45" s="218" t="s">
        <v>269</v>
      </c>
      <c r="O45" s="456">
        <f>+'UE-180899 Sch 141&amp;141x Rates'!$F$22</f>
        <v>0.51000000000000512</v>
      </c>
      <c r="P45" s="462"/>
      <c r="Q45" s="471">
        <v>0</v>
      </c>
    </row>
    <row r="46" spans="1:18">
      <c r="A46" s="249"/>
      <c r="N46" s="218" t="s">
        <v>290</v>
      </c>
      <c r="O46" s="456">
        <f>+'UE-180899 Sch 141&amp;141x Rates'!$F$29</f>
        <v>0.33000000000000007</v>
      </c>
      <c r="P46" s="462"/>
      <c r="Q46" s="471">
        <v>0</v>
      </c>
    </row>
    <row r="47" spans="1:18">
      <c r="A47" s="249"/>
      <c r="N47" s="218" t="s">
        <v>289</v>
      </c>
      <c r="O47" s="456">
        <f>+'UE-180899 Sch 141&amp;141x Rates'!$F$30</f>
        <v>0.21999999999999975</v>
      </c>
      <c r="P47" s="462"/>
      <c r="Q47" s="471">
        <v>0</v>
      </c>
    </row>
    <row r="48" spans="1:18">
      <c r="A48" s="249"/>
      <c r="N48" s="218" t="s">
        <v>268</v>
      </c>
      <c r="O48" s="461">
        <f>+'UE-180899 Sch 141&amp;141x Rates'!$F$24</f>
        <v>9.4099999999999739E-4</v>
      </c>
      <c r="P48" s="462"/>
      <c r="Q48" s="471">
        <v>0</v>
      </c>
    </row>
    <row r="49" spans="1:17">
      <c r="A49" s="249"/>
      <c r="N49" s="218" t="s">
        <v>267</v>
      </c>
      <c r="O49" s="461">
        <f>+'UE-180899 Sch 141&amp;141x Rates'!$F$25</f>
        <v>6.4100000000001656E-4</v>
      </c>
      <c r="P49" s="462"/>
      <c r="Q49" s="471">
        <v>0</v>
      </c>
    </row>
    <row r="50" spans="1:17">
      <c r="N50" s="218" t="s">
        <v>266</v>
      </c>
      <c r="O50" s="461">
        <f>+'UE-180899 Sch 141&amp;141x Rates'!$F$26</f>
        <v>0</v>
      </c>
      <c r="P50" s="462"/>
      <c r="Q50" s="471">
        <v>0</v>
      </c>
    </row>
    <row r="51" spans="1:17">
      <c r="N51" s="203" t="s">
        <v>493</v>
      </c>
      <c r="O51" s="458">
        <f>+'UE-180899 Sch 141&amp;141x Rates'!$F$32</f>
        <v>9.9999999999999829E-5</v>
      </c>
      <c r="P51" s="462"/>
      <c r="Q51" s="471">
        <v>0</v>
      </c>
    </row>
    <row r="52" spans="1:17">
      <c r="N52" s="218" t="s">
        <v>490</v>
      </c>
      <c r="O52" s="456">
        <f>+'UE-180899 Sch 141&amp;141x Rates'!$G$22</f>
        <v>-0.51000000000000512</v>
      </c>
      <c r="P52" s="462"/>
      <c r="Q52" s="471">
        <v>0</v>
      </c>
    </row>
    <row r="53" spans="1:17">
      <c r="N53" s="218" t="s">
        <v>491</v>
      </c>
      <c r="O53" s="456">
        <f>+'UE-180899 Sch 141&amp;141x Rates'!$G$29</f>
        <v>-0.33000000000000007</v>
      </c>
      <c r="P53" s="462"/>
      <c r="Q53" s="471">
        <v>0</v>
      </c>
    </row>
    <row r="54" spans="1:17">
      <c r="N54" s="218" t="s">
        <v>492</v>
      </c>
      <c r="O54" s="456">
        <f>+'UE-180899 Sch 141&amp;141x Rates'!$G$30</f>
        <v>-0.21999999999999975</v>
      </c>
      <c r="P54" s="462"/>
      <c r="Q54" s="471">
        <v>0</v>
      </c>
    </row>
    <row r="55" spans="1:17">
      <c r="N55" s="218" t="s">
        <v>487</v>
      </c>
      <c r="O55" s="461">
        <f>+'UE-180899 Sch 141&amp;141x Rates'!$G$24</f>
        <v>-9.4099999999999739E-4</v>
      </c>
      <c r="P55" s="462"/>
      <c r="Q55" s="471">
        <v>0</v>
      </c>
    </row>
    <row r="56" spans="1:17">
      <c r="N56" s="218" t="s">
        <v>488</v>
      </c>
      <c r="O56" s="461">
        <f>+'UE-180899 Sch 141&amp;141x Rates'!$G$25</f>
        <v>-6.4100000000001656E-4</v>
      </c>
      <c r="P56" s="462"/>
      <c r="Q56" s="471">
        <v>0</v>
      </c>
    </row>
    <row r="57" spans="1:17">
      <c r="N57" s="218" t="s">
        <v>489</v>
      </c>
      <c r="O57" s="461">
        <f>+'UE-180899 Sch 141&amp;141x Rates'!$G$26</f>
        <v>0</v>
      </c>
      <c r="P57" s="462"/>
      <c r="Q57" s="471">
        <v>0</v>
      </c>
    </row>
    <row r="58" spans="1:17">
      <c r="N58" s="203" t="s">
        <v>494</v>
      </c>
      <c r="O58" s="458">
        <f>+'UE-180899 Sch 141&amp;141x Rates'!$G$32</f>
        <v>-9.9999999999999829E-5</v>
      </c>
      <c r="P58" s="462"/>
      <c r="Q58" s="471">
        <v>0</v>
      </c>
    </row>
    <row r="59" spans="1:17">
      <c r="N59" s="218" t="s">
        <v>477</v>
      </c>
      <c r="O59" s="461">
        <f>+'Sch 141y'!E13</f>
        <v>-8.6700000000000004E-4</v>
      </c>
      <c r="P59" s="462"/>
      <c r="Q59" s="461">
        <f t="shared" si="1"/>
        <v>-8.6700000000000004E-4</v>
      </c>
    </row>
    <row r="60" spans="1:17">
      <c r="N60" s="220" t="s">
        <v>211</v>
      </c>
      <c r="O60" s="461">
        <f>+'Sch 142'!F14</f>
        <v>-6.5700000000000003E-4</v>
      </c>
      <c r="P60" s="462"/>
      <c r="Q60" s="461">
        <f>+O60</f>
        <v>-6.5700000000000003E-4</v>
      </c>
    </row>
    <row r="62" spans="1:17">
      <c r="N62" s="218"/>
      <c r="O62" s="217"/>
      <c r="Q62" s="332"/>
    </row>
    <row r="63" spans="1:17">
      <c r="N63" s="216" t="s">
        <v>337</v>
      </c>
      <c r="O63" s="215">
        <f>+'Exhibit No.__(JAP-Prof-Prop)'!Q22</f>
        <v>2.1498895638833317E-2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workbookViewId="0"/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5" width="16.85546875" style="203" customWidth="1"/>
    <col min="16" max="17" width="14.28515625" style="203" bestFit="1" customWidth="1"/>
    <col min="18" max="18" width="2.42578125" style="203" customWidth="1"/>
    <col min="19" max="16384" width="9.42578125" style="203"/>
  </cols>
  <sheetData>
    <row r="1" spans="1:19" ht="20.25">
      <c r="B1" s="280" t="s"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91"/>
      <c r="M1" s="291"/>
    </row>
    <row r="2" spans="1:19" ht="20.25">
      <c r="B2" s="280" t="s">
        <v>244</v>
      </c>
      <c r="C2" s="280"/>
      <c r="D2" s="280"/>
      <c r="E2" s="280"/>
      <c r="F2" s="280"/>
      <c r="G2" s="280"/>
      <c r="H2" s="280"/>
      <c r="I2" s="280"/>
      <c r="J2" s="280"/>
      <c r="K2" s="280"/>
      <c r="L2" s="291"/>
      <c r="M2" s="291"/>
    </row>
    <row r="3" spans="1:19" ht="20.25">
      <c r="B3" s="280" t="s">
        <v>295</v>
      </c>
      <c r="C3" s="280"/>
      <c r="D3" s="280"/>
      <c r="E3" s="280"/>
      <c r="F3" s="280"/>
      <c r="G3" s="280"/>
      <c r="H3" s="280"/>
      <c r="I3" s="280"/>
      <c r="J3" s="280"/>
      <c r="K3" s="280"/>
      <c r="L3" s="291"/>
      <c r="M3" s="291"/>
    </row>
    <row r="4" spans="1:19" ht="20.25">
      <c r="B4" s="292" t="s">
        <v>296</v>
      </c>
      <c r="C4" s="280"/>
      <c r="D4" s="280"/>
      <c r="E4" s="280"/>
      <c r="F4" s="280"/>
      <c r="G4" s="280"/>
      <c r="H4" s="280"/>
      <c r="I4" s="280"/>
      <c r="J4" s="280"/>
      <c r="K4" s="280"/>
      <c r="L4" s="291"/>
      <c r="M4" s="291"/>
    </row>
    <row r="5" spans="1:19">
      <c r="A5" s="249"/>
      <c r="B5" s="290"/>
    </row>
    <row r="6" spans="1:19" ht="15.75">
      <c r="A6" s="249"/>
      <c r="B6" s="288" t="s">
        <v>285</v>
      </c>
      <c r="C6" s="253"/>
      <c r="D6" s="253"/>
      <c r="E6" s="253"/>
      <c r="F6" s="253"/>
      <c r="G6" s="538" t="s">
        <v>284</v>
      </c>
      <c r="H6" s="539"/>
      <c r="I6" s="539"/>
      <c r="J6" s="253"/>
      <c r="K6" s="250"/>
      <c r="L6" s="249"/>
      <c r="M6" s="249"/>
    </row>
    <row r="7" spans="1:19" ht="16.5" thickBot="1">
      <c r="A7" s="249"/>
      <c r="B7" s="289" t="s">
        <v>283</v>
      </c>
      <c r="C7" s="277"/>
      <c r="D7" s="288" t="s">
        <v>282</v>
      </c>
      <c r="E7" s="253"/>
      <c r="F7" s="253"/>
      <c r="G7" s="287" t="s">
        <v>281</v>
      </c>
      <c r="H7" s="250"/>
      <c r="I7" s="287" t="s">
        <v>26</v>
      </c>
      <c r="J7" s="253"/>
      <c r="K7" s="277" t="s">
        <v>260</v>
      </c>
      <c r="L7" s="249"/>
      <c r="M7" s="249"/>
    </row>
    <row r="8" spans="1:19" ht="16.5">
      <c r="A8" s="249"/>
      <c r="B8" s="274" t="s">
        <v>280</v>
      </c>
      <c r="C8" s="270"/>
      <c r="D8" s="286" t="s">
        <v>279</v>
      </c>
      <c r="E8" s="274" t="s">
        <v>241</v>
      </c>
      <c r="F8" s="253"/>
      <c r="G8" s="285" t="s">
        <v>348</v>
      </c>
      <c r="H8" s="285"/>
      <c r="I8" s="285" t="s">
        <v>349</v>
      </c>
      <c r="J8" s="253"/>
      <c r="K8" s="275" t="s">
        <v>30</v>
      </c>
      <c r="L8" s="249"/>
      <c r="M8" s="249"/>
      <c r="N8" s="534" t="s">
        <v>257</v>
      </c>
      <c r="O8" s="536"/>
      <c r="P8" s="537" t="s">
        <v>256</v>
      </c>
      <c r="Q8" s="536"/>
      <c r="R8" s="248"/>
    </row>
    <row r="9" spans="1:19" ht="15.75">
      <c r="A9" s="249"/>
      <c r="B9" s="253"/>
      <c r="C9" s="253"/>
      <c r="D9" s="253"/>
      <c r="E9" s="253"/>
      <c r="F9" s="253"/>
      <c r="G9" s="270"/>
      <c r="H9" s="270"/>
      <c r="I9" s="270"/>
      <c r="J9" s="250"/>
      <c r="K9" s="250"/>
      <c r="N9" s="263"/>
      <c r="O9" s="268"/>
      <c r="P9" s="227"/>
      <c r="Q9" s="268"/>
      <c r="R9" s="248"/>
    </row>
    <row r="10" spans="1:19" ht="15.75">
      <c r="A10" s="249"/>
      <c r="B10" s="253">
        <v>350</v>
      </c>
      <c r="C10" s="253"/>
      <c r="D10" s="253">
        <v>300</v>
      </c>
      <c r="E10" s="256">
        <f>ROUND((B$10*D10),0)</f>
        <v>105000</v>
      </c>
      <c r="F10" s="253"/>
      <c r="G10" s="254">
        <f>+O$10+$B10*O$16+$E10*O$12</f>
        <v>10069.204220742842</v>
      </c>
      <c r="H10" s="254"/>
      <c r="I10" s="254">
        <f>+Q$10+$B10*Q$16+$E10*Q$12</f>
        <v>10250.634993191092</v>
      </c>
      <c r="J10" s="253"/>
      <c r="K10" s="251">
        <f>ROUND((+I10-G10)/G10,3)</f>
        <v>1.7999999999999999E-2</v>
      </c>
      <c r="L10" s="249"/>
      <c r="M10" s="249"/>
      <c r="N10" s="263" t="s">
        <v>253</v>
      </c>
      <c r="O10" s="233">
        <f>SUM(O21,O34,O39)</f>
        <v>105.74</v>
      </c>
      <c r="P10" s="263" t="str">
        <f>+N10</f>
        <v>Basic Charge</v>
      </c>
      <c r="Q10" s="284">
        <f>SUM(Q21,Q34,Q39)</f>
        <v>108.01</v>
      </c>
      <c r="R10" s="260"/>
      <c r="S10" s="226">
        <f>(Q10-O10)/O10</f>
        <v>2.146775108757339E-2</v>
      </c>
    </row>
    <row r="11" spans="1:19" ht="15.75">
      <c r="A11" s="249"/>
      <c r="B11" s="253">
        <f>+B10</f>
        <v>350</v>
      </c>
      <c r="C11" s="253"/>
      <c r="D11" s="253">
        <v>500</v>
      </c>
      <c r="E11" s="256">
        <f>ROUND((B$10*D11),0)</f>
        <v>175000</v>
      </c>
      <c r="F11" s="253"/>
      <c r="G11" s="254">
        <f>+O$10+$B11*O$16+$E11*O$12</f>
        <v>14329.180367904737</v>
      </c>
      <c r="H11" s="254"/>
      <c r="I11" s="254">
        <f>+Q$10+$B11*Q$16+$E11*Q$12</f>
        <v>14604.384988651818</v>
      </c>
      <c r="J11" s="253"/>
      <c r="K11" s="251">
        <f>ROUND((+I11-G11)/G11,3)</f>
        <v>1.9E-2</v>
      </c>
      <c r="L11" s="249"/>
      <c r="M11" s="249"/>
      <c r="N11" s="263"/>
      <c r="O11" s="265"/>
      <c r="P11" s="267"/>
      <c r="Q11" s="265"/>
      <c r="R11" s="248"/>
    </row>
    <row r="12" spans="1:19" ht="15.75">
      <c r="A12" s="249"/>
      <c r="B12" s="253">
        <f>+B11</f>
        <v>350</v>
      </c>
      <c r="C12" s="253"/>
      <c r="D12" s="253">
        <v>700</v>
      </c>
      <c r="E12" s="256">
        <f>ROUND((B$10*D12),0)</f>
        <v>245000</v>
      </c>
      <c r="F12" s="253"/>
      <c r="G12" s="254">
        <f>+O$10+$B12*O$16+$E12*O$12</f>
        <v>18589.156515066632</v>
      </c>
      <c r="H12" s="254"/>
      <c r="I12" s="254">
        <f>+Q$10+$B12*Q$16+$E12*Q$12</f>
        <v>18958.134984112545</v>
      </c>
      <c r="J12" s="253"/>
      <c r="K12" s="251">
        <f>ROUND((+I12-G12)/G12,3)</f>
        <v>0.02</v>
      </c>
      <c r="N12" s="264" t="s">
        <v>294</v>
      </c>
      <c r="O12" s="228">
        <f>SUM(O22,O28:O33,O44,O35,O40,O45)</f>
        <v>6.0856802102312785E-2</v>
      </c>
      <c r="P12" s="263" t="str">
        <f>+N12</f>
        <v>kWh - All</v>
      </c>
      <c r="Q12" s="228">
        <f>SUM(Q22,Q28:Q33,Q44,Q35,Q40,Q45)</f>
        <v>6.2196428506581816E-2</v>
      </c>
      <c r="R12" s="248"/>
      <c r="S12" s="226">
        <f>(Q12-O12)/O12</f>
        <v>2.2012763700873475E-2</v>
      </c>
    </row>
    <row r="13" spans="1:19">
      <c r="A13" s="249"/>
      <c r="L13" s="249"/>
      <c r="M13" s="249"/>
      <c r="N13" s="264"/>
      <c r="O13" s="228"/>
      <c r="P13" s="264"/>
      <c r="Q13" s="228"/>
      <c r="R13" s="248"/>
      <c r="S13" s="232"/>
    </row>
    <row r="14" spans="1:19" ht="15.75">
      <c r="A14" s="249"/>
      <c r="B14" s="253">
        <f>+B12+50</f>
        <v>400</v>
      </c>
      <c r="C14" s="253"/>
      <c r="D14" s="253">
        <v>300</v>
      </c>
      <c r="E14" s="256">
        <f>ROUND((B$14*D14),0)</f>
        <v>120000</v>
      </c>
      <c r="F14" s="253"/>
      <c r="G14" s="254">
        <f>+O$10+$B14*O$16+$E14*O$12</f>
        <v>11492.556252277534</v>
      </c>
      <c r="H14" s="254"/>
      <c r="I14" s="254">
        <f>+Q$10+$B14*Q$16+$E14*Q$12</f>
        <v>11699.581420789818</v>
      </c>
      <c r="J14" s="253"/>
      <c r="K14" s="251">
        <f>ROUND((+I14-G14)/G14,3)</f>
        <v>1.7999999999999999E-2</v>
      </c>
      <c r="L14" s="249"/>
      <c r="M14" s="249"/>
      <c r="N14" s="264" t="s">
        <v>293</v>
      </c>
      <c r="O14" s="284">
        <f>SUM(O23,O36,O46,O41)</f>
        <v>12.28</v>
      </c>
      <c r="P14" s="263" t="str">
        <f>+N14</f>
        <v>Winter kW</v>
      </c>
      <c r="Q14" s="284">
        <f>SUM(Q23,Q36,Q46,Q41)</f>
        <v>12.409999999999998</v>
      </c>
      <c r="R14" s="248"/>
      <c r="S14" s="226">
        <f>(Q14-O14)/O14</f>
        <v>1.0586319218240962E-2</v>
      </c>
    </row>
    <row r="15" spans="1:19" ht="15.75">
      <c r="A15" s="249"/>
      <c r="B15" s="253">
        <f>+B14</f>
        <v>400</v>
      </c>
      <c r="C15" s="253"/>
      <c r="D15" s="253">
        <v>500</v>
      </c>
      <c r="E15" s="256">
        <f>ROUND((B$14*D15),0)</f>
        <v>200000</v>
      </c>
      <c r="F15" s="253"/>
      <c r="G15" s="254">
        <f>+O$10+$B15*O$16+$E15*O$12</f>
        <v>16361.100420462557</v>
      </c>
      <c r="H15" s="254"/>
      <c r="I15" s="254">
        <f>+Q$10+$B15*Q$16+$E15*Q$12</f>
        <v>16675.295701316361</v>
      </c>
      <c r="J15" s="253"/>
      <c r="K15" s="251">
        <f>ROUND((+I15-G15)/G15,3)</f>
        <v>1.9E-2</v>
      </c>
      <c r="L15" s="249"/>
      <c r="M15" s="249"/>
      <c r="N15" s="264" t="s">
        <v>292</v>
      </c>
      <c r="O15" s="284">
        <f>SUM(O24,O37,O46,O41)</f>
        <v>8.26</v>
      </c>
      <c r="P15" s="263" t="str">
        <f>+N15</f>
        <v>Summer kW</v>
      </c>
      <c r="Q15" s="284">
        <f>SUM(Q24,Q37,Q46,Q41)</f>
        <v>8.3999999999999986</v>
      </c>
      <c r="R15" s="248"/>
      <c r="S15" s="226">
        <f>(Q15-O15)/O15</f>
        <v>1.6949152542372736E-2</v>
      </c>
    </row>
    <row r="16" spans="1:19" ht="15.75">
      <c r="A16" s="249"/>
      <c r="B16" s="253">
        <f>+B15</f>
        <v>400</v>
      </c>
      <c r="C16" s="253"/>
      <c r="D16" s="253">
        <v>700</v>
      </c>
      <c r="E16" s="256">
        <f>ROUND((B$14*D16),0)</f>
        <v>280000</v>
      </c>
      <c r="F16" s="253"/>
      <c r="G16" s="254">
        <f>+O$10+$B16*O$16+$E16*O$12</f>
        <v>21229.644588647581</v>
      </c>
      <c r="H16" s="254"/>
      <c r="I16" s="254">
        <f>+Q$10+$B16*Q$16+$E16*Q$12</f>
        <v>21651.009981842908</v>
      </c>
      <c r="J16" s="253"/>
      <c r="K16" s="251">
        <f>ROUND((+I16-G16)/G16,3)</f>
        <v>0.02</v>
      </c>
      <c r="N16" s="264" t="s">
        <v>291</v>
      </c>
      <c r="O16" s="284">
        <f>ROUND(SUM(O25,O46)+AVERAGE(O36:O37)+AVERAGE(O41:O42),2)</f>
        <v>10.210000000000001</v>
      </c>
      <c r="P16" s="263" t="str">
        <f>+N16</f>
        <v>Average kW</v>
      </c>
      <c r="Q16" s="284">
        <f>ROUND(SUM(Q25,Q46)+AVERAGE(Q36:Q37)+AVERAGE(Q41:Q42),2)</f>
        <v>10.32</v>
      </c>
      <c r="R16" s="248"/>
      <c r="S16" s="226">
        <f>(Q16-O16)/O16</f>
        <v>1.0773751224289856E-2</v>
      </c>
    </row>
    <row r="17" spans="1:19" ht="15.75">
      <c r="A17" s="249"/>
      <c r="B17" s="253"/>
      <c r="C17" s="253"/>
      <c r="D17" s="253"/>
      <c r="E17" s="253"/>
      <c r="F17" s="253"/>
      <c r="G17" s="254"/>
      <c r="H17" s="254"/>
      <c r="I17" s="254"/>
      <c r="J17" s="250"/>
      <c r="K17" s="252"/>
      <c r="L17" s="249"/>
      <c r="M17" s="249"/>
      <c r="N17" s="263"/>
      <c r="O17" s="228"/>
      <c r="P17" s="263"/>
      <c r="Q17" s="228"/>
      <c r="R17" s="248"/>
    </row>
    <row r="18" spans="1:19" ht="15.75">
      <c r="A18" s="249"/>
      <c r="B18" s="253">
        <f>+B16+100</f>
        <v>500</v>
      </c>
      <c r="C18" s="253"/>
      <c r="D18" s="253">
        <v>300</v>
      </c>
      <c r="E18" s="256">
        <f>ROUND((B$18*D18),0)</f>
        <v>150000</v>
      </c>
      <c r="F18" s="253"/>
      <c r="G18" s="254">
        <f>+O$10+$B18*O$16+$E18*O$12</f>
        <v>14339.260315346917</v>
      </c>
      <c r="H18" s="254"/>
      <c r="I18" s="254">
        <f>+Q$10+$B18*Q$16+$E18*Q$12</f>
        <v>14597.474275987273</v>
      </c>
      <c r="J18" s="253"/>
      <c r="K18" s="251">
        <f>ROUND((+I18-G18)/G18,3)</f>
        <v>1.7999999999999999E-2</v>
      </c>
      <c r="L18" s="249"/>
      <c r="M18" s="249"/>
      <c r="N18" s="263" t="s">
        <v>270</v>
      </c>
      <c r="O18" s="283">
        <f>SUM(O26,O38,O43)</f>
        <v>1.2600000000000001E-3</v>
      </c>
      <c r="P18" s="263" t="str">
        <f>+N18</f>
        <v>kVarh</v>
      </c>
      <c r="Q18" s="283">
        <f>SUM(Q26,Q38,Q43)</f>
        <v>1.2899999999999999E-3</v>
      </c>
      <c r="R18" s="248"/>
      <c r="S18" s="226">
        <f>(Q18-O18)/O18</f>
        <v>2.3809523809523697E-2</v>
      </c>
    </row>
    <row r="19" spans="1:19" ht="16.5" thickBot="1">
      <c r="A19" s="249"/>
      <c r="B19" s="253">
        <f>+B18</f>
        <v>500</v>
      </c>
      <c r="C19" s="253"/>
      <c r="D19" s="253">
        <v>500</v>
      </c>
      <c r="E19" s="256">
        <f>ROUND((B$18*D19),0)</f>
        <v>250000</v>
      </c>
      <c r="F19" s="253"/>
      <c r="G19" s="254">
        <f>+O$10+$B19*O$16+$E19*O$12</f>
        <v>20424.940525578197</v>
      </c>
      <c r="H19" s="254"/>
      <c r="I19" s="254">
        <f>+Q$10+$B19*Q$16+$E19*Q$12</f>
        <v>20817.117126645455</v>
      </c>
      <c r="J19" s="253"/>
      <c r="K19" s="251">
        <f>ROUND((+I19-G19)/G19,3)</f>
        <v>1.9E-2</v>
      </c>
      <c r="L19" s="249"/>
      <c r="M19" s="249"/>
      <c r="N19" s="262" t="s">
        <v>21</v>
      </c>
      <c r="O19" s="261" t="s">
        <v>21</v>
      </c>
      <c r="P19" s="262" t="s">
        <v>21</v>
      </c>
      <c r="Q19" s="261" t="s">
        <v>21</v>
      </c>
      <c r="R19" s="248"/>
    </row>
    <row r="20" spans="1:19" ht="15.75">
      <c r="A20" s="249"/>
      <c r="B20" s="253">
        <f>+B19</f>
        <v>500</v>
      </c>
      <c r="C20" s="253"/>
      <c r="D20" s="253">
        <v>700</v>
      </c>
      <c r="E20" s="256">
        <f>ROUND((B$18*D20),0)</f>
        <v>350000</v>
      </c>
      <c r="F20" s="253"/>
      <c r="G20" s="254">
        <f>+O$10+$B20*O$16+$E20*O$12</f>
        <v>26510.620735809476</v>
      </c>
      <c r="H20" s="254"/>
      <c r="I20" s="254">
        <f>+Q$10+$B20*Q$16+$E20*Q$12</f>
        <v>27036.759977303635</v>
      </c>
      <c r="J20" s="253"/>
      <c r="K20" s="251">
        <f>ROUND((+I20-G20)/G20,3)</f>
        <v>0.02</v>
      </c>
      <c r="R20" s="248"/>
    </row>
    <row r="21" spans="1:19" ht="15.75">
      <c r="A21" s="249"/>
      <c r="B21" s="253"/>
      <c r="C21" s="253"/>
      <c r="D21" s="253"/>
      <c r="E21" s="253"/>
      <c r="F21" s="253"/>
      <c r="G21" s="254"/>
      <c r="H21" s="254"/>
      <c r="I21" s="254"/>
      <c r="J21" s="250"/>
      <c r="K21" s="252"/>
      <c r="L21" s="249"/>
      <c r="M21" s="249"/>
      <c r="N21" s="203" t="str">
        <f>+N10</f>
        <v>Basic Charge</v>
      </c>
      <c r="O21" s="456">
        <v>105.74</v>
      </c>
      <c r="P21" s="219"/>
      <c r="Q21" s="456">
        <v>108.01</v>
      </c>
      <c r="R21" s="248"/>
      <c r="S21" s="226"/>
    </row>
    <row r="22" spans="1:19" ht="15.75">
      <c r="A22" s="249"/>
      <c r="B22" s="253">
        <f>+B20+100</f>
        <v>600</v>
      </c>
      <c r="C22" s="253"/>
      <c r="D22" s="253">
        <v>300</v>
      </c>
      <c r="E22" s="256">
        <f>ROUND((B$22*D22),0)</f>
        <v>180000</v>
      </c>
      <c r="F22" s="253"/>
      <c r="G22" s="254">
        <f>+O$10+$B22*O$16+$E22*O$12</f>
        <v>17185.964378416302</v>
      </c>
      <c r="H22" s="254"/>
      <c r="I22" s="254">
        <f>+Q$10+$B22*Q$16+$E22*Q$12</f>
        <v>17495.367131184728</v>
      </c>
      <c r="J22" s="253"/>
      <c r="K22" s="251">
        <f>ROUND((+I22-G22)/G22,3)</f>
        <v>1.7999999999999999E-2</v>
      </c>
      <c r="L22" s="249"/>
      <c r="M22" s="249"/>
      <c r="N22" s="203" t="str">
        <f>+N12</f>
        <v>kWh - All</v>
      </c>
      <c r="O22" s="219">
        <v>5.7180999999999996E-2</v>
      </c>
      <c r="P22" s="219"/>
      <c r="Q22" s="219">
        <v>5.865356335851838E-2</v>
      </c>
      <c r="R22" s="248"/>
      <c r="S22" s="226"/>
    </row>
    <row r="23" spans="1:19" ht="15.75">
      <c r="A23" s="249"/>
      <c r="B23" s="253">
        <f>+B22</f>
        <v>600</v>
      </c>
      <c r="C23" s="253"/>
      <c r="D23" s="253">
        <v>500</v>
      </c>
      <c r="E23" s="256">
        <f>ROUND((B$22*D23),0)</f>
        <v>300000</v>
      </c>
      <c r="F23" s="253"/>
      <c r="G23" s="254">
        <f>+O$10+$B23*O$16+$E23*O$12</f>
        <v>24488.780630693836</v>
      </c>
      <c r="H23" s="254"/>
      <c r="I23" s="254">
        <f>+Q$10+$B23*Q$16+$E23*Q$12</f>
        <v>24958.938551974548</v>
      </c>
      <c r="J23" s="253"/>
      <c r="K23" s="251">
        <f>ROUND((+I23-G23)/G23,3)</f>
        <v>1.9E-2</v>
      </c>
      <c r="L23" s="249"/>
      <c r="M23" s="249"/>
      <c r="N23" s="203" t="str">
        <f>+N14</f>
        <v>Winter kW</v>
      </c>
      <c r="O23" s="456">
        <v>11.91</v>
      </c>
      <c r="P23" s="219"/>
      <c r="Q23" s="456">
        <v>12.04</v>
      </c>
      <c r="R23" s="248"/>
      <c r="S23" s="226"/>
    </row>
    <row r="24" spans="1:19" ht="15.75">
      <c r="A24" s="249"/>
      <c r="B24" s="253">
        <f>+B23</f>
        <v>600</v>
      </c>
      <c r="C24" s="253"/>
      <c r="D24" s="253">
        <v>700</v>
      </c>
      <c r="E24" s="256">
        <f>ROUND((B$22*D24),0)</f>
        <v>420000</v>
      </c>
      <c r="F24" s="253"/>
      <c r="G24" s="254">
        <f>+O$10+$B24*O$16+$E24*O$12</f>
        <v>31791.596882971371</v>
      </c>
      <c r="H24" s="254"/>
      <c r="I24" s="254">
        <f>+Q$10+$B24*Q$16+$E24*Q$12</f>
        <v>32422.509972764361</v>
      </c>
      <c r="J24" s="253"/>
      <c r="K24" s="251">
        <f>ROUND((+I24-G24)/G24,3)</f>
        <v>0.02</v>
      </c>
      <c r="N24" s="203" t="str">
        <f>+N15</f>
        <v>Summer kW</v>
      </c>
      <c r="O24" s="456">
        <v>7.94</v>
      </c>
      <c r="P24" s="219"/>
      <c r="Q24" s="456">
        <v>8.0299999999999994</v>
      </c>
      <c r="R24" s="248"/>
      <c r="S24" s="226"/>
    </row>
    <row r="25" spans="1:19" ht="15.75">
      <c r="A25" s="249"/>
      <c r="B25" s="253"/>
      <c r="C25" s="253"/>
      <c r="D25" s="253"/>
      <c r="E25" s="253"/>
      <c r="F25" s="253"/>
      <c r="G25" s="254"/>
      <c r="H25" s="254"/>
      <c r="I25" s="254"/>
      <c r="J25" s="250"/>
      <c r="K25" s="252"/>
      <c r="L25" s="249"/>
      <c r="M25" s="249"/>
      <c r="N25" s="203" t="str">
        <f>+N16</f>
        <v>Average kW</v>
      </c>
      <c r="O25" s="456">
        <v>9.84</v>
      </c>
      <c r="P25" s="219"/>
      <c r="Q25" s="456">
        <v>9.9499999999999993</v>
      </c>
      <c r="R25" s="248"/>
      <c r="S25" s="226"/>
    </row>
    <row r="26" spans="1:19" ht="15.75">
      <c r="A26" s="249"/>
      <c r="B26" s="253">
        <f>+B24+100</f>
        <v>700</v>
      </c>
      <c r="C26" s="253"/>
      <c r="D26" s="253">
        <v>300</v>
      </c>
      <c r="E26" s="256">
        <f>ROUND((B$26*D26),0)</f>
        <v>210000</v>
      </c>
      <c r="F26" s="253"/>
      <c r="G26" s="254">
        <f>+O$10+$B26*O$16+$E26*O$12</f>
        <v>20032.668441485686</v>
      </c>
      <c r="H26" s="254"/>
      <c r="I26" s="254">
        <f>+Q$10+$B26*Q$16+$E26*Q$12</f>
        <v>20393.259986382182</v>
      </c>
      <c r="J26" s="253"/>
      <c r="K26" s="251">
        <f>ROUND((+I26-G26)/G26,3)</f>
        <v>1.7999999999999999E-2</v>
      </c>
      <c r="L26" s="249"/>
      <c r="M26" s="249"/>
      <c r="N26" s="203" t="str">
        <f>+N18</f>
        <v>kVarh</v>
      </c>
      <c r="O26" s="458">
        <v>1.2600000000000001E-3</v>
      </c>
      <c r="P26" s="219"/>
      <c r="Q26" s="458">
        <v>1.2899999999999999E-3</v>
      </c>
      <c r="R26" s="248"/>
      <c r="S26" s="226"/>
    </row>
    <row r="27" spans="1:19" ht="15.75">
      <c r="A27" s="249"/>
      <c r="B27" s="253">
        <f>+B26</f>
        <v>700</v>
      </c>
      <c r="C27" s="253"/>
      <c r="D27" s="253">
        <v>500</v>
      </c>
      <c r="E27" s="256">
        <f>ROUND((B$26*D27),0)</f>
        <v>350000</v>
      </c>
      <c r="F27" s="253"/>
      <c r="G27" s="254">
        <f>+O$10+$B27*O$16+$E27*O$12</f>
        <v>28552.620735809476</v>
      </c>
      <c r="H27" s="254"/>
      <c r="I27" s="254">
        <f>+Q$10+$B27*Q$16+$E27*Q$12</f>
        <v>29100.759977303635</v>
      </c>
      <c r="J27" s="253"/>
      <c r="K27" s="251">
        <f>ROUND((+I27-G27)/G27,3)</f>
        <v>1.9E-2</v>
      </c>
      <c r="L27" s="249"/>
      <c r="M27" s="249"/>
      <c r="Q27" s="246"/>
    </row>
    <row r="28" spans="1:19" ht="15.75">
      <c r="A28" s="249"/>
      <c r="B28" s="253">
        <f>+B27</f>
        <v>700</v>
      </c>
      <c r="C28" s="253"/>
      <c r="D28" s="253">
        <v>700</v>
      </c>
      <c r="E28" s="256">
        <f>ROUND((B$26*D28),0)</f>
        <v>490000</v>
      </c>
      <c r="F28" s="253"/>
      <c r="G28" s="254">
        <f>+O$10+$B28*O$16+$E28*O$12</f>
        <v>37072.573030133266</v>
      </c>
      <c r="H28" s="254"/>
      <c r="I28" s="254">
        <f>+Q$10+$B28*Q$16+$E28*Q$12</f>
        <v>37808.259968225088</v>
      </c>
      <c r="J28" s="253"/>
      <c r="K28" s="251">
        <f>ROUND((+I28-G28)/G28,3)</f>
        <v>0.02</v>
      </c>
      <c r="N28" s="218" t="s">
        <v>233</v>
      </c>
      <c r="O28" s="461">
        <f>+'Sch 95'!E15</f>
        <v>1.3293695424934624E-4</v>
      </c>
      <c r="P28" s="246"/>
      <c r="Q28" s="471">
        <v>0</v>
      </c>
    </row>
    <row r="29" spans="1:19" ht="15.75">
      <c r="A29" s="249"/>
      <c r="B29" s="253"/>
      <c r="C29" s="253"/>
      <c r="D29" s="253"/>
      <c r="E29" s="253"/>
      <c r="F29" s="253"/>
      <c r="G29" s="254"/>
      <c r="H29" s="254"/>
      <c r="I29" s="254"/>
      <c r="J29" s="250"/>
      <c r="K29" s="252"/>
      <c r="L29" s="249"/>
      <c r="M29" s="249"/>
      <c r="N29" s="218" t="s">
        <v>232</v>
      </c>
      <c r="O29" s="461">
        <f>+'Sch 95a'!E15</f>
        <v>-1.7099999999999999E-3</v>
      </c>
      <c r="P29" s="246"/>
      <c r="Q29" s="461">
        <f t="shared" ref="Q29:Q44" si="0">+O29</f>
        <v>-1.7099999999999999E-3</v>
      </c>
    </row>
    <row r="30" spans="1:19" ht="15.75">
      <c r="A30" s="249"/>
      <c r="B30" s="253">
        <f>+B28+100</f>
        <v>800</v>
      </c>
      <c r="C30" s="253"/>
      <c r="D30" s="253">
        <v>300</v>
      </c>
      <c r="E30" s="256">
        <f>ROUND((B$30*D30),0)</f>
        <v>240000</v>
      </c>
      <c r="F30" s="253"/>
      <c r="G30" s="254">
        <f>+O$10+$B30*O$16+$E30*O$12</f>
        <v>22879.372504555067</v>
      </c>
      <c r="H30" s="254"/>
      <c r="I30" s="254">
        <f>+Q$10+$B30*Q$16+$E30*Q$12</f>
        <v>23291.152841579635</v>
      </c>
      <c r="J30" s="253"/>
      <c r="K30" s="251">
        <f>ROUND((+I30-G30)/G30,3)</f>
        <v>1.7999999999999999E-2</v>
      </c>
      <c r="L30" s="249"/>
      <c r="M30" s="249"/>
      <c r="N30" s="218" t="s">
        <v>231</v>
      </c>
      <c r="O30" s="461">
        <f>+'Sch 120'!E15</f>
        <v>3.4889999999999999E-3</v>
      </c>
      <c r="P30" s="246"/>
      <c r="Q30" s="461">
        <f t="shared" si="0"/>
        <v>3.4889999999999999E-3</v>
      </c>
    </row>
    <row r="31" spans="1:19" ht="15.75">
      <c r="A31" s="249"/>
      <c r="B31" s="253">
        <f>+B30</f>
        <v>800</v>
      </c>
      <c r="C31" s="253"/>
      <c r="D31" s="253">
        <v>500</v>
      </c>
      <c r="E31" s="256">
        <f>ROUND((B$30*D31),0)</f>
        <v>400000</v>
      </c>
      <c r="F31" s="253"/>
      <c r="G31" s="254">
        <f>+O$10+$B31*O$16+$E31*O$12</f>
        <v>32616.460840925116</v>
      </c>
      <c r="H31" s="254"/>
      <c r="I31" s="254">
        <f>+Q$10+$B31*Q$16+$E31*Q$12</f>
        <v>33242.581402632728</v>
      </c>
      <c r="J31" s="253"/>
      <c r="K31" s="251">
        <f>ROUND((+I31-G31)/G31,3)</f>
        <v>1.9E-2</v>
      </c>
      <c r="L31" s="249"/>
      <c r="M31" s="249"/>
      <c r="N31" s="218" t="s">
        <v>193</v>
      </c>
      <c r="O31" s="461">
        <f>+'Sch 129'!E15</f>
        <v>7.1686514806344444E-4</v>
      </c>
      <c r="P31" s="246"/>
      <c r="Q31" s="461">
        <f t="shared" si="0"/>
        <v>7.1686514806344444E-4</v>
      </c>
    </row>
    <row r="32" spans="1:19" ht="15.75">
      <c r="A32" s="249"/>
      <c r="B32" s="253">
        <f>+B31</f>
        <v>800</v>
      </c>
      <c r="C32" s="253"/>
      <c r="D32" s="253">
        <v>700</v>
      </c>
      <c r="E32" s="256">
        <f>ROUND((B$30*D32),0)</f>
        <v>560000</v>
      </c>
      <c r="F32" s="253"/>
      <c r="G32" s="254">
        <f>+O$10+$B32*O$16+$E32*O$12</f>
        <v>42353.549177295165</v>
      </c>
      <c r="H32" s="254"/>
      <c r="I32" s="254">
        <f>+Q$10+$B32*Q$16+$E32*Q$12</f>
        <v>43194.009963685821</v>
      </c>
      <c r="J32" s="253"/>
      <c r="K32" s="251">
        <f>ROUND((+I32-G32)/G32,3)</f>
        <v>0.02</v>
      </c>
      <c r="N32" s="220" t="s">
        <v>229</v>
      </c>
      <c r="O32" s="461">
        <f>+'Sch 137'!E15</f>
        <v>-6.4999999999999994E-5</v>
      </c>
      <c r="P32" s="246"/>
      <c r="Q32" s="461">
        <f t="shared" si="0"/>
        <v>-6.4999999999999994E-5</v>
      </c>
    </row>
    <row r="33" spans="1:17" ht="15.75">
      <c r="A33" s="249"/>
      <c r="B33" s="253"/>
      <c r="C33" s="253"/>
      <c r="D33" s="253"/>
      <c r="E33" s="253"/>
      <c r="F33" s="253"/>
      <c r="G33" s="254"/>
      <c r="H33" s="254"/>
      <c r="I33" s="254"/>
      <c r="J33" s="250"/>
      <c r="K33" s="252"/>
      <c r="L33" s="249"/>
      <c r="M33" s="249"/>
      <c r="N33" s="220" t="s">
        <v>205</v>
      </c>
      <c r="O33" s="461">
        <f>+'Sch 140'!E15</f>
        <v>2.0959999999999998E-3</v>
      </c>
      <c r="P33" s="246"/>
      <c r="Q33" s="461">
        <f t="shared" si="0"/>
        <v>2.0959999999999998E-3</v>
      </c>
    </row>
    <row r="34" spans="1:17" ht="15.75">
      <c r="A34" s="249"/>
      <c r="B34" s="253">
        <f>+B32+200</f>
        <v>1000</v>
      </c>
      <c r="C34" s="253"/>
      <c r="D34" s="253">
        <v>300</v>
      </c>
      <c r="E34" s="256">
        <f>ROUND((B$34*D34),0)</f>
        <v>300000</v>
      </c>
      <c r="F34" s="253"/>
      <c r="G34" s="254">
        <f>+O$10+$B34*O$16+$E34*O$12</f>
        <v>28572.780630693836</v>
      </c>
      <c r="H34" s="254"/>
      <c r="I34" s="254">
        <f>+Q$10+$B34*Q$16+$E34*Q$12</f>
        <v>29086.938551974548</v>
      </c>
      <c r="J34" s="253"/>
      <c r="K34" s="251">
        <f>ROUND((+I34-G34)/G34,3)</f>
        <v>1.7999999999999999E-2</v>
      </c>
      <c r="L34" s="249"/>
      <c r="M34" s="249"/>
      <c r="N34" s="218" t="s">
        <v>269</v>
      </c>
      <c r="O34" s="456">
        <f>+'UE-180899 Sch 141&amp;141x Rates'!$F$35</f>
        <v>1.0300000000000011</v>
      </c>
      <c r="P34" s="246"/>
      <c r="Q34" s="471">
        <v>0</v>
      </c>
    </row>
    <row r="35" spans="1:17" ht="15.75">
      <c r="A35" s="249"/>
      <c r="B35" s="253">
        <f>+B34</f>
        <v>1000</v>
      </c>
      <c r="C35" s="253"/>
      <c r="D35" s="253">
        <v>500</v>
      </c>
      <c r="E35" s="256">
        <f>ROUND((B$34*D35),0)</f>
        <v>500000</v>
      </c>
      <c r="F35" s="253"/>
      <c r="G35" s="254">
        <f>+O$10+$B35*O$16+$E35*O$12</f>
        <v>40744.141051156395</v>
      </c>
      <c r="H35" s="254"/>
      <c r="I35" s="254">
        <f>+Q$10+$B35*Q$16+$E35*Q$12</f>
        <v>41526.224253290908</v>
      </c>
      <c r="J35" s="253"/>
      <c r="K35" s="251">
        <f>ROUND((+I35-G35)/G35,3)</f>
        <v>1.9E-2</v>
      </c>
      <c r="L35" s="249"/>
      <c r="M35" s="249"/>
      <c r="N35" s="218" t="s">
        <v>311</v>
      </c>
      <c r="O35" s="461">
        <f>+'UE-180899 Sch 141&amp;141x Rates'!$F$37</f>
        <v>5.2100000000000063E-4</v>
      </c>
      <c r="P35" s="246"/>
      <c r="Q35" s="471">
        <v>0</v>
      </c>
    </row>
    <row r="36" spans="1:17" ht="15.75">
      <c r="A36" s="249"/>
      <c r="B36" s="253">
        <f>+B35</f>
        <v>1000</v>
      </c>
      <c r="C36" s="253"/>
      <c r="D36" s="253">
        <v>700</v>
      </c>
      <c r="E36" s="256">
        <f>ROUND((B$34*D36),0)</f>
        <v>700000</v>
      </c>
      <c r="F36" s="253"/>
      <c r="G36" s="254">
        <f>+O$10+$B36*O$16+$E36*O$12</f>
        <v>52915.501471618947</v>
      </c>
      <c r="H36" s="254"/>
      <c r="I36" s="254">
        <f>+Q$10+$B36*Q$16+$E36*Q$12</f>
        <v>53965.509954607274</v>
      </c>
      <c r="J36" s="253"/>
      <c r="K36" s="251">
        <f>ROUND((+I36-G36)/G36,3)</f>
        <v>0.02</v>
      </c>
      <c r="N36" s="218" t="s">
        <v>290</v>
      </c>
      <c r="O36" s="456">
        <f>+'UE-180899 Sch 141&amp;141x Rates'!$F$39</f>
        <v>0.11999999999999922</v>
      </c>
      <c r="P36" s="246"/>
      <c r="Q36" s="471">
        <v>0</v>
      </c>
    </row>
    <row r="37" spans="1:17" ht="15.75">
      <c r="A37" s="249"/>
      <c r="B37" s="282"/>
      <c r="C37" s="282"/>
      <c r="D37" s="282"/>
      <c r="E37" s="282"/>
      <c r="F37" s="282"/>
      <c r="G37" s="282"/>
      <c r="H37" s="282"/>
      <c r="I37" s="282"/>
      <c r="J37" s="281"/>
      <c r="K37" s="281"/>
      <c r="L37" s="249"/>
      <c r="M37" s="249"/>
      <c r="N37" s="218" t="s">
        <v>289</v>
      </c>
      <c r="O37" s="456">
        <f>+'UE-180899 Sch 141&amp;141x Rates'!$F$40</f>
        <v>6.9999999999999396E-2</v>
      </c>
      <c r="P37" s="246"/>
      <c r="Q37" s="471">
        <v>0</v>
      </c>
    </row>
    <row r="38" spans="1:17" ht="15.7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N38" s="218" t="s">
        <v>288</v>
      </c>
      <c r="O38" s="458">
        <f>+'UE-180899 Sch 141&amp;141x Rates'!$F$42</f>
        <v>1.0000000000000026E-5</v>
      </c>
      <c r="P38" s="246"/>
      <c r="Q38" s="471">
        <v>0</v>
      </c>
    </row>
    <row r="39" spans="1:17" ht="15.75">
      <c r="B39" s="250" t="s">
        <v>223</v>
      </c>
      <c r="C39" s="250"/>
      <c r="D39" s="250"/>
      <c r="E39" s="250"/>
      <c r="F39" s="250"/>
      <c r="G39" s="250"/>
      <c r="H39" s="250"/>
      <c r="I39" s="250"/>
      <c r="J39" s="250"/>
      <c r="K39" s="250"/>
      <c r="N39" s="218" t="s">
        <v>490</v>
      </c>
      <c r="O39" s="456">
        <f>+'UE-180899 Sch 141&amp;141x Rates'!$G$35</f>
        <v>-1.0300000000000011</v>
      </c>
      <c r="P39" s="246"/>
      <c r="Q39" s="471">
        <v>0</v>
      </c>
    </row>
    <row r="40" spans="1:17" ht="16.5">
      <c r="B40" s="497" t="s">
        <v>574</v>
      </c>
      <c r="C40" s="250"/>
      <c r="D40" s="250"/>
      <c r="E40" s="250"/>
      <c r="F40" s="250"/>
      <c r="G40" s="250"/>
      <c r="H40" s="250"/>
      <c r="I40" s="250"/>
      <c r="J40" s="250"/>
      <c r="K40" s="250"/>
      <c r="N40" s="218" t="s">
        <v>497</v>
      </c>
      <c r="O40" s="461">
        <f>+'UE-180899 Sch 141&amp;141x Rates'!$G$37</f>
        <v>-5.2100000000000063E-4</v>
      </c>
      <c r="Q40" s="471">
        <v>0</v>
      </c>
    </row>
    <row r="41" spans="1:17" ht="16.5">
      <c r="A41" s="249"/>
      <c r="B41" s="336" t="s">
        <v>350</v>
      </c>
      <c r="N41" s="218" t="s">
        <v>491</v>
      </c>
      <c r="O41" s="456">
        <f>+'UE-180899 Sch 141&amp;141x Rates'!$G$39</f>
        <v>-0.11999999999999922</v>
      </c>
      <c r="P41" s="246"/>
      <c r="Q41" s="471">
        <v>0</v>
      </c>
    </row>
    <row r="42" spans="1:17" ht="16.5">
      <c r="A42" s="249"/>
      <c r="B42" s="337" t="s">
        <v>358</v>
      </c>
      <c r="N42" s="218" t="s">
        <v>492</v>
      </c>
      <c r="O42" s="456">
        <f>+'UE-180899 Sch 141&amp;141x Rates'!$G$40</f>
        <v>-6.9999999999999396E-2</v>
      </c>
      <c r="P42" s="246"/>
      <c r="Q42" s="471">
        <v>0</v>
      </c>
    </row>
    <row r="43" spans="1:17" ht="16.5">
      <c r="A43" s="249"/>
      <c r="B43" s="337" t="s">
        <v>495</v>
      </c>
      <c r="N43" s="218" t="s">
        <v>496</v>
      </c>
      <c r="O43" s="458">
        <f>+'UE-180899 Sch 141&amp;141x Rates'!$G$42</f>
        <v>-1.0000000000000026E-5</v>
      </c>
      <c r="P43" s="246"/>
      <c r="Q43" s="471">
        <v>0</v>
      </c>
    </row>
    <row r="44" spans="1:17">
      <c r="A44" s="249"/>
      <c r="N44" s="218" t="s">
        <v>477</v>
      </c>
      <c r="O44" s="461">
        <f>+'Sch 141y'!E15</f>
        <v>-8.5700000000000001E-4</v>
      </c>
      <c r="P44" s="462"/>
      <c r="Q44" s="461">
        <f t="shared" si="0"/>
        <v>-8.5700000000000001E-4</v>
      </c>
    </row>
    <row r="45" spans="1:17">
      <c r="A45" s="249"/>
      <c r="N45" s="218" t="s">
        <v>361</v>
      </c>
      <c r="O45" s="461">
        <f>+'Sch 142'!F15</f>
        <v>-1.27E-4</v>
      </c>
      <c r="P45" s="246"/>
      <c r="Q45" s="461">
        <f>+O45</f>
        <v>-1.27E-4</v>
      </c>
    </row>
    <row r="46" spans="1:17">
      <c r="A46" s="249"/>
      <c r="N46" s="218" t="s">
        <v>338</v>
      </c>
      <c r="O46" s="456">
        <f>+'Sch 142'!G15</f>
        <v>0.37</v>
      </c>
      <c r="P46" s="316"/>
      <c r="Q46" s="456">
        <f>+O46</f>
        <v>0.37</v>
      </c>
    </row>
    <row r="47" spans="1:17">
      <c r="A47" s="249"/>
    </row>
    <row r="48" spans="1:17">
      <c r="A48" s="249"/>
    </row>
    <row r="49" spans="1:15">
      <c r="A49" s="249"/>
      <c r="N49" s="216" t="s">
        <v>337</v>
      </c>
      <c r="O49" s="215">
        <f>+'Exhibit No.__(JAP-Prof-Prop)'!Q23</f>
        <v>2.1498258395287417E-2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75"/>
  <sheetViews>
    <sheetView workbookViewId="0"/>
  </sheetViews>
  <sheetFormatPr defaultColWidth="9.42578125" defaultRowHeight="15"/>
  <cols>
    <col min="1" max="1" width="2.140625" style="203" customWidth="1"/>
    <col min="2" max="2" width="10.5703125" style="203" customWidth="1"/>
    <col min="3" max="3" width="1.85546875" style="203" customWidth="1"/>
    <col min="4" max="4" width="12.42578125" style="203" bestFit="1" customWidth="1"/>
    <col min="5" max="5" width="8.28515625" style="203" bestFit="1" customWidth="1"/>
    <col min="6" max="6" width="3.5703125" style="203" customWidth="1"/>
    <col min="7" max="7" width="13.140625" style="203" bestFit="1" customWidth="1"/>
    <col min="8" max="8" width="2.28515625" style="203" customWidth="1"/>
    <col min="9" max="9" width="13.140625" style="203" bestFit="1" customWidth="1"/>
    <col min="10" max="10" width="1.85546875" style="203" customWidth="1"/>
    <col min="11" max="11" width="8.140625" style="203" customWidth="1"/>
    <col min="12" max="12" width="3.28515625" style="203" customWidth="1"/>
    <col min="13" max="13" width="2.140625" style="203" customWidth="1"/>
    <col min="14" max="14" width="50.28515625" style="203" bestFit="1" customWidth="1"/>
    <col min="15" max="15" width="12.28515625" style="203" customWidth="1"/>
    <col min="16" max="16" width="25.7109375" style="203" customWidth="1"/>
    <col min="17" max="17" width="14.28515625" style="203" customWidth="1"/>
    <col min="18" max="18" width="2.42578125" style="203" customWidth="1"/>
    <col min="19" max="19" width="6.85546875" style="203" bestFit="1" customWidth="1"/>
    <col min="20" max="16384" width="9.42578125" style="203"/>
  </cols>
  <sheetData>
    <row r="1" spans="2:19" ht="20.25">
      <c r="B1" s="280" t="s">
        <v>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2:19" ht="20.25">
      <c r="B2" s="280" t="s">
        <v>244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2:19" ht="20.25">
      <c r="B3" s="280" t="s">
        <v>306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2:19" ht="18.75">
      <c r="B4" s="300" t="s">
        <v>307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2:19">
      <c r="G5" s="244"/>
      <c r="H5" s="244"/>
      <c r="I5" s="244"/>
      <c r="J5" s="244"/>
      <c r="K5" s="245"/>
      <c r="L5" s="245"/>
    </row>
    <row r="6" spans="2:19" ht="15.75">
      <c r="B6" s="299" t="s">
        <v>285</v>
      </c>
      <c r="G6" s="538" t="s">
        <v>284</v>
      </c>
      <c r="H6" s="539"/>
      <c r="I6" s="539"/>
      <c r="J6" s="244"/>
      <c r="K6" s="245"/>
      <c r="L6" s="245"/>
    </row>
    <row r="7" spans="2:19" ht="15.75" thickBot="1">
      <c r="B7" s="298" t="s">
        <v>283</v>
      </c>
      <c r="C7" s="245"/>
      <c r="D7" s="245" t="s">
        <v>282</v>
      </c>
      <c r="G7" s="245" t="s">
        <v>281</v>
      </c>
      <c r="H7" s="244"/>
      <c r="I7" s="245" t="s">
        <v>26</v>
      </c>
      <c r="J7" s="244"/>
      <c r="K7" s="244"/>
      <c r="L7" s="244"/>
    </row>
    <row r="8" spans="2:19" ht="16.5">
      <c r="B8" s="297" t="s">
        <v>280</v>
      </c>
      <c r="C8" s="245"/>
      <c r="D8" s="296" t="s">
        <v>279</v>
      </c>
      <c r="E8" s="240" t="s">
        <v>241</v>
      </c>
      <c r="G8" s="285" t="s">
        <v>351</v>
      </c>
      <c r="H8" s="285"/>
      <c r="I8" s="285" t="s">
        <v>352</v>
      </c>
      <c r="J8" s="244"/>
      <c r="K8" s="240" t="s">
        <v>305</v>
      </c>
      <c r="L8" s="244"/>
      <c r="M8" s="244"/>
      <c r="N8" s="534" t="s">
        <v>257</v>
      </c>
      <c r="O8" s="536"/>
      <c r="P8" s="537" t="s">
        <v>256</v>
      </c>
      <c r="Q8" s="536"/>
      <c r="R8" s="248"/>
    </row>
    <row r="9" spans="2:19">
      <c r="B9" s="244"/>
      <c r="C9" s="245"/>
      <c r="D9" s="296"/>
      <c r="E9" s="244"/>
      <c r="G9" s="244"/>
      <c r="H9" s="244"/>
      <c r="I9" s="244"/>
      <c r="J9" s="244"/>
      <c r="K9" s="244"/>
      <c r="L9" s="244"/>
      <c r="M9" s="244"/>
      <c r="N9" s="263"/>
      <c r="O9" s="268"/>
      <c r="P9" s="227"/>
      <c r="Q9" s="268"/>
      <c r="R9" s="248"/>
    </row>
    <row r="10" spans="2:19">
      <c r="B10" s="295" t="s">
        <v>255</v>
      </c>
      <c r="C10" s="294"/>
      <c r="G10" s="294"/>
      <c r="H10" s="294"/>
      <c r="N10" s="264" t="s">
        <v>304</v>
      </c>
      <c r="O10" s="233">
        <f>SUM(O30,O50,O59)</f>
        <v>9.68</v>
      </c>
      <c r="P10" s="263" t="str">
        <f>+N10</f>
        <v>Basic Charge (1 Phase)</v>
      </c>
      <c r="Q10" s="284">
        <f>SUM(Q30,Q50,Q59)</f>
        <v>9.89</v>
      </c>
      <c r="R10" s="260"/>
      <c r="S10" s="226">
        <f>(Q10-O10)/O10</f>
        <v>2.1694214876033145E-2</v>
      </c>
    </row>
    <row r="11" spans="2:19">
      <c r="B11" s="203">
        <v>25</v>
      </c>
      <c r="D11" s="214">
        <v>200</v>
      </c>
      <c r="E11" s="214">
        <f>ROUND((B$11*D11),0)</f>
        <v>5000</v>
      </c>
      <c r="G11" s="293">
        <f>ROUND(+O$10+IF(E11&gt;20000,20000*O$15+(E11-20000)*O$19,E11*O$15)+IF(B11&gt;50,(B11-50)*O$25,0),0)</f>
        <v>316</v>
      </c>
      <c r="H11" s="293"/>
      <c r="I11" s="293">
        <f>ROUND(+Q$10+IF(E11&gt;20000,20000*Q$15+(E11-20000)*Q$19,E11*Q$15)+IF(B11&gt;50,(B11-50)*Q$25,0),0)</f>
        <v>322</v>
      </c>
      <c r="J11" s="293"/>
      <c r="K11" s="210">
        <f>ROUND((I11-G11)/G11,4)</f>
        <v>1.9E-2</v>
      </c>
      <c r="L11" s="210"/>
      <c r="M11" s="210"/>
      <c r="N11" s="264" t="s">
        <v>303</v>
      </c>
      <c r="O11" s="233">
        <f>SUM(O31,O51,O60)</f>
        <v>24.58</v>
      </c>
      <c r="P11" s="263" t="str">
        <f>+N11</f>
        <v>Basic Charge (3 Phase)</v>
      </c>
      <c r="Q11" s="284">
        <f>SUM(Q31,Q51,Q60)</f>
        <v>25.11</v>
      </c>
      <c r="R11" s="248"/>
      <c r="S11" s="226">
        <f>(Q11-O11)/O11</f>
        <v>2.1562245728234383E-2</v>
      </c>
    </row>
    <row r="12" spans="2:19">
      <c r="B12" s="203">
        <f>+B11</f>
        <v>25</v>
      </c>
      <c r="D12" s="214">
        <v>300</v>
      </c>
      <c r="E12" s="214">
        <f>ROUND((B$11*D12),0)</f>
        <v>7500</v>
      </c>
      <c r="G12" s="293">
        <f>ROUND(+O$10+IF(E12&gt;20000,20000*O$15+(E12-20000)*O$19,E12*O$15)+IF(B12&gt;50,(B12-50)*O$25,0),0)</f>
        <v>468</v>
      </c>
      <c r="H12" s="293"/>
      <c r="I12" s="293">
        <f>ROUND(+Q$10+IF(E12&gt;20000,20000*Q$15+(E12-20000)*Q$19,E12*Q$15)+IF(B12&gt;50,(B12-50)*Q$25,0),0)</f>
        <v>479</v>
      </c>
      <c r="J12" s="293"/>
      <c r="K12" s="210">
        <f>ROUND((I12-G12)/G12,4)</f>
        <v>2.35E-2</v>
      </c>
      <c r="L12" s="210"/>
      <c r="M12" s="210"/>
      <c r="N12" s="263"/>
      <c r="O12" s="228"/>
      <c r="P12" s="263"/>
      <c r="Q12" s="228"/>
    </row>
    <row r="13" spans="2:19">
      <c r="B13" s="203">
        <f>+B12</f>
        <v>25</v>
      </c>
      <c r="D13" s="214">
        <v>500</v>
      </c>
      <c r="E13" s="214">
        <f>ROUND((B$11*D13),0)</f>
        <v>12500</v>
      </c>
      <c r="G13" s="293">
        <f>ROUND(+O$10+IF(E13&gt;20000,20000*O$15+(E13-20000)*O$19,E13*O$15)+IF(B13&gt;50,(B13-50)*O$25,0),0)</f>
        <v>774</v>
      </c>
      <c r="H13" s="293"/>
      <c r="I13" s="293">
        <f>ROUND(+Q$10+IF(E13&gt;20000,20000*Q$15+(E13-20000)*Q$19,E13*Q$15)+IF(B13&gt;50,(B13-50)*Q$25,0),0)</f>
        <v>791</v>
      </c>
      <c r="J13" s="293"/>
      <c r="K13" s="210">
        <f>ROUND((I13-G13)/G13,4)</f>
        <v>2.1999999999999999E-2</v>
      </c>
      <c r="L13" s="210"/>
      <c r="M13" s="210"/>
      <c r="N13" s="264" t="s">
        <v>277</v>
      </c>
      <c r="O13" s="228">
        <f>SUM(O32,O44:O49,O52,O61,O68:O70)</f>
        <v>8.5971842164075912E-2</v>
      </c>
      <c r="P13" s="263" t="str">
        <f>+N13</f>
        <v>Winter kWh - First 20,000</v>
      </c>
      <c r="Q13" s="228">
        <f>SUM(Q32,Q44:Q49,Q52,Q61,Q68:Q70)</f>
        <v>8.7821653709728886E-2</v>
      </c>
      <c r="R13" s="248"/>
      <c r="S13" s="226">
        <f>(Q13-O13)/O13</f>
        <v>2.1516481432637416E-2</v>
      </c>
    </row>
    <row r="14" spans="2:19">
      <c r="G14" s="293"/>
      <c r="H14" s="293"/>
      <c r="I14" s="293"/>
      <c r="J14" s="293"/>
      <c r="N14" s="264" t="s">
        <v>276</v>
      </c>
      <c r="O14" s="228">
        <f>SUM(O33,O44:O49,O53,O62,O68:O70)</f>
        <v>5.812884216407592E-2</v>
      </c>
      <c r="P14" s="263" t="str">
        <f>+N14</f>
        <v>Summer kWh - First 20,000</v>
      </c>
      <c r="Q14" s="228">
        <f>SUM(Q33,Q44:Q49,Q53,Q62,Q68:Q70)</f>
        <v>5.9380653709728892E-2</v>
      </c>
      <c r="R14" s="248"/>
      <c r="S14" s="226">
        <f>(Q14-O14)/O14</f>
        <v>2.1535119211897911E-2</v>
      </c>
    </row>
    <row r="15" spans="2:19">
      <c r="B15" s="203">
        <v>50</v>
      </c>
      <c r="D15" s="214">
        <v>200</v>
      </c>
      <c r="E15" s="214">
        <f>ROUND((B$15*D15),0)</f>
        <v>10000</v>
      </c>
      <c r="G15" s="293">
        <f>ROUND(+O$10+IF(E15&gt;20000,20000*O$15+(E15-20000)*O$19,E15*O$15)+IF(B15&gt;50,(B15-50)*O$25,0),0)</f>
        <v>621</v>
      </c>
      <c r="H15" s="293"/>
      <c r="I15" s="293">
        <f>ROUND(+Q$10+IF(E15&gt;20000,20000*Q$15+(E15-20000)*Q$19,E15*Q$15)+IF(B15&gt;50,(B15-50)*Q$25,0),0)</f>
        <v>635</v>
      </c>
      <c r="J15" s="293"/>
      <c r="K15" s="210">
        <f>ROUND((I15-G15)/G15,4)</f>
        <v>2.2499999999999999E-2</v>
      </c>
      <c r="L15" s="210"/>
      <c r="M15" s="210"/>
      <c r="N15" s="263" t="s">
        <v>250</v>
      </c>
      <c r="O15" s="228">
        <f>SUM(O34,O44:O49,O68:O70)+AVERAGE(O52:O53)+AVERAGE(O61:O62)</f>
        <v>6.1165842164075918E-2</v>
      </c>
      <c r="P15" s="263" t="str">
        <f>+N15</f>
        <v>Average kWh</v>
      </c>
      <c r="Q15" s="228">
        <f>SUM(Q34,Q44:Q49,Q68:Q70)+AVERAGE(Q52:Q53)+AVERAGE(Q61:Q62)</f>
        <v>6.2482653709728886E-2</v>
      </c>
      <c r="R15" s="248"/>
      <c r="S15" s="226">
        <f>(Q15-O15)/O15</f>
        <v>2.1528544348668539E-2</v>
      </c>
    </row>
    <row r="16" spans="2:19">
      <c r="B16" s="203">
        <f>+B15</f>
        <v>50</v>
      </c>
      <c r="D16" s="214">
        <v>300</v>
      </c>
      <c r="E16" s="214">
        <f>ROUND((B$15*D16),0)</f>
        <v>15000</v>
      </c>
      <c r="G16" s="293">
        <f>ROUND(+O$10+IF(E16&gt;20000,20000*O$15+(E16-20000)*O$19,E16*O$15)+IF(B16&gt;50,(B16-50)*O$25,0),0)</f>
        <v>927</v>
      </c>
      <c r="H16" s="293"/>
      <c r="I16" s="293">
        <f>ROUND(+Q$10+IF(E16&gt;20000,20000*Q$15+(E16-20000)*Q$19,E16*Q$15)+IF(B16&gt;50,(B16-50)*Q$25,0),0)</f>
        <v>947</v>
      </c>
      <c r="J16" s="293"/>
      <c r="K16" s="210">
        <f>ROUND((I16-G16)/G16,4)</f>
        <v>2.1600000000000001E-2</v>
      </c>
      <c r="L16" s="210"/>
      <c r="M16" s="210"/>
      <c r="N16" s="263"/>
      <c r="O16" s="228"/>
      <c r="P16" s="263"/>
      <c r="Q16" s="228"/>
      <c r="R16" s="248"/>
    </row>
    <row r="17" spans="2:19">
      <c r="B17" s="203">
        <f>+B16</f>
        <v>50</v>
      </c>
      <c r="D17" s="214">
        <v>500</v>
      </c>
      <c r="E17" s="214">
        <f>ROUND((B$15*D17),0)</f>
        <v>25000</v>
      </c>
      <c r="G17" s="293">
        <f>ROUND(+O$10+IF(E17&gt;20000,20000*O$15+(E17-20000)*O$19,E17*O$15)+IF(B17&gt;50,(B17-50)*O$25,0),0)</f>
        <v>1480</v>
      </c>
      <c r="H17" s="293"/>
      <c r="I17" s="293">
        <f>ROUND(+Q$10+IF(E17&gt;20000,20000*Q$15+(E17-20000)*Q$19,E17*Q$15)+IF(B17&gt;50,(B17-50)*Q$25,0),0)</f>
        <v>1512</v>
      </c>
      <c r="J17" s="293"/>
      <c r="K17" s="210">
        <f>ROUND((I17-G17)/G17,4)</f>
        <v>2.1600000000000001E-2</v>
      </c>
      <c r="L17" s="210"/>
      <c r="M17" s="210"/>
      <c r="N17" s="264" t="s">
        <v>302</v>
      </c>
      <c r="O17" s="228">
        <f>SUM(O35,O44:O49,O54,O63,O68:O70)</f>
        <v>6.4161842164075916E-2</v>
      </c>
      <c r="P17" s="263" t="str">
        <f>+N17</f>
        <v>Winter kWh - Over 20,000</v>
      </c>
      <c r="Q17" s="228">
        <f>SUM(Q35,Q44:Q49,Q54,Q63,Q68:Q70)</f>
        <v>6.554365370972888E-2</v>
      </c>
      <c r="R17" s="248"/>
      <c r="S17" s="226">
        <f>(Q17-O17)/O17</f>
        <v>2.1536344641093198E-2</v>
      </c>
    </row>
    <row r="18" spans="2:19">
      <c r="G18" s="293"/>
      <c r="H18" s="293"/>
      <c r="I18" s="293"/>
      <c r="J18" s="293"/>
      <c r="N18" s="264" t="s">
        <v>301</v>
      </c>
      <c r="O18" s="228">
        <f>SUM(O36,O44:O49,O55,O64,O68:O70)</f>
        <v>4.9132842164075922E-2</v>
      </c>
      <c r="P18" s="263" t="str">
        <f>+N18</f>
        <v>Summer kWh - Over 20,000</v>
      </c>
      <c r="Q18" s="228">
        <f>SUM(Q36,Q44:Q49,Q55,Q64,Q68:Q70)</f>
        <v>5.0190653709728895E-2</v>
      </c>
      <c r="R18" s="248"/>
      <c r="S18" s="226">
        <f>(Q18-O18)/O18</f>
        <v>2.1529622530699125E-2</v>
      </c>
    </row>
    <row r="19" spans="2:19">
      <c r="B19" s="203">
        <v>75</v>
      </c>
      <c r="D19" s="214">
        <v>200</v>
      </c>
      <c r="E19" s="214">
        <f>ROUND((B$15*D19),0)</f>
        <v>10000</v>
      </c>
      <c r="G19" s="293">
        <f>ROUND(+O$10+IF(E19&gt;20000,20000*O$15+(E19-20000)*O$19,E19*O$15)+IF(B19&gt;50,(B19-50)*O$25,0),0)</f>
        <v>764</v>
      </c>
      <c r="H19" s="293"/>
      <c r="I19" s="293">
        <f>ROUND(+Q$10+IF(E19&gt;20000,20000*Q$15+(E19-20000)*Q$19,E19*Q$15)+IF(B19&gt;50,(B19-50)*Q$25,0),0)</f>
        <v>780</v>
      </c>
      <c r="J19" s="293"/>
      <c r="K19" s="210">
        <f>ROUND((I19-G19)/G19,4)</f>
        <v>2.0899999999999998E-2</v>
      </c>
      <c r="L19" s="210"/>
      <c r="M19" s="210"/>
      <c r="N19" s="264" t="s">
        <v>275</v>
      </c>
      <c r="O19" s="228">
        <f>SUM(O37,O44:O49,O68:O70)+AVERAGE(O54:O55)+AVERAGE(O63:O64)</f>
        <v>4.9461842164075925E-2</v>
      </c>
      <c r="P19" s="263" t="str">
        <f>+N19</f>
        <v>kWh - All Over 20,000</v>
      </c>
      <c r="Q19" s="228">
        <f>SUM(Q37,Q44:Q49,Q68:Q70)+AVERAGE(Q54:Q55)+AVERAGE(Q63:Q64)</f>
        <v>5.052565370972889E-2</v>
      </c>
      <c r="R19" s="248"/>
      <c r="S19" s="226">
        <f>(Q19-O19)/O19</f>
        <v>2.1507721894466966E-2</v>
      </c>
    </row>
    <row r="20" spans="2:19">
      <c r="B20" s="203">
        <f>+B19</f>
        <v>75</v>
      </c>
      <c r="D20" s="214">
        <v>300</v>
      </c>
      <c r="E20" s="214">
        <f>ROUND((B$15*D20),0)</f>
        <v>15000</v>
      </c>
      <c r="G20" s="293">
        <f>ROUND(+O$10+IF(E20&gt;20000,20000*O$15+(E20-20000)*O$19,E20*O$15)+IF(B20&gt;50,(B20-50)*O$25,0),0)</f>
        <v>1069</v>
      </c>
      <c r="H20" s="293"/>
      <c r="I20" s="293">
        <f>ROUND(+Q$10+IF(E20&gt;20000,20000*Q$15+(E20-20000)*Q$19,E20*Q$15)+IF(B20&gt;50,(B20-50)*Q$25,0),0)</f>
        <v>1092</v>
      </c>
      <c r="J20" s="293"/>
      <c r="K20" s="210">
        <f>ROUND((I20-G20)/G20,4)</f>
        <v>2.1499999999999998E-2</v>
      </c>
      <c r="L20" s="210"/>
      <c r="M20" s="210"/>
      <c r="N20" s="264"/>
      <c r="O20" s="228"/>
      <c r="P20" s="264"/>
      <c r="Q20" s="228"/>
      <c r="R20" s="248"/>
      <c r="S20" s="232"/>
    </row>
    <row r="21" spans="2:19">
      <c r="B21" s="203">
        <f>+B20</f>
        <v>75</v>
      </c>
      <c r="D21" s="214">
        <v>500</v>
      </c>
      <c r="E21" s="214">
        <f>ROUND((B$15*D21),0)</f>
        <v>25000</v>
      </c>
      <c r="G21" s="293">
        <f>ROUND(+O$10+IF(E21&gt;20000,20000*O$15+(E21-20000)*O$19,E21*O$15)+IF(B21&gt;50,(B21-50)*O$25,0),0)</f>
        <v>1623</v>
      </c>
      <c r="H21" s="293"/>
      <c r="I21" s="293">
        <f>ROUND(+Q$10+IF(E21&gt;20000,20000*Q$15+(E21-20000)*Q$19,E21*Q$15)+IF(B21&gt;50,(B21-50)*Q$25,0),0)</f>
        <v>1657</v>
      </c>
      <c r="J21" s="293"/>
      <c r="K21" s="210">
        <f>ROUND((I21-G21)/G21,4)</f>
        <v>2.0899999999999998E-2</v>
      </c>
      <c r="L21" s="210"/>
      <c r="M21" s="210"/>
      <c r="N21" s="264" t="s">
        <v>274</v>
      </c>
      <c r="O21" s="228">
        <v>0</v>
      </c>
      <c r="P21" s="263" t="str">
        <f>+N21</f>
        <v>kW - First 50</v>
      </c>
      <c r="Q21" s="228">
        <v>0</v>
      </c>
      <c r="R21" s="248"/>
      <c r="S21" s="232"/>
    </row>
    <row r="22" spans="2:19">
      <c r="N22" s="264"/>
      <c r="O22" s="228"/>
      <c r="P22" s="264"/>
      <c r="Q22" s="228"/>
      <c r="R22" s="260"/>
      <c r="S22" s="211"/>
    </row>
    <row r="23" spans="2:19">
      <c r="B23" s="295" t="s">
        <v>254</v>
      </c>
      <c r="C23" s="294"/>
      <c r="G23" s="293"/>
      <c r="H23" s="293"/>
      <c r="I23" s="293"/>
      <c r="J23" s="293"/>
      <c r="N23" s="264" t="s">
        <v>273</v>
      </c>
      <c r="O23" s="284">
        <f>SUM(O39,O50,O59)</f>
        <v>8.94</v>
      </c>
      <c r="P23" s="263" t="str">
        <f>+N23</f>
        <v>Winter kW - Over 50</v>
      </c>
      <c r="Q23" s="284">
        <f>SUM(Q39,Q50,Q59)</f>
        <v>9.1300000000000008</v>
      </c>
      <c r="R23" s="248"/>
      <c r="S23" s="226">
        <f>(Q23-O23)/O23</f>
        <v>2.1252796420581799E-2</v>
      </c>
    </row>
    <row r="24" spans="2:19">
      <c r="B24" s="203">
        <v>100</v>
      </c>
      <c r="D24" s="214">
        <v>200</v>
      </c>
      <c r="E24" s="214">
        <f>ROUND((B$24*D24),0)</f>
        <v>20000</v>
      </c>
      <c r="G24" s="293">
        <f>ROUND(+O$11+IF(E24&gt;20000,20000*O$15+(E24-20000)*O$19,E24*O$15)+IF(B24&gt;50,(B24-50)*O$25,0),0)</f>
        <v>1532</v>
      </c>
      <c r="H24" s="293"/>
      <c r="I24" s="293">
        <f>ROUND(+Q$11+IF(E24&gt;20000,20000*Q$15+(E24-20000)*Q$19,E24*Q$15)+IF(B24&gt;50,(B24-50)*Q$25,0),0)</f>
        <v>1565</v>
      </c>
      <c r="J24" s="293"/>
      <c r="K24" s="210">
        <f>ROUND((I24-G24)/G24,4)</f>
        <v>2.1499999999999998E-2</v>
      </c>
      <c r="L24" s="210"/>
      <c r="M24" s="210"/>
      <c r="N24" s="264" t="s">
        <v>272</v>
      </c>
      <c r="O24" s="284">
        <f>SUM(O40,O57,O66)</f>
        <v>4.4000000000000004</v>
      </c>
      <c r="P24" s="263" t="str">
        <f>+N24</f>
        <v>Summer kW - Over 50</v>
      </c>
      <c r="Q24" s="284">
        <f>SUM(Q40,Q57,Q66)</f>
        <v>4.49</v>
      </c>
      <c r="R24" s="248"/>
      <c r="S24" s="226">
        <f>(Q24-O24)/O24</f>
        <v>2.045454545454542E-2</v>
      </c>
    </row>
    <row r="25" spans="2:19">
      <c r="B25" s="203">
        <f>+B24</f>
        <v>100</v>
      </c>
      <c r="D25" s="214">
        <v>300</v>
      </c>
      <c r="E25" s="214">
        <f>ROUND((B$24*D25),0)</f>
        <v>30000</v>
      </c>
      <c r="G25" s="293">
        <f>ROUND(+O$11+IF(E25&gt;20000,20000*O$15+(E25-20000)*O$19,E25*O$15)+IF(B25&gt;50,(B25-50)*O$25,0),0)</f>
        <v>2027</v>
      </c>
      <c r="H25" s="293"/>
      <c r="I25" s="293">
        <f>ROUND(+Q$11+IF(E25&gt;20000,20000*Q$15+(E25-20000)*Q$19,E25*Q$15)+IF(B25&gt;50,(B25-50)*Q$25,0),0)</f>
        <v>2071</v>
      </c>
      <c r="J25" s="293"/>
      <c r="K25" s="210">
        <f>ROUND((I25-G25)/G25,4)</f>
        <v>2.1700000000000001E-2</v>
      </c>
      <c r="L25" s="210"/>
      <c r="M25" s="210"/>
      <c r="N25" s="264" t="s">
        <v>271</v>
      </c>
      <c r="O25" s="284">
        <f>SUM(O41)++AVERAGE(O56:O57)++AVERAGE(O65:O66)</f>
        <v>5.6900000000000013</v>
      </c>
      <c r="P25" s="263" t="str">
        <f>+N25</f>
        <v>Average kW - Over 50</v>
      </c>
      <c r="Q25" s="284">
        <f>SUM(Q41)++AVERAGE(Q56:Q57)++AVERAGE(Q65:Q66)</f>
        <v>5.81</v>
      </c>
      <c r="R25" s="248"/>
      <c r="S25" s="226">
        <f>(Q25-O25)/O25</f>
        <v>2.1089630931458402E-2</v>
      </c>
    </row>
    <row r="26" spans="2:19">
      <c r="B26" s="203">
        <f>+B25</f>
        <v>100</v>
      </c>
      <c r="D26" s="214">
        <v>500</v>
      </c>
      <c r="E26" s="214">
        <f>ROUND((B$24*D26),0)</f>
        <v>50000</v>
      </c>
      <c r="G26" s="293">
        <f>ROUND(+O$11+IF(E26&gt;20000,20000*O$15+(E26-20000)*O$19,E26*O$15)+IF(B26&gt;50,(B26-50)*O$25,0),0)</f>
        <v>3016</v>
      </c>
      <c r="H26" s="293"/>
      <c r="I26" s="293">
        <f>ROUND(+Q$11+IF(E26&gt;20000,20000*Q$15+(E26-20000)*Q$19,E26*Q$15)+IF(B26&gt;50,(B26-50)*Q$25,0),0)</f>
        <v>3081</v>
      </c>
      <c r="J26" s="293"/>
      <c r="K26" s="210">
        <f>ROUND((I26-G26)/G26,4)</f>
        <v>2.1600000000000001E-2</v>
      </c>
      <c r="L26" s="210"/>
      <c r="M26" s="210"/>
      <c r="N26" s="263"/>
      <c r="O26" s="228"/>
      <c r="P26" s="263"/>
      <c r="Q26" s="228"/>
      <c r="R26" s="248"/>
    </row>
    <row r="27" spans="2:19">
      <c r="N27" s="263" t="s">
        <v>270</v>
      </c>
      <c r="O27" s="283">
        <f>SUM(O42,O58,O67)</f>
        <v>2.8400000000000001E-3</v>
      </c>
      <c r="P27" s="263" t="str">
        <f>+N27</f>
        <v>kVarh</v>
      </c>
      <c r="Q27" s="283">
        <f>SUM(Q42,Q58,Q67)</f>
        <v>2.8999999999999998E-3</v>
      </c>
      <c r="R27" s="248"/>
      <c r="S27" s="226">
        <f>(Q27-O27)/O27</f>
        <v>2.1126760563380184E-2</v>
      </c>
    </row>
    <row r="28" spans="2:19" ht="15.75" thickBot="1">
      <c r="B28" s="203">
        <v>150</v>
      </c>
      <c r="D28" s="214">
        <v>200</v>
      </c>
      <c r="E28" s="214">
        <f>ROUND((B$28*D28),0)</f>
        <v>30000</v>
      </c>
      <c r="G28" s="293">
        <f>ROUND(+O$11+IF(E28&gt;20000,20000*O$15+(E28-20000)*O$19,E28*O$15)+IF(B28&gt;50,(B28-50)*O$25,0),0)</f>
        <v>2312</v>
      </c>
      <c r="H28" s="293"/>
      <c r="I28" s="293">
        <f>ROUND(+Q$11+IF(E28&gt;20000,20000*Q$15+(E28-20000)*Q$19,E28*Q$15)+IF(B28&gt;50,(B28-50)*Q$25,0),0)</f>
        <v>2361</v>
      </c>
      <c r="J28" s="293"/>
      <c r="K28" s="210">
        <f>ROUND((I28-G28)/G28,4)</f>
        <v>2.12E-2</v>
      </c>
      <c r="L28" s="210"/>
      <c r="M28" s="210"/>
      <c r="N28" s="262" t="s">
        <v>21</v>
      </c>
      <c r="O28" s="261" t="s">
        <v>21</v>
      </c>
      <c r="P28" s="262" t="s">
        <v>21</v>
      </c>
      <c r="Q28" s="261" t="s">
        <v>21</v>
      </c>
      <c r="R28" s="248"/>
    </row>
    <row r="29" spans="2:19">
      <c r="B29" s="203">
        <f>+B28</f>
        <v>150</v>
      </c>
      <c r="D29" s="214">
        <v>300</v>
      </c>
      <c r="E29" s="214">
        <f>ROUND((B$28*D29),0)</f>
        <v>45000</v>
      </c>
      <c r="G29" s="293">
        <f>ROUND(+O$11+IF(E29&gt;20000,20000*O$15+(E29-20000)*O$19,E29*O$15)+IF(B29&gt;50,(B29-50)*O$25,0),0)</f>
        <v>3053</v>
      </c>
      <c r="H29" s="293"/>
      <c r="I29" s="293">
        <f>ROUND(+Q$11+IF(E29&gt;20000,20000*Q$15+(E29-20000)*Q$19,E29*Q$15)+IF(B29&gt;50,(B29-50)*Q$25,0),0)</f>
        <v>3119</v>
      </c>
      <c r="J29" s="293"/>
      <c r="K29" s="210">
        <f>ROUND((I29-G29)/G29,4)</f>
        <v>2.1600000000000001E-2</v>
      </c>
      <c r="L29" s="210"/>
      <c r="M29" s="210"/>
      <c r="R29" s="248"/>
    </row>
    <row r="30" spans="2:19">
      <c r="B30" s="203">
        <f>+B29</f>
        <v>150</v>
      </c>
      <c r="D30" s="214">
        <v>500</v>
      </c>
      <c r="E30" s="214">
        <f>ROUND((B$28*D30),0)</f>
        <v>75000</v>
      </c>
      <c r="G30" s="293">
        <f>ROUND(+O$11+IF(E30&gt;20000,20000*O$15+(E30-20000)*O$19,E30*O$15)+IF(B30&gt;50,(B30-50)*O$25,0),0)</f>
        <v>4537</v>
      </c>
      <c r="H30" s="293"/>
      <c r="I30" s="293">
        <f>ROUND(+Q$11+IF(E30&gt;20000,20000*Q$15+(E30-20000)*Q$19,E30*Q$15)+IF(B30&gt;50,(B30-50)*Q$25,0),0)</f>
        <v>4635</v>
      </c>
      <c r="J30" s="293"/>
      <c r="K30" s="210">
        <f>ROUND((I30-G30)/G30,4)</f>
        <v>2.1600000000000001E-2</v>
      </c>
      <c r="L30" s="210"/>
      <c r="M30" s="210"/>
      <c r="N30" s="203" t="str">
        <f>+N10</f>
        <v>Basic Charge (1 Phase)</v>
      </c>
      <c r="O30" s="459">
        <v>9.68</v>
      </c>
      <c r="P30" s="459"/>
      <c r="Q30" s="459">
        <v>9.89</v>
      </c>
      <c r="R30" s="248"/>
    </row>
    <row r="31" spans="2:19">
      <c r="N31" s="203" t="str">
        <f t="shared" ref="N31" si="0">+N11</f>
        <v>Basic Charge (3 Phase)</v>
      </c>
      <c r="O31" s="459">
        <v>24.58</v>
      </c>
      <c r="P31" s="459"/>
      <c r="Q31" s="459">
        <v>25.11</v>
      </c>
      <c r="R31" s="248"/>
    </row>
    <row r="32" spans="2:19">
      <c r="B32" s="203">
        <v>200</v>
      </c>
      <c r="D32" s="214">
        <v>200</v>
      </c>
      <c r="E32" s="214">
        <f>ROUND((B$32*D32),0)</f>
        <v>40000</v>
      </c>
      <c r="G32" s="293">
        <f>ROUND(+O$11+IF(E32&gt;20000,20000*O$15+(E32-20000)*O$19,E32*O$15)+IF(B32&gt;50,(B32-50)*O$25,0),0)</f>
        <v>3091</v>
      </c>
      <c r="H32" s="293"/>
      <c r="I32" s="293">
        <f>ROUND(+Q$11+IF(E32&gt;20000,20000*Q$15+(E32-20000)*Q$19,E32*Q$15)+IF(B32&gt;50,(B32-50)*Q$25,0),0)</f>
        <v>3157</v>
      </c>
      <c r="J32" s="293"/>
      <c r="K32" s="210">
        <f>ROUND((I32-G32)/G32,4)</f>
        <v>2.1399999999999999E-2</v>
      </c>
      <c r="L32" s="210"/>
      <c r="M32" s="210"/>
      <c r="N32" s="203" t="str">
        <f>+N13</f>
        <v>Winter kWh - First 20,000</v>
      </c>
      <c r="O32" s="462">
        <v>9.0677999999999995E-2</v>
      </c>
      <c r="P32" s="462"/>
      <c r="Q32" s="462">
        <v>9.2627000000000001E-2</v>
      </c>
      <c r="R32" s="248"/>
    </row>
    <row r="33" spans="2:18">
      <c r="B33" s="203">
        <f>+B32</f>
        <v>200</v>
      </c>
      <c r="D33" s="214">
        <v>300</v>
      </c>
      <c r="E33" s="214">
        <f>ROUND((B$32*D33),0)</f>
        <v>60000</v>
      </c>
      <c r="G33" s="293">
        <f>ROUND(+O$11+IF(E33&gt;20000,20000*O$15+(E33-20000)*O$19,E33*O$15)+IF(B33&gt;50,(B33-50)*O$25,0),0)</f>
        <v>4080</v>
      </c>
      <c r="H33" s="293"/>
      <c r="I33" s="293">
        <f>ROUND(+Q$11+IF(E33&gt;20000,20000*Q$15+(E33-20000)*Q$19,E33*Q$15)+IF(B33&gt;50,(B33-50)*Q$25,0),0)</f>
        <v>4167</v>
      </c>
      <c r="J33" s="293"/>
      <c r="K33" s="210">
        <f>ROUND((I33-G33)/G33,4)</f>
        <v>2.1299999999999999E-2</v>
      </c>
      <c r="L33" s="210"/>
      <c r="M33" s="210"/>
      <c r="N33" s="203" t="str">
        <f>+N14</f>
        <v>Summer kWh - First 20,000</v>
      </c>
      <c r="O33" s="462">
        <v>6.2835000000000002E-2</v>
      </c>
      <c r="P33" s="462"/>
      <c r="Q33" s="462">
        <v>6.4186000000000007E-2</v>
      </c>
      <c r="R33" s="248"/>
    </row>
    <row r="34" spans="2:18">
      <c r="B34" s="203">
        <f>+B33</f>
        <v>200</v>
      </c>
      <c r="D34" s="214">
        <v>500</v>
      </c>
      <c r="E34" s="214">
        <f>ROUND((B$32*D34),0)</f>
        <v>100000</v>
      </c>
      <c r="G34" s="293">
        <f>ROUND(+O$11+IF(E34&gt;20000,20000*O$15+(E34-20000)*O$19,E34*O$15)+IF(B34&gt;50,(B34-50)*O$25,0),0)</f>
        <v>6058</v>
      </c>
      <c r="H34" s="293"/>
      <c r="I34" s="293">
        <f>ROUND(+Q$11+IF(E34&gt;20000,20000*Q$15+(E34-20000)*Q$19,E34*Q$15)+IF(B34&gt;50,(B34-50)*Q$25,0),0)</f>
        <v>6188</v>
      </c>
      <c r="J34" s="293"/>
      <c r="K34" s="210">
        <f>ROUND((I34-G34)/G34,4)</f>
        <v>2.1499999999999998E-2</v>
      </c>
      <c r="L34" s="210"/>
      <c r="M34" s="210"/>
      <c r="N34" s="203" t="s">
        <v>339</v>
      </c>
      <c r="O34" s="462">
        <v>6.5872E-2</v>
      </c>
      <c r="P34" s="462"/>
      <c r="Q34" s="462">
        <v>6.7288000000000001E-2</v>
      </c>
      <c r="R34" s="248"/>
    </row>
    <row r="35" spans="2:18">
      <c r="G35" s="293"/>
      <c r="H35" s="293"/>
      <c r="I35" s="293"/>
      <c r="J35" s="293"/>
      <c r="N35" s="203" t="str">
        <f>+N17</f>
        <v>Winter kWh - Over 20,000</v>
      </c>
      <c r="O35" s="462">
        <v>6.8867999999999999E-2</v>
      </c>
      <c r="P35" s="462"/>
      <c r="Q35" s="462">
        <v>7.0348999999999995E-2</v>
      </c>
      <c r="R35" s="248"/>
    </row>
    <row r="36" spans="2:18">
      <c r="B36" s="203">
        <v>300</v>
      </c>
      <c r="D36" s="214">
        <v>200</v>
      </c>
      <c r="E36" s="214">
        <f>ROUND((B$36*D36),0)</f>
        <v>60000</v>
      </c>
      <c r="G36" s="293">
        <f>ROUND(+O$11+IF(E36&gt;20000,20000*O$15+(E36-20000)*O$19,E36*O$15)+IF(B36&gt;50,(B36-50)*O$25,0),0)</f>
        <v>4649</v>
      </c>
      <c r="H36" s="293"/>
      <c r="I36" s="293">
        <f>ROUND(+Q$11+IF(E36&gt;20000,20000*Q$15+(E36-20000)*Q$19,E36*Q$15)+IF(B36&gt;50,(B36-50)*Q$25,0),0)</f>
        <v>4748</v>
      </c>
      <c r="J36" s="293"/>
      <c r="K36" s="210">
        <f>ROUND((I36-G36)/G36,4)</f>
        <v>2.1299999999999999E-2</v>
      </c>
      <c r="L36" s="210"/>
      <c r="M36" s="210"/>
      <c r="N36" s="203" t="str">
        <f>+N18</f>
        <v>Summer kWh - Over 20,000</v>
      </c>
      <c r="O36" s="462">
        <v>5.3838999999999998E-2</v>
      </c>
      <c r="P36" s="462"/>
      <c r="Q36" s="462">
        <v>5.4996000000000003E-2</v>
      </c>
    </row>
    <row r="37" spans="2:18">
      <c r="B37" s="203">
        <f>+B36</f>
        <v>300</v>
      </c>
      <c r="D37" s="214">
        <v>300</v>
      </c>
      <c r="E37" s="214">
        <f>ROUND((B$36*D37),0)</f>
        <v>90000</v>
      </c>
      <c r="G37" s="293">
        <f>ROUND(+O$11+IF(E37&gt;20000,20000*O$15+(E37-20000)*O$19,E37*O$15)+IF(B37&gt;50,(B37-50)*O$25,0),0)</f>
        <v>6133</v>
      </c>
      <c r="H37" s="293"/>
      <c r="I37" s="293">
        <f>ROUND(+Q$11+IF(E37&gt;20000,20000*Q$15+(E37-20000)*Q$19,E37*Q$15)+IF(B37&gt;50,(B37-50)*Q$25,0),0)</f>
        <v>6264</v>
      </c>
      <c r="J37" s="293"/>
      <c r="K37" s="210">
        <f>ROUND((I37-G37)/G37,4)</f>
        <v>2.1399999999999999E-2</v>
      </c>
      <c r="L37" s="210"/>
      <c r="M37" s="210"/>
      <c r="N37" s="331" t="s">
        <v>340</v>
      </c>
      <c r="O37" s="462">
        <v>5.4168000000000001E-2</v>
      </c>
      <c r="P37" s="462"/>
      <c r="Q37" s="462">
        <v>5.5330999999999998E-2</v>
      </c>
    </row>
    <row r="38" spans="2:18">
      <c r="B38" s="203">
        <f>+B37</f>
        <v>300</v>
      </c>
      <c r="D38" s="214">
        <v>500</v>
      </c>
      <c r="E38" s="214">
        <f>ROUND((B$36*D38),0)</f>
        <v>150000</v>
      </c>
      <c r="G38" s="293">
        <f>ROUND(+O$11+IF(E38&gt;20000,20000*O$15+(E38-20000)*O$19,E38*O$15)+IF(B38&gt;50,(B38-50)*O$25,0),0)</f>
        <v>9100</v>
      </c>
      <c r="H38" s="293"/>
      <c r="I38" s="293">
        <f>ROUND(+Q$11+IF(E38&gt;20000,20000*Q$15+(E38-20000)*Q$19,E38*Q$15)+IF(B38&gt;50,(B38-50)*Q$25,0),0)</f>
        <v>9296</v>
      </c>
      <c r="J38" s="293"/>
      <c r="K38" s="210">
        <f>ROUND((I38-G38)/G38,4)</f>
        <v>2.1499999999999998E-2</v>
      </c>
      <c r="L38" s="210"/>
      <c r="M38" s="210"/>
      <c r="N38" s="203" t="str">
        <f>+N21</f>
        <v>kW - First 50</v>
      </c>
      <c r="O38" s="459">
        <v>0</v>
      </c>
      <c r="P38" s="459"/>
      <c r="Q38" s="459">
        <v>0</v>
      </c>
    </row>
    <row r="39" spans="2:18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27"/>
      <c r="N39" s="203" t="str">
        <f>+N23</f>
        <v>Winter kW - Over 50</v>
      </c>
      <c r="O39" s="459">
        <v>8.94</v>
      </c>
      <c r="P39" s="459"/>
      <c r="Q39" s="459">
        <v>9.1300000000000008</v>
      </c>
    </row>
    <row r="40" spans="2:18">
      <c r="N40" s="203" t="str">
        <f>+N24</f>
        <v>Summer kW - Over 50</v>
      </c>
      <c r="O40" s="459">
        <v>4.4000000000000004</v>
      </c>
      <c r="P40" s="459"/>
      <c r="Q40" s="459">
        <v>4.49</v>
      </c>
    </row>
    <row r="41" spans="2:18">
      <c r="C41" s="205"/>
      <c r="N41" s="203" t="str">
        <f t="shared" ref="N41" si="1">+N25</f>
        <v>Average kW - Over 50</v>
      </c>
      <c r="O41" s="459">
        <v>5.69</v>
      </c>
      <c r="P41" s="459"/>
      <c r="Q41" s="459">
        <v>5.81</v>
      </c>
    </row>
    <row r="42" spans="2:18" ht="15.75">
      <c r="B42" s="250" t="s">
        <v>223</v>
      </c>
      <c r="C42" s="205"/>
      <c r="N42" s="203" t="str">
        <f>+N27</f>
        <v>kVarh</v>
      </c>
      <c r="O42" s="460">
        <v>2.8400000000000001E-3</v>
      </c>
      <c r="P42" s="460"/>
      <c r="Q42" s="460">
        <v>2.8999999999999998E-3</v>
      </c>
    </row>
    <row r="43" spans="2:18" ht="16.5">
      <c r="B43" s="497" t="s">
        <v>574</v>
      </c>
      <c r="C43" s="205"/>
      <c r="O43" s="462"/>
      <c r="P43" s="462"/>
      <c r="Q43" s="462"/>
    </row>
    <row r="44" spans="2:18" ht="16.5">
      <c r="B44" s="336" t="s">
        <v>265</v>
      </c>
      <c r="C44" s="205"/>
      <c r="N44" s="218" t="s">
        <v>233</v>
      </c>
      <c r="O44" s="461">
        <f>+'Sch 95'!E17</f>
        <v>9.9188454347035499E-5</v>
      </c>
      <c r="P44" s="462"/>
      <c r="Q44" s="471">
        <v>0</v>
      </c>
    </row>
    <row r="45" spans="2:18" ht="16.5">
      <c r="B45" s="337" t="s">
        <v>358</v>
      </c>
      <c r="N45" s="218" t="s">
        <v>232</v>
      </c>
      <c r="O45" s="461">
        <f>+'Sch 95a'!E17</f>
        <v>-1.276E-3</v>
      </c>
      <c r="P45" s="462"/>
      <c r="Q45" s="461">
        <f t="shared" ref="Q45:Q68" si="2">+O45</f>
        <v>-1.276E-3</v>
      </c>
    </row>
    <row r="46" spans="2:18" ht="16.5">
      <c r="B46" s="337" t="s">
        <v>495</v>
      </c>
      <c r="N46" s="218" t="s">
        <v>231</v>
      </c>
      <c r="O46" s="461">
        <f>+'Sch 120'!E17</f>
        <v>2.601E-3</v>
      </c>
      <c r="P46" s="462"/>
      <c r="Q46" s="461">
        <f t="shared" si="2"/>
        <v>2.601E-3</v>
      </c>
    </row>
    <row r="47" spans="2:18">
      <c r="B47" s="347"/>
      <c r="N47" s="218" t="s">
        <v>193</v>
      </c>
      <c r="O47" s="461">
        <f>+'Sch 129'!E17</f>
        <v>7.1249170972888752E-4</v>
      </c>
      <c r="P47" s="462"/>
      <c r="Q47" s="461">
        <f t="shared" si="2"/>
        <v>7.1249170972888752E-4</v>
      </c>
    </row>
    <row r="48" spans="2:18">
      <c r="N48" s="220" t="s">
        <v>229</v>
      </c>
      <c r="O48" s="462">
        <f>+'Sch 137'!E17</f>
        <v>-4.8999999999999998E-5</v>
      </c>
      <c r="P48" s="462"/>
      <c r="Q48" s="461">
        <f t="shared" si="2"/>
        <v>-4.8999999999999998E-5</v>
      </c>
    </row>
    <row r="49" spans="14:17">
      <c r="N49" s="220" t="s">
        <v>205</v>
      </c>
      <c r="O49" s="462">
        <f>+'Sch 140'!E17</f>
        <v>2.1359999999999999E-3</v>
      </c>
      <c r="P49" s="462"/>
      <c r="Q49" s="461">
        <f t="shared" si="2"/>
        <v>2.1359999999999999E-3</v>
      </c>
    </row>
    <row r="50" spans="14:17">
      <c r="N50" s="218" t="s">
        <v>249</v>
      </c>
      <c r="O50" s="459">
        <f>+'UE-180899 Sch 141&amp;141x Rates'!$F$55</f>
        <v>8.9999999999999858E-2</v>
      </c>
      <c r="P50" s="459"/>
      <c r="Q50" s="471">
        <v>0</v>
      </c>
    </row>
    <row r="51" spans="14:17">
      <c r="N51" s="218" t="s">
        <v>300</v>
      </c>
      <c r="O51" s="459">
        <f>+'UE-180899 Sch 141&amp;141x Rates'!$F$56</f>
        <v>0.24000000000000199</v>
      </c>
      <c r="P51" s="459"/>
      <c r="Q51" s="471">
        <v>0</v>
      </c>
    </row>
    <row r="52" spans="14:17">
      <c r="N52" s="218" t="s">
        <v>268</v>
      </c>
      <c r="O52" s="462">
        <f>+'UE-180899 Sch 141&amp;141x Rates'!$F$58</f>
        <v>8.8200000000000778E-4</v>
      </c>
      <c r="P52" s="462"/>
      <c r="Q52" s="471">
        <v>0</v>
      </c>
    </row>
    <row r="53" spans="14:17">
      <c r="N53" s="218" t="s">
        <v>267</v>
      </c>
      <c r="O53" s="462">
        <f>+'UE-180899 Sch 141&amp;141x Rates'!$F$60</f>
        <v>6.1100000000000043E-4</v>
      </c>
      <c r="P53" s="462"/>
      <c r="Q53" s="471">
        <v>0</v>
      </c>
    </row>
    <row r="54" spans="14:17">
      <c r="N54" s="218" t="s">
        <v>299</v>
      </c>
      <c r="O54" s="462">
        <f>+'UE-180899 Sch 141&amp;141x Rates'!$F$59</f>
        <v>6.7000000000000393E-4</v>
      </c>
      <c r="P54" s="462"/>
      <c r="Q54" s="471">
        <v>0</v>
      </c>
    </row>
    <row r="55" spans="14:17">
      <c r="N55" s="218" t="s">
        <v>298</v>
      </c>
      <c r="O55" s="462">
        <f>+'UE-180899 Sch 141&amp;141x Rates'!$F$61</f>
        <v>5.2300000000000263E-4</v>
      </c>
      <c r="P55" s="462"/>
      <c r="Q55" s="471">
        <v>0</v>
      </c>
    </row>
    <row r="56" spans="14:17">
      <c r="N56" s="218" t="s">
        <v>502</v>
      </c>
      <c r="O56" s="459">
        <f>+'UE-180899 Sch 141&amp;141x Rates'!$F$64</f>
        <v>8.9999999999999858E-2</v>
      </c>
      <c r="P56" s="459"/>
      <c r="Q56" s="471">
        <v>0</v>
      </c>
    </row>
    <row r="57" spans="14:17">
      <c r="N57" s="218" t="s">
        <v>503</v>
      </c>
      <c r="O57" s="459">
        <f>+'UE-180899 Sch 141&amp;141x Rates'!$F$65</f>
        <v>4.0000000000000036E-2</v>
      </c>
      <c r="P57" s="459"/>
      <c r="Q57" s="471">
        <v>0</v>
      </c>
    </row>
    <row r="58" spans="14:17">
      <c r="N58" s="218" t="s">
        <v>288</v>
      </c>
      <c r="O58" s="460">
        <f>+'UE-180899 Sch 141&amp;141x Rates'!$F$67</f>
        <v>3.0000000000000079E-5</v>
      </c>
      <c r="P58" s="460"/>
      <c r="Q58" s="471">
        <v>0</v>
      </c>
    </row>
    <row r="59" spans="14:17">
      <c r="N59" s="218" t="s">
        <v>481</v>
      </c>
      <c r="O59" s="459">
        <f>+'UE-180899 Sch 141&amp;141x Rates'!$G$55</f>
        <v>-8.9999999999999858E-2</v>
      </c>
      <c r="P59" s="459"/>
      <c r="Q59" s="471">
        <v>0</v>
      </c>
    </row>
    <row r="60" spans="14:17">
      <c r="N60" s="218" t="s">
        <v>498</v>
      </c>
      <c r="O60" s="459">
        <f>+'UE-180899 Sch 141&amp;141x Rates'!$G$56</f>
        <v>-0.24000000000000199</v>
      </c>
      <c r="P60" s="459"/>
      <c r="Q60" s="471">
        <v>0</v>
      </c>
    </row>
    <row r="61" spans="14:17">
      <c r="N61" s="218" t="s">
        <v>487</v>
      </c>
      <c r="O61" s="462">
        <f>+'UE-180899 Sch 141&amp;141x Rates'!$G$58</f>
        <v>-8.8200000000000778E-4</v>
      </c>
      <c r="P61" s="462"/>
      <c r="Q61" s="471">
        <v>0</v>
      </c>
    </row>
    <row r="62" spans="14:17">
      <c r="N62" s="218" t="s">
        <v>488</v>
      </c>
      <c r="O62" s="462">
        <f>+'UE-180899 Sch 141&amp;141x Rates'!$G$60</f>
        <v>-6.1100000000000043E-4</v>
      </c>
      <c r="P62" s="462"/>
      <c r="Q62" s="471">
        <v>0</v>
      </c>
    </row>
    <row r="63" spans="14:17">
      <c r="N63" s="218" t="s">
        <v>499</v>
      </c>
      <c r="O63" s="462">
        <f>+'UE-180899 Sch 141&amp;141x Rates'!$G$59</f>
        <v>-6.7000000000000393E-4</v>
      </c>
      <c r="P63" s="462"/>
      <c r="Q63" s="471">
        <v>0</v>
      </c>
    </row>
    <row r="64" spans="14:17">
      <c r="N64" s="218" t="s">
        <v>500</v>
      </c>
      <c r="O64" s="462">
        <f>+'UE-180899 Sch 141&amp;141x Rates'!$G$61</f>
        <v>-5.2300000000000263E-4</v>
      </c>
      <c r="P64" s="462"/>
      <c r="Q64" s="471">
        <v>0</v>
      </c>
    </row>
    <row r="65" spans="14:17">
      <c r="N65" s="218" t="s">
        <v>504</v>
      </c>
      <c r="O65" s="459">
        <f>+'UE-180899 Sch 141&amp;141x Rates'!$G$64</f>
        <v>-8.9999999999999858E-2</v>
      </c>
      <c r="P65" s="459"/>
      <c r="Q65" s="471">
        <v>0</v>
      </c>
    </row>
    <row r="66" spans="14:17">
      <c r="N66" s="218" t="s">
        <v>505</v>
      </c>
      <c r="O66" s="459">
        <f>+'UE-180899 Sch 141&amp;141x Rates'!$G$65</f>
        <v>-4.0000000000000036E-2</v>
      </c>
      <c r="P66" s="459"/>
      <c r="Q66" s="471">
        <v>0</v>
      </c>
    </row>
    <row r="67" spans="14:17">
      <c r="N67" s="218" t="s">
        <v>496</v>
      </c>
      <c r="O67" s="460">
        <f>+'UE-180899 Sch 141&amp;141x Rates'!$G$67</f>
        <v>-3.0000000000000079E-5</v>
      </c>
      <c r="P67" s="460"/>
      <c r="Q67" s="471">
        <v>0</v>
      </c>
    </row>
    <row r="68" spans="14:17">
      <c r="N68" s="218" t="s">
        <v>477</v>
      </c>
      <c r="O68" s="461">
        <f>+'Sch 141y'!E17</f>
        <v>-8.6700000000000004E-4</v>
      </c>
      <c r="P68" s="462"/>
      <c r="Q68" s="461">
        <f t="shared" si="2"/>
        <v>-8.6700000000000004E-4</v>
      </c>
    </row>
    <row r="69" spans="14:17">
      <c r="N69" s="220" t="s">
        <v>211</v>
      </c>
      <c r="O69" s="462">
        <f>+'Sch 142'!F17</f>
        <v>-6.5700000000000003E-4</v>
      </c>
      <c r="P69" s="462"/>
      <c r="Q69" s="461">
        <f>+O69</f>
        <v>-6.5700000000000003E-4</v>
      </c>
    </row>
    <row r="70" spans="14:17">
      <c r="N70" s="218" t="s">
        <v>297</v>
      </c>
      <c r="O70" s="462">
        <f>+'Sch 194'!E17</f>
        <v>-7.4058380000000005E-3</v>
      </c>
      <c r="P70" s="462"/>
      <c r="Q70" s="462">
        <f>+O70</f>
        <v>-7.4058380000000005E-3</v>
      </c>
    </row>
    <row r="75" spans="14:17">
      <c r="N75" s="216" t="s">
        <v>337</v>
      </c>
      <c r="O75" s="215">
        <f>+'Exhibit No.__(JAP-Prof-Prop)'!Q24</f>
        <v>2.1490162288151291E-2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4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49"/>
  <sheetViews>
    <sheetView topLeftCell="F1" workbookViewId="0"/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7" width="14.28515625" style="203" bestFit="1" customWidth="1"/>
    <col min="18" max="18" width="2.42578125" style="203" customWidth="1"/>
    <col min="19" max="19" width="7.5703125" style="203" customWidth="1"/>
    <col min="20" max="21" width="9.42578125" style="203"/>
    <col min="22" max="22" width="15" style="203" bestFit="1" customWidth="1"/>
    <col min="23" max="23" width="11.5703125" style="203" bestFit="1" customWidth="1"/>
    <col min="24" max="16384" width="9.42578125" style="203"/>
  </cols>
  <sheetData>
    <row r="1" spans="1:19" ht="20.25">
      <c r="B1" s="280" t="s"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91"/>
      <c r="M1" s="291"/>
    </row>
    <row r="2" spans="1:19" ht="20.25">
      <c r="B2" s="280" t="s">
        <v>244</v>
      </c>
      <c r="C2" s="280"/>
      <c r="D2" s="280"/>
      <c r="E2" s="280"/>
      <c r="F2" s="280"/>
      <c r="G2" s="280"/>
      <c r="H2" s="280"/>
      <c r="I2" s="280"/>
      <c r="J2" s="280"/>
      <c r="K2" s="280"/>
      <c r="L2" s="291"/>
      <c r="M2" s="291"/>
    </row>
    <row r="3" spans="1:19" ht="20.25">
      <c r="B3" s="280" t="s">
        <v>308</v>
      </c>
      <c r="C3" s="280"/>
      <c r="D3" s="280"/>
      <c r="E3" s="280"/>
      <c r="F3" s="280"/>
      <c r="G3" s="280"/>
      <c r="H3" s="280"/>
      <c r="I3" s="280"/>
      <c r="J3" s="280"/>
      <c r="K3" s="280"/>
      <c r="L3" s="291"/>
      <c r="M3" s="291"/>
    </row>
    <row r="4" spans="1:19" ht="20.25">
      <c r="B4" s="292" t="s">
        <v>309</v>
      </c>
      <c r="C4" s="280"/>
      <c r="D4" s="280"/>
      <c r="E4" s="280"/>
      <c r="F4" s="280"/>
      <c r="G4" s="280"/>
      <c r="H4" s="280"/>
      <c r="I4" s="280"/>
      <c r="J4" s="280"/>
      <c r="K4" s="280"/>
      <c r="L4" s="291"/>
      <c r="M4" s="291"/>
    </row>
    <row r="5" spans="1:19">
      <c r="A5" s="249"/>
      <c r="B5" s="290"/>
    </row>
    <row r="6" spans="1:19" ht="15.75">
      <c r="A6" s="249"/>
      <c r="B6" s="288" t="s">
        <v>285</v>
      </c>
      <c r="C6" s="253"/>
      <c r="D6" s="253"/>
      <c r="E6" s="253"/>
      <c r="F6" s="253"/>
      <c r="G6" s="538" t="s">
        <v>284</v>
      </c>
      <c r="H6" s="539"/>
      <c r="I6" s="539"/>
      <c r="J6" s="253"/>
      <c r="K6" s="250"/>
      <c r="L6" s="249"/>
      <c r="M6" s="249"/>
    </row>
    <row r="7" spans="1:19" ht="16.5" thickBot="1">
      <c r="A7" s="249"/>
      <c r="B7" s="289" t="s">
        <v>283</v>
      </c>
      <c r="C7" s="277"/>
      <c r="D7" s="288" t="s">
        <v>282</v>
      </c>
      <c r="E7" s="253"/>
      <c r="F7" s="253"/>
      <c r="G7" s="287" t="s">
        <v>281</v>
      </c>
      <c r="H7" s="250"/>
      <c r="I7" s="287" t="s">
        <v>26</v>
      </c>
      <c r="J7" s="253"/>
      <c r="K7" s="277" t="s">
        <v>260</v>
      </c>
      <c r="L7" s="249"/>
      <c r="M7" s="249"/>
    </row>
    <row r="8" spans="1:19" ht="16.5">
      <c r="A8" s="249"/>
      <c r="B8" s="274" t="s">
        <v>280</v>
      </c>
      <c r="C8" s="270"/>
      <c r="D8" s="286" t="s">
        <v>279</v>
      </c>
      <c r="E8" s="274" t="s">
        <v>241</v>
      </c>
      <c r="F8" s="253"/>
      <c r="G8" s="285" t="s">
        <v>353</v>
      </c>
      <c r="H8" s="285"/>
      <c r="I8" s="285" t="s">
        <v>354</v>
      </c>
      <c r="J8" s="253"/>
      <c r="K8" s="275" t="s">
        <v>30</v>
      </c>
      <c r="L8" s="249"/>
      <c r="M8" s="249"/>
      <c r="N8" s="534" t="s">
        <v>257</v>
      </c>
      <c r="O8" s="536"/>
      <c r="P8" s="537" t="s">
        <v>256</v>
      </c>
      <c r="Q8" s="536"/>
      <c r="R8" s="248"/>
    </row>
    <row r="9" spans="1:19" ht="15.75">
      <c r="A9" s="249"/>
      <c r="B9" s="253"/>
      <c r="C9" s="253"/>
      <c r="D9" s="253"/>
      <c r="E9" s="253"/>
      <c r="F9" s="253"/>
      <c r="G9" s="270"/>
      <c r="H9" s="270"/>
      <c r="I9" s="270"/>
      <c r="J9" s="250"/>
      <c r="K9" s="250"/>
      <c r="N9" s="263"/>
      <c r="O9" s="268"/>
      <c r="P9" s="227"/>
      <c r="Q9" s="268"/>
      <c r="R9" s="248"/>
    </row>
    <row r="10" spans="1:19" ht="15.75">
      <c r="A10" s="249"/>
      <c r="B10" s="253">
        <v>350</v>
      </c>
      <c r="C10" s="253"/>
      <c r="D10" s="253">
        <v>300</v>
      </c>
      <c r="E10" s="256">
        <f>ROUND((B$10*D10),0)</f>
        <v>105000</v>
      </c>
      <c r="F10" s="253"/>
      <c r="G10" s="254">
        <f>+O$10+$B10*O$16+$E10*O$12</f>
        <v>9853.2132656429822</v>
      </c>
      <c r="H10" s="254"/>
      <c r="I10" s="254">
        <f>+Q$10+$B10*Q$16+$E10*Q$12</f>
        <v>10113.825494208006</v>
      </c>
      <c r="J10" s="253"/>
      <c r="K10" s="251">
        <f>ROUND((+I10-G10)/G10,3)</f>
        <v>2.5999999999999999E-2</v>
      </c>
      <c r="L10" s="249"/>
      <c r="M10" s="249"/>
      <c r="N10" s="263" t="s">
        <v>253</v>
      </c>
      <c r="O10" s="233">
        <f>SUM(O21,O34,O39)</f>
        <v>343.66</v>
      </c>
      <c r="P10" s="263" t="str">
        <f>+N10</f>
        <v>Basic Charge</v>
      </c>
      <c r="Q10" s="284">
        <f>SUM(Q21,Q34,Q39)</f>
        <v>353.51</v>
      </c>
      <c r="R10" s="260"/>
      <c r="S10" s="226">
        <f>(Q10-O10)/O10</f>
        <v>2.8662049700285065E-2</v>
      </c>
    </row>
    <row r="11" spans="1:19" ht="15.75">
      <c r="A11" s="249"/>
      <c r="B11" s="253">
        <f>+B10</f>
        <v>350</v>
      </c>
      <c r="C11" s="253"/>
      <c r="D11" s="253">
        <v>500</v>
      </c>
      <c r="E11" s="256">
        <f>ROUND((B$10*D11),0)</f>
        <v>175000</v>
      </c>
      <c r="F11" s="253"/>
      <c r="G11" s="254">
        <f>+O$10+$B11*O$16+$E11*O$12</f>
        <v>13934.248776071636</v>
      </c>
      <c r="H11" s="254"/>
      <c r="I11" s="254">
        <f>+Q$10+$B11*Q$16+$E11*Q$12</f>
        <v>14296.702490346675</v>
      </c>
      <c r="J11" s="253"/>
      <c r="K11" s="251">
        <f>ROUND((+I11-G11)/G11,3)</f>
        <v>2.5999999999999999E-2</v>
      </c>
      <c r="L11" s="249"/>
      <c r="M11" s="249"/>
      <c r="N11" s="263"/>
      <c r="O11" s="265"/>
      <c r="P11" s="267"/>
      <c r="Q11" s="265"/>
      <c r="R11" s="248"/>
    </row>
    <row r="12" spans="1:19" ht="15.75">
      <c r="A12" s="249"/>
      <c r="B12" s="253">
        <f>+B11</f>
        <v>350</v>
      </c>
      <c r="C12" s="253"/>
      <c r="D12" s="253">
        <v>700</v>
      </c>
      <c r="E12" s="256">
        <f>ROUND((B$10*D12),0)</f>
        <v>245000</v>
      </c>
      <c r="F12" s="253"/>
      <c r="G12" s="254">
        <f>+O$10+$B12*O$16+$E12*O$12</f>
        <v>18015.284286500289</v>
      </c>
      <c r="H12" s="254"/>
      <c r="I12" s="254">
        <f>+Q$10+$B12*Q$16+$E12*Q$12</f>
        <v>18479.579486485345</v>
      </c>
      <c r="J12" s="253"/>
      <c r="K12" s="251">
        <f>ROUND((+I12-G12)/G12,3)</f>
        <v>2.5999999999999999E-2</v>
      </c>
      <c r="N12" s="264" t="s">
        <v>294</v>
      </c>
      <c r="O12" s="228">
        <f>SUM(O22,O28:O33,O44,O35,O40,O45)</f>
        <v>5.8300507291837923E-2</v>
      </c>
      <c r="P12" s="263" t="str">
        <f>+N12</f>
        <v>kWh - All</v>
      </c>
      <c r="Q12" s="228">
        <f>SUM(Q22,Q28:Q33,Q44,Q35,Q40,Q45)</f>
        <v>5.9755385659123861E-2</v>
      </c>
      <c r="R12" s="248"/>
      <c r="S12" s="226">
        <f>(Q12-O12)/O12</f>
        <v>2.4954814886998772E-2</v>
      </c>
    </row>
    <row r="13" spans="1:19">
      <c r="A13" s="249"/>
      <c r="L13" s="249"/>
      <c r="M13" s="249"/>
      <c r="N13" s="264"/>
      <c r="O13" s="228"/>
      <c r="P13" s="264"/>
      <c r="Q13" s="228"/>
      <c r="R13" s="248"/>
      <c r="S13" s="232"/>
    </row>
    <row r="14" spans="1:19" ht="15.75">
      <c r="A14" s="249"/>
      <c r="B14" s="253">
        <f>+B12+50</f>
        <v>400</v>
      </c>
      <c r="C14" s="253"/>
      <c r="D14" s="253">
        <v>300</v>
      </c>
      <c r="E14" s="256">
        <f>ROUND((B$14*D14),0)</f>
        <v>120000</v>
      </c>
      <c r="F14" s="253"/>
      <c r="G14" s="254">
        <f>+O$10+$B14*O$16+$E14*O$12</f>
        <v>11211.72087502055</v>
      </c>
      <c r="H14" s="254"/>
      <c r="I14" s="254">
        <f>+Q$10+$B14*Q$16+$E14*Q$12</f>
        <v>11508.156279094863</v>
      </c>
      <c r="J14" s="253"/>
      <c r="K14" s="251">
        <f>ROUND((+I14-G14)/G14,3)</f>
        <v>2.5999999999999999E-2</v>
      </c>
      <c r="L14" s="249"/>
      <c r="M14" s="249"/>
      <c r="N14" s="264" t="s">
        <v>293</v>
      </c>
      <c r="O14" s="284">
        <f>SUM(O23,O36,O46,O41)</f>
        <v>11.620000000000001</v>
      </c>
      <c r="P14" s="263" t="str">
        <f>+N14</f>
        <v>Winter kW</v>
      </c>
      <c r="Q14" s="284">
        <f>SUM(Q23,Q36,Q46,Q41)</f>
        <v>11.95</v>
      </c>
      <c r="R14" s="248"/>
      <c r="S14" s="226">
        <f>(Q14-O14)/O14</f>
        <v>2.8399311531841505E-2</v>
      </c>
    </row>
    <row r="15" spans="1:19" ht="15.75">
      <c r="A15" s="249"/>
      <c r="B15" s="253">
        <f>+B14</f>
        <v>400</v>
      </c>
      <c r="C15" s="253"/>
      <c r="D15" s="253">
        <v>500</v>
      </c>
      <c r="E15" s="256">
        <f>ROUND((B$14*D15),0)</f>
        <v>200000</v>
      </c>
      <c r="F15" s="253"/>
      <c r="G15" s="254">
        <f>+O$10+$B15*O$16+$E15*O$12</f>
        <v>15875.761458367584</v>
      </c>
      <c r="H15" s="254"/>
      <c r="I15" s="254">
        <f>+Q$10+$B15*Q$16+$E15*Q$12</f>
        <v>16288.587131824772</v>
      </c>
      <c r="J15" s="253"/>
      <c r="K15" s="251">
        <f>ROUND((+I15-G15)/G15,3)</f>
        <v>2.5999999999999999E-2</v>
      </c>
      <c r="L15" s="249"/>
      <c r="M15" s="249"/>
      <c r="N15" s="264" t="s">
        <v>292</v>
      </c>
      <c r="O15" s="284">
        <f>SUM(O24,O37,O46,O42)</f>
        <v>7.8</v>
      </c>
      <c r="P15" s="263" t="str">
        <f>+N15</f>
        <v>Summer kW</v>
      </c>
      <c r="Q15" s="284">
        <f>SUM(Q24,Q37,Q46,Q42)</f>
        <v>8.02</v>
      </c>
      <c r="R15" s="248"/>
      <c r="S15" s="226">
        <f>(Q15-O15)/O15</f>
        <v>2.8205128205128174E-2</v>
      </c>
    </row>
    <row r="16" spans="1:19" ht="15.75">
      <c r="A16" s="249"/>
      <c r="B16" s="253">
        <f>+B15</f>
        <v>400</v>
      </c>
      <c r="C16" s="253"/>
      <c r="D16" s="253">
        <v>700</v>
      </c>
      <c r="E16" s="256">
        <f>ROUND((B$14*D16),0)</f>
        <v>280000</v>
      </c>
      <c r="F16" s="253"/>
      <c r="G16" s="254">
        <f>+O$10+$B16*O$16+$E16*O$12</f>
        <v>20539.802041714618</v>
      </c>
      <c r="H16" s="254"/>
      <c r="I16" s="254">
        <f>+Q$10+$B16*Q$16+$E16*Q$12</f>
        <v>21069.017984554681</v>
      </c>
      <c r="J16" s="253"/>
      <c r="K16" s="251">
        <f>ROUND((+I16-G16)/G16,3)</f>
        <v>2.5999999999999999E-2</v>
      </c>
      <c r="N16" s="264" t="s">
        <v>291</v>
      </c>
      <c r="O16" s="284">
        <f>ROUND(SUM(O25,O46)+AVERAGE(O36:O37)+AVERAGE(O41:O42),2)</f>
        <v>9.68</v>
      </c>
      <c r="P16" s="263" t="str">
        <f>+N16</f>
        <v>Average kW</v>
      </c>
      <c r="Q16" s="284">
        <f>ROUND(SUM(Q25,Q46)+AVERAGE(Q36:Q37)+AVERAGE(Q41:Q42),2)</f>
        <v>9.9600000000000009</v>
      </c>
      <c r="R16" s="248"/>
      <c r="S16" s="226">
        <f>(Q16-O16)/O16</f>
        <v>2.8925619834710863E-2</v>
      </c>
    </row>
    <row r="17" spans="1:24" ht="15.75">
      <c r="A17" s="249"/>
      <c r="B17" s="253"/>
      <c r="C17" s="253"/>
      <c r="D17" s="253"/>
      <c r="E17" s="253"/>
      <c r="F17" s="253"/>
      <c r="G17" s="254"/>
      <c r="H17" s="254"/>
      <c r="I17" s="254"/>
      <c r="J17" s="250"/>
      <c r="K17" s="252"/>
      <c r="L17" s="249"/>
      <c r="M17" s="249"/>
      <c r="N17" s="263"/>
      <c r="O17" s="228"/>
      <c r="P17" s="263"/>
      <c r="Q17" s="228"/>
      <c r="R17" s="248"/>
    </row>
    <row r="18" spans="1:24" ht="15.75">
      <c r="A18" s="249"/>
      <c r="B18" s="253">
        <f>+B16+100</f>
        <v>500</v>
      </c>
      <c r="C18" s="253"/>
      <c r="D18" s="253">
        <v>300</v>
      </c>
      <c r="E18" s="256">
        <f>ROUND((B$18*D18),0)</f>
        <v>150000</v>
      </c>
      <c r="F18" s="253"/>
      <c r="G18" s="254">
        <f>+O$10+$B18*O$16+$E18*O$12</f>
        <v>13928.736093775688</v>
      </c>
      <c r="H18" s="254"/>
      <c r="I18" s="254">
        <f>+Q$10+$B18*Q$16+$E18*Q$12</f>
        <v>14296.817848868579</v>
      </c>
      <c r="J18" s="253"/>
      <c r="K18" s="251">
        <f>ROUND((+I18-G18)/G18,3)</f>
        <v>2.5999999999999999E-2</v>
      </c>
      <c r="L18" s="249"/>
      <c r="M18" s="249"/>
      <c r="N18" s="263" t="s">
        <v>270</v>
      </c>
      <c r="O18" s="283">
        <f>SUM(O26,O38,O43)</f>
        <v>1.07E-3</v>
      </c>
      <c r="P18" s="263" t="str">
        <f>+N18</f>
        <v>kVarh</v>
      </c>
      <c r="Q18" s="283">
        <f>SUM(Q26,Q38,Q43)</f>
        <v>1.1000000000000001E-3</v>
      </c>
      <c r="R18" s="248"/>
      <c r="S18" s="226">
        <f>(Q18-O18)/O18</f>
        <v>2.8037383177570166E-2</v>
      </c>
    </row>
    <row r="19" spans="1:24" ht="16.5" thickBot="1">
      <c r="A19" s="249"/>
      <c r="B19" s="253">
        <f>+B18</f>
        <v>500</v>
      </c>
      <c r="C19" s="253"/>
      <c r="D19" s="253">
        <v>500</v>
      </c>
      <c r="E19" s="256">
        <f>ROUND((B$18*D19),0)</f>
        <v>250000</v>
      </c>
      <c r="F19" s="253"/>
      <c r="G19" s="254">
        <f>+O$10+$B19*O$16+$E19*O$12</f>
        <v>19758.786822959482</v>
      </c>
      <c r="H19" s="254"/>
      <c r="I19" s="254">
        <f>+Q$10+$B19*Q$16+$E19*Q$12</f>
        <v>20272.356414780967</v>
      </c>
      <c r="J19" s="253"/>
      <c r="K19" s="251">
        <f>ROUND((+I19-G19)/G19,3)</f>
        <v>2.5999999999999999E-2</v>
      </c>
      <c r="L19" s="249"/>
      <c r="M19" s="249"/>
      <c r="N19" s="262" t="s">
        <v>21</v>
      </c>
      <c r="O19" s="261" t="s">
        <v>21</v>
      </c>
      <c r="P19" s="262" t="s">
        <v>21</v>
      </c>
      <c r="Q19" s="261" t="s">
        <v>21</v>
      </c>
      <c r="R19" s="248"/>
    </row>
    <row r="20" spans="1:24" ht="15.75">
      <c r="A20" s="249"/>
      <c r="B20" s="253">
        <f>+B19</f>
        <v>500</v>
      </c>
      <c r="C20" s="253"/>
      <c r="D20" s="253">
        <v>700</v>
      </c>
      <c r="E20" s="256">
        <f>ROUND((B$18*D20),0)</f>
        <v>350000</v>
      </c>
      <c r="F20" s="253"/>
      <c r="G20" s="254">
        <f>+O$10+$B20*O$16+$E20*O$12</f>
        <v>25588.837552143272</v>
      </c>
      <c r="H20" s="254"/>
      <c r="I20" s="254">
        <f>+Q$10+$B20*Q$16+$E20*Q$12</f>
        <v>26247.894980693352</v>
      </c>
      <c r="J20" s="253"/>
      <c r="K20" s="251">
        <f>ROUND((+I20-G20)/G20,3)</f>
        <v>2.5999999999999999E-2</v>
      </c>
      <c r="R20" s="248"/>
    </row>
    <row r="21" spans="1:24" ht="15.75">
      <c r="A21" s="249"/>
      <c r="B21" s="253"/>
      <c r="C21" s="253"/>
      <c r="D21" s="253"/>
      <c r="E21" s="253"/>
      <c r="F21" s="253"/>
      <c r="G21" s="254"/>
      <c r="H21" s="254"/>
      <c r="I21" s="254"/>
      <c r="J21" s="250"/>
      <c r="K21" s="252"/>
      <c r="L21" s="249"/>
      <c r="M21" s="249"/>
      <c r="N21" s="203" t="str">
        <f>+N10</f>
        <v>Basic Charge</v>
      </c>
      <c r="O21" s="459">
        <v>343.66</v>
      </c>
      <c r="P21" s="317"/>
      <c r="Q21" s="459">
        <v>353.51</v>
      </c>
      <c r="R21" s="248"/>
    </row>
    <row r="22" spans="1:24" ht="15.75">
      <c r="A22" s="249"/>
      <c r="B22" s="253">
        <f>+B20+100</f>
        <v>600</v>
      </c>
      <c r="C22" s="253"/>
      <c r="D22" s="253">
        <v>300</v>
      </c>
      <c r="E22" s="256">
        <f>ROUND((B$22*D22),0)</f>
        <v>180000</v>
      </c>
      <c r="F22" s="253"/>
      <c r="G22" s="254">
        <f>+O$10+$B22*O$16+$E22*O$12</f>
        <v>16645.751312530825</v>
      </c>
      <c r="H22" s="254"/>
      <c r="I22" s="254">
        <f>+Q$10+$B22*Q$16+$E22*Q$12</f>
        <v>17085.479418642295</v>
      </c>
      <c r="J22" s="253"/>
      <c r="K22" s="251">
        <f>ROUND((+I22-G22)/G22,3)</f>
        <v>2.5999999999999999E-2</v>
      </c>
      <c r="L22" s="249"/>
      <c r="M22" s="249"/>
      <c r="N22" s="203" t="str">
        <f>+N12</f>
        <v>kWh - All</v>
      </c>
      <c r="O22" s="462">
        <v>5.5014E-2</v>
      </c>
      <c r="P22" s="317"/>
      <c r="Q22" s="462">
        <v>5.6589E-2</v>
      </c>
      <c r="R22" s="248"/>
    </row>
    <row r="23" spans="1:24" ht="15.75">
      <c r="A23" s="249"/>
      <c r="B23" s="253">
        <f>+B22</f>
        <v>600</v>
      </c>
      <c r="C23" s="253"/>
      <c r="D23" s="253">
        <v>500</v>
      </c>
      <c r="E23" s="256">
        <f>ROUND((B$22*D23),0)</f>
        <v>300000</v>
      </c>
      <c r="F23" s="253"/>
      <c r="G23" s="254">
        <f>+O$10+$B23*O$16+$E23*O$12</f>
        <v>23641.812187551375</v>
      </c>
      <c r="H23" s="254"/>
      <c r="I23" s="254">
        <f>+Q$10+$B23*Q$16+$E23*Q$12</f>
        <v>24256.125697737159</v>
      </c>
      <c r="J23" s="253"/>
      <c r="K23" s="251">
        <f>ROUND((+I23-G23)/G23,3)</f>
        <v>2.5999999999999999E-2</v>
      </c>
      <c r="L23" s="249"/>
      <c r="M23" s="249"/>
      <c r="N23" s="203" t="str">
        <f>+N14</f>
        <v>Winter kW</v>
      </c>
      <c r="O23" s="459">
        <v>11.46</v>
      </c>
      <c r="P23" s="317"/>
      <c r="Q23" s="459">
        <v>11.79</v>
      </c>
      <c r="R23" s="248"/>
    </row>
    <row r="24" spans="1:24" ht="15.75">
      <c r="A24" s="249"/>
      <c r="B24" s="253">
        <f>+B23</f>
        <v>600</v>
      </c>
      <c r="C24" s="253"/>
      <c r="D24" s="253">
        <v>700</v>
      </c>
      <c r="E24" s="256">
        <f>ROUND((B$22*D24),0)</f>
        <v>420000</v>
      </c>
      <c r="F24" s="253"/>
      <c r="G24" s="254">
        <f>+O$10+$B24*O$16+$E24*O$12</f>
        <v>30637.873062571929</v>
      </c>
      <c r="H24" s="254"/>
      <c r="I24" s="254">
        <f>+Q$10+$B24*Q$16+$E24*Q$12</f>
        <v>31426.771976832024</v>
      </c>
      <c r="J24" s="253"/>
      <c r="K24" s="251">
        <f>ROUND((+I24-G24)/G24,3)</f>
        <v>2.5999999999999999E-2</v>
      </c>
      <c r="N24" s="203" t="str">
        <f t="shared" ref="N24:N25" si="0">+N15</f>
        <v>Summer kW</v>
      </c>
      <c r="O24" s="459">
        <v>7.64</v>
      </c>
      <c r="P24" s="317"/>
      <c r="Q24" s="459">
        <v>7.86</v>
      </c>
      <c r="R24" s="248"/>
    </row>
    <row r="25" spans="1:24" ht="15.75">
      <c r="A25" s="249"/>
      <c r="B25" s="253"/>
      <c r="C25" s="253"/>
      <c r="D25" s="253"/>
      <c r="E25" s="253"/>
      <c r="F25" s="253"/>
      <c r="G25" s="254"/>
      <c r="H25" s="254"/>
      <c r="I25" s="254"/>
      <c r="J25" s="250"/>
      <c r="K25" s="252"/>
      <c r="L25" s="249"/>
      <c r="M25" s="249"/>
      <c r="N25" s="203" t="str">
        <f t="shared" si="0"/>
        <v>Average kW</v>
      </c>
      <c r="O25" s="459">
        <v>9.52</v>
      </c>
      <c r="P25" s="317"/>
      <c r="Q25" s="459">
        <v>9.8000000000000007</v>
      </c>
      <c r="R25" s="248"/>
    </row>
    <row r="26" spans="1:24" ht="15.75">
      <c r="A26" s="249"/>
      <c r="B26" s="253">
        <f>+B24+100</f>
        <v>700</v>
      </c>
      <c r="C26" s="253"/>
      <c r="D26" s="253">
        <v>300</v>
      </c>
      <c r="E26" s="256">
        <f>ROUND((B$26*D26),0)</f>
        <v>210000</v>
      </c>
      <c r="F26" s="253"/>
      <c r="G26" s="254">
        <f>+O$10+$B26*O$16+$E26*O$12</f>
        <v>19362.766531285964</v>
      </c>
      <c r="H26" s="254"/>
      <c r="I26" s="254">
        <f>+Q$10+$B26*Q$16+$E26*Q$12</f>
        <v>19874.140988416013</v>
      </c>
      <c r="J26" s="253"/>
      <c r="K26" s="251">
        <f>ROUND((+I26-G26)/G26,3)</f>
        <v>2.5999999999999999E-2</v>
      </c>
      <c r="L26" s="249"/>
      <c r="M26" s="249"/>
      <c r="N26" s="203" t="str">
        <f>+N18</f>
        <v>kVarh</v>
      </c>
      <c r="O26" s="460">
        <v>1.07E-3</v>
      </c>
      <c r="P26" s="317"/>
      <c r="Q26" s="460">
        <v>1.1000000000000001E-3</v>
      </c>
      <c r="R26" s="248"/>
    </row>
    <row r="27" spans="1:24" ht="15.75">
      <c r="A27" s="249"/>
      <c r="B27" s="253">
        <f>+B26</f>
        <v>700</v>
      </c>
      <c r="C27" s="253"/>
      <c r="D27" s="253">
        <v>500</v>
      </c>
      <c r="E27" s="256">
        <f>ROUND((B$26*D27),0)</f>
        <v>350000</v>
      </c>
      <c r="F27" s="253"/>
      <c r="G27" s="254">
        <f>+O$10+$B27*O$16+$E27*O$12</f>
        <v>27524.837552143272</v>
      </c>
      <c r="H27" s="254"/>
      <c r="I27" s="254">
        <f>+Q$10+$B27*Q$16+$E27*Q$12</f>
        <v>28239.894980693352</v>
      </c>
      <c r="J27" s="253"/>
      <c r="K27" s="251">
        <f>ROUND((+I27-G27)/G27,3)</f>
        <v>2.5999999999999999E-2</v>
      </c>
      <c r="L27" s="249"/>
      <c r="M27" s="249"/>
      <c r="O27" s="462"/>
      <c r="Q27" s="462"/>
    </row>
    <row r="28" spans="1:24" ht="15.75">
      <c r="A28" s="249"/>
      <c r="B28" s="253">
        <f>+B27</f>
        <v>700</v>
      </c>
      <c r="C28" s="253"/>
      <c r="D28" s="253">
        <v>700</v>
      </c>
      <c r="E28" s="256">
        <f>ROUND((B$26*D28),0)</f>
        <v>490000</v>
      </c>
      <c r="F28" s="253"/>
      <c r="G28" s="254">
        <f>+O$10+$B28*O$16+$E28*O$12</f>
        <v>35686.908573000583</v>
      </c>
      <c r="H28" s="254"/>
      <c r="I28" s="254">
        <f>+Q$10+$B28*Q$16+$E28*Q$12</f>
        <v>36605.648972970695</v>
      </c>
      <c r="J28" s="253"/>
      <c r="K28" s="251">
        <f>ROUND((+I28-G28)/G28,3)</f>
        <v>2.5999999999999999E-2</v>
      </c>
      <c r="N28" s="218" t="s">
        <v>233</v>
      </c>
      <c r="O28" s="461">
        <f>+'Sch 95'!E20</f>
        <v>1.2012163271405909E-4</v>
      </c>
      <c r="P28" s="246"/>
      <c r="Q28" s="471">
        <v>0</v>
      </c>
    </row>
    <row r="29" spans="1:24" ht="15.75">
      <c r="A29" s="249"/>
      <c r="B29" s="253"/>
      <c r="C29" s="253"/>
      <c r="D29" s="253"/>
      <c r="E29" s="253"/>
      <c r="F29" s="253"/>
      <c r="G29" s="254"/>
      <c r="H29" s="254"/>
      <c r="I29" s="254"/>
      <c r="J29" s="250"/>
      <c r="K29" s="252"/>
      <c r="L29" s="249"/>
      <c r="M29" s="249"/>
      <c r="N29" s="218" t="s">
        <v>232</v>
      </c>
      <c r="O29" s="461">
        <f>+'Sch 95a'!E20</f>
        <v>-1.5430000000000001E-3</v>
      </c>
      <c r="P29" s="246"/>
      <c r="Q29" s="461">
        <f t="shared" ref="Q29:Q44" si="1">+O29</f>
        <v>-1.5430000000000001E-3</v>
      </c>
    </row>
    <row r="30" spans="1:24" ht="15.75">
      <c r="A30" s="249"/>
      <c r="B30" s="253">
        <f>+B28+100</f>
        <v>800</v>
      </c>
      <c r="C30" s="253"/>
      <c r="D30" s="253">
        <v>300</v>
      </c>
      <c r="E30" s="256">
        <f>ROUND((B$30*D30),0)</f>
        <v>240000</v>
      </c>
      <c r="F30" s="253"/>
      <c r="G30" s="254">
        <f>+O$10+$B30*O$16+$E30*O$12</f>
        <v>22079.781750041104</v>
      </c>
      <c r="H30" s="254"/>
      <c r="I30" s="254">
        <f>+Q$10+$B30*Q$16+$E30*Q$12</f>
        <v>22662.802558189727</v>
      </c>
      <c r="J30" s="253"/>
      <c r="K30" s="251">
        <f>ROUND((+I30-G30)/G30,3)</f>
        <v>2.5999999999999999E-2</v>
      </c>
      <c r="L30" s="249"/>
      <c r="M30" s="249"/>
      <c r="N30" s="218" t="s">
        <v>231</v>
      </c>
      <c r="O30" s="461">
        <f>+'Sch 120'!E20</f>
        <v>3.1519999999999999E-3</v>
      </c>
      <c r="P30" s="246"/>
      <c r="Q30" s="461">
        <f t="shared" si="1"/>
        <v>3.1519999999999999E-3</v>
      </c>
    </row>
    <row r="31" spans="1:24" ht="15.75">
      <c r="A31" s="249"/>
      <c r="B31" s="253">
        <f>+B30</f>
        <v>800</v>
      </c>
      <c r="C31" s="253"/>
      <c r="D31" s="253">
        <v>500</v>
      </c>
      <c r="E31" s="256">
        <f>ROUND((B$30*D31),0)</f>
        <v>400000</v>
      </c>
      <c r="F31" s="253"/>
      <c r="G31" s="254">
        <f>+O$10+$B31*O$16+$E31*O$12</f>
        <v>31407.862916735168</v>
      </c>
      <c r="H31" s="254"/>
      <c r="I31" s="254">
        <f>+Q$10+$B31*Q$16+$E31*Q$12</f>
        <v>32223.664263649545</v>
      </c>
      <c r="J31" s="253"/>
      <c r="K31" s="251">
        <f>ROUND((+I31-G31)/G31,3)</f>
        <v>2.5999999999999999E-2</v>
      </c>
      <c r="L31" s="249"/>
      <c r="M31" s="249"/>
      <c r="N31" s="218" t="s">
        <v>193</v>
      </c>
      <c r="O31" s="461">
        <f>+'Sch 129'!E20</f>
        <v>7.0438565912385356E-4</v>
      </c>
      <c r="P31" s="246"/>
      <c r="Q31" s="461">
        <f t="shared" si="1"/>
        <v>7.0438565912385356E-4</v>
      </c>
      <c r="V31" s="246" t="s">
        <v>626</v>
      </c>
      <c r="W31" s="246"/>
      <c r="X31" s="203" t="s">
        <v>630</v>
      </c>
    </row>
    <row r="32" spans="1:24" ht="15.75">
      <c r="A32" s="249"/>
      <c r="B32" s="253">
        <f>+B31</f>
        <v>800</v>
      </c>
      <c r="C32" s="253"/>
      <c r="D32" s="253">
        <v>700</v>
      </c>
      <c r="E32" s="256">
        <f>ROUND((B$30*D32),0)</f>
        <v>560000</v>
      </c>
      <c r="F32" s="253"/>
      <c r="G32" s="254">
        <f>+O$10+$B32*O$16+$E32*O$12</f>
        <v>40735.944083429233</v>
      </c>
      <c r="H32" s="254"/>
      <c r="I32" s="254">
        <f>+Q$10+$B32*Q$16+$E32*Q$12</f>
        <v>41784.525969109367</v>
      </c>
      <c r="J32" s="253"/>
      <c r="K32" s="251">
        <f>ROUND((+I32-G32)/G32,3)</f>
        <v>2.5999999999999999E-2</v>
      </c>
      <c r="N32" s="220" t="s">
        <v>229</v>
      </c>
      <c r="O32" s="462">
        <f>+'Sch 137'!E20</f>
        <v>-5.8999999999999998E-5</v>
      </c>
      <c r="P32" s="246"/>
      <c r="Q32" s="462">
        <f t="shared" si="1"/>
        <v>-5.8999999999999998E-5</v>
      </c>
      <c r="V32" s="246" t="s">
        <v>253</v>
      </c>
      <c r="W32" s="316">
        <f>O10</f>
        <v>343.66</v>
      </c>
    </row>
    <row r="33" spans="1:24" ht="15.75">
      <c r="A33" s="249"/>
      <c r="B33" s="253"/>
      <c r="C33" s="253"/>
      <c r="D33" s="253"/>
      <c r="E33" s="253"/>
      <c r="F33" s="253"/>
      <c r="G33" s="254"/>
      <c r="H33" s="254"/>
      <c r="I33" s="254"/>
      <c r="J33" s="250"/>
      <c r="K33" s="252"/>
      <c r="L33" s="249"/>
      <c r="M33" s="249"/>
      <c r="N33" s="220" t="s">
        <v>205</v>
      </c>
      <c r="O33" s="462">
        <f>+'Sch 140'!E20</f>
        <v>1.9780000000000002E-3</v>
      </c>
      <c r="P33" s="246"/>
      <c r="Q33" s="462">
        <f t="shared" si="1"/>
        <v>1.9780000000000002E-3</v>
      </c>
      <c r="V33" s="246" t="s">
        <v>627</v>
      </c>
      <c r="W33" s="260">
        <f>O12*X33</f>
        <v>8745.0760937756877</v>
      </c>
      <c r="X33" s="203">
        <v>150000</v>
      </c>
    </row>
    <row r="34" spans="1:24" ht="15.75">
      <c r="A34" s="249"/>
      <c r="B34" s="253">
        <f>+B32+200</f>
        <v>1000</v>
      </c>
      <c r="C34" s="253"/>
      <c r="D34" s="253">
        <v>300</v>
      </c>
      <c r="E34" s="256">
        <f>ROUND((B$34*D34),0)</f>
        <v>300000</v>
      </c>
      <c r="F34" s="253"/>
      <c r="G34" s="254">
        <f>+O$10+$B34*O$16+$E34*O$12</f>
        <v>27513.812187551375</v>
      </c>
      <c r="H34" s="254"/>
      <c r="I34" s="254">
        <f>+Q$10+$B34*Q$16+$E34*Q$12</f>
        <v>28240.125697737159</v>
      </c>
      <c r="J34" s="253"/>
      <c r="K34" s="251">
        <f>ROUND((+I34-G34)/G34,3)</f>
        <v>2.5999999999999999E-2</v>
      </c>
      <c r="L34" s="249"/>
      <c r="M34" s="249"/>
      <c r="N34" s="218" t="s">
        <v>269</v>
      </c>
      <c r="O34" s="459">
        <f>+'UE-180899 Sch 141&amp;141x Rates'!$F$70</f>
        <v>3.339999999999975</v>
      </c>
      <c r="P34" s="246"/>
      <c r="Q34" s="471">
        <v>0</v>
      </c>
      <c r="V34" s="203" t="s">
        <v>628</v>
      </c>
      <c r="W34" s="316">
        <f>O16*X34</f>
        <v>5808</v>
      </c>
      <c r="X34" s="203">
        <v>600</v>
      </c>
    </row>
    <row r="35" spans="1:24" ht="15.75">
      <c r="A35" s="249"/>
      <c r="B35" s="253">
        <f>+B34</f>
        <v>1000</v>
      </c>
      <c r="C35" s="253"/>
      <c r="D35" s="253">
        <v>500</v>
      </c>
      <c r="E35" s="256">
        <f>ROUND((B$34*D35),0)</f>
        <v>500000</v>
      </c>
      <c r="F35" s="253"/>
      <c r="G35" s="254">
        <f>+O$10+$B35*O$16+$E35*O$12</f>
        <v>39173.913645918961</v>
      </c>
      <c r="H35" s="254"/>
      <c r="I35" s="254">
        <f>+Q$10+$B35*Q$16+$E35*Q$12</f>
        <v>40191.202829561931</v>
      </c>
      <c r="J35" s="253"/>
      <c r="K35" s="251">
        <f>ROUND((+I35-G35)/G35,3)</f>
        <v>2.5999999999999999E-2</v>
      </c>
      <c r="L35" s="249"/>
      <c r="M35" s="249"/>
      <c r="N35" s="218" t="s">
        <v>311</v>
      </c>
      <c r="O35" s="462">
        <f>+'UE-180899 Sch 141&amp;141x Rates'!$F$72</f>
        <v>5.4200000000000081E-4</v>
      </c>
      <c r="Q35" s="471">
        <v>0</v>
      </c>
      <c r="V35" s="203" t="s">
        <v>629</v>
      </c>
      <c r="W35" s="316">
        <f>O18*X35</f>
        <v>1070</v>
      </c>
      <c r="X35" s="203">
        <v>1000000</v>
      </c>
    </row>
    <row r="36" spans="1:24" ht="15.75">
      <c r="A36" s="249"/>
      <c r="B36" s="253">
        <f>+B35</f>
        <v>1000</v>
      </c>
      <c r="C36" s="253"/>
      <c r="D36" s="253">
        <v>700</v>
      </c>
      <c r="E36" s="256">
        <f>ROUND((B$34*D36),0)</f>
        <v>700000</v>
      </c>
      <c r="F36" s="253"/>
      <c r="G36" s="254">
        <f>+O$10+$B36*O$16+$E36*O$12</f>
        <v>50834.015104286547</v>
      </c>
      <c r="H36" s="254"/>
      <c r="I36" s="254">
        <f>+Q$10+$B36*Q$16+$E36*Q$12</f>
        <v>52142.279961386703</v>
      </c>
      <c r="J36" s="253"/>
      <c r="K36" s="251">
        <f>ROUND((+I36-G36)/G36,3)</f>
        <v>2.5999999999999999E-2</v>
      </c>
      <c r="N36" s="218" t="s">
        <v>290</v>
      </c>
      <c r="O36" s="459">
        <f>+'UE-180899 Sch 141&amp;141x Rates'!$F$74</f>
        <v>0.10999999999999943</v>
      </c>
      <c r="P36" s="246"/>
      <c r="Q36" s="471">
        <v>0</v>
      </c>
    </row>
    <row r="37" spans="1:24" ht="15.75">
      <c r="A37" s="249"/>
      <c r="B37" s="282"/>
      <c r="C37" s="282"/>
      <c r="D37" s="282"/>
      <c r="E37" s="282"/>
      <c r="F37" s="282"/>
      <c r="G37" s="282"/>
      <c r="H37" s="282"/>
      <c r="I37" s="282"/>
      <c r="J37" s="281"/>
      <c r="K37" s="281"/>
      <c r="L37" s="249"/>
      <c r="M37" s="249"/>
      <c r="N37" s="218" t="s">
        <v>289</v>
      </c>
      <c r="O37" s="459">
        <f>+'UE-180899 Sch 141&amp;141x Rates'!$F$75</f>
        <v>7.0000000000000284E-2</v>
      </c>
      <c r="P37" s="246"/>
      <c r="Q37" s="471">
        <v>0</v>
      </c>
    </row>
    <row r="38" spans="1:24" ht="15.7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N38" s="218" t="s">
        <v>288</v>
      </c>
      <c r="O38" s="460">
        <f>+'UE-180899 Sch 141&amp;141x Rates'!$F$77</f>
        <v>1.0000000000000026E-5</v>
      </c>
      <c r="P38" s="246"/>
      <c r="Q38" s="471">
        <v>0</v>
      </c>
    </row>
    <row r="39" spans="1:24" ht="15.75">
      <c r="B39" s="250" t="s">
        <v>223</v>
      </c>
      <c r="C39" s="250"/>
      <c r="D39" s="250"/>
      <c r="E39" s="250"/>
      <c r="F39" s="250"/>
      <c r="G39" s="250"/>
      <c r="H39" s="250"/>
      <c r="I39" s="250"/>
      <c r="J39" s="250"/>
      <c r="K39" s="250"/>
      <c r="N39" s="218" t="s">
        <v>490</v>
      </c>
      <c r="O39" s="459">
        <f>+'UE-180899 Sch 141&amp;141x Rates'!$G$70</f>
        <v>-3.339999999999975</v>
      </c>
      <c r="Q39" s="471">
        <v>0</v>
      </c>
    </row>
    <row r="40" spans="1:24" ht="16.5">
      <c r="B40" s="497" t="s">
        <v>574</v>
      </c>
      <c r="C40" s="250"/>
      <c r="D40" s="250"/>
      <c r="E40" s="250"/>
      <c r="F40" s="250"/>
      <c r="G40" s="250"/>
      <c r="H40" s="250"/>
      <c r="I40" s="250"/>
      <c r="J40" s="250"/>
      <c r="K40" s="250"/>
      <c r="N40" s="218" t="s">
        <v>497</v>
      </c>
      <c r="O40" s="462">
        <f>+'UE-180899 Sch 141&amp;141x Rates'!$G$72</f>
        <v>-5.4200000000000081E-4</v>
      </c>
      <c r="Q40" s="471">
        <v>0</v>
      </c>
    </row>
    <row r="41" spans="1:24" ht="16.5">
      <c r="A41" s="249"/>
      <c r="B41" s="336" t="s">
        <v>350</v>
      </c>
      <c r="N41" s="218" t="s">
        <v>491</v>
      </c>
      <c r="O41" s="459">
        <f>+'UE-180899 Sch 141&amp;141x Rates'!$G$74</f>
        <v>-0.10999999999999943</v>
      </c>
      <c r="Q41" s="471">
        <v>0</v>
      </c>
    </row>
    <row r="42" spans="1:24" ht="16.5">
      <c r="A42" s="249"/>
      <c r="B42" s="347" t="s">
        <v>358</v>
      </c>
      <c r="N42" s="218" t="s">
        <v>492</v>
      </c>
      <c r="O42" s="459">
        <f>+'UE-180899 Sch 141&amp;141x Rates'!$G$75</f>
        <v>-7.0000000000000284E-2</v>
      </c>
      <c r="Q42" s="471">
        <v>0</v>
      </c>
    </row>
    <row r="43" spans="1:24" ht="16.5">
      <c r="A43" s="249"/>
      <c r="B43" s="347" t="s">
        <v>495</v>
      </c>
      <c r="N43" s="218" t="s">
        <v>496</v>
      </c>
      <c r="O43" s="460">
        <f>+'UE-180899 Sch 141&amp;141x Rates'!$G$77</f>
        <v>-1.0000000000000026E-5</v>
      </c>
      <c r="Q43" s="471">
        <v>0</v>
      </c>
    </row>
    <row r="44" spans="1:24">
      <c r="A44" s="249"/>
      <c r="N44" s="218" t="s">
        <v>477</v>
      </c>
      <c r="O44" s="462">
        <f>+'Sch 141y'!E20</f>
        <v>-8.12E-4</v>
      </c>
      <c r="Q44" s="462">
        <f t="shared" si="1"/>
        <v>-8.12E-4</v>
      </c>
    </row>
    <row r="45" spans="1:24">
      <c r="A45" s="249"/>
      <c r="N45" s="218" t="s">
        <v>310</v>
      </c>
      <c r="O45" s="462">
        <f>+'Sch 142'!F21</f>
        <v>-2.5399999999999999E-4</v>
      </c>
      <c r="P45" s="317"/>
      <c r="Q45" s="462">
        <f>+O45</f>
        <v>-2.5399999999999999E-4</v>
      </c>
    </row>
    <row r="46" spans="1:24">
      <c r="A46" s="249"/>
      <c r="N46" s="220" t="s">
        <v>287</v>
      </c>
      <c r="O46" s="459">
        <f>+'Sch 142'!G20</f>
        <v>0.16</v>
      </c>
      <c r="P46" s="316"/>
      <c r="Q46" s="459">
        <f>+O46</f>
        <v>0.16</v>
      </c>
    </row>
    <row r="47" spans="1:24">
      <c r="A47" s="249"/>
    </row>
    <row r="48" spans="1:24">
      <c r="A48" s="249"/>
    </row>
    <row r="49" spans="1:15">
      <c r="A49" s="249"/>
      <c r="N49" s="216" t="s">
        <v>337</v>
      </c>
      <c r="O49" s="215">
        <f>+'Exhibit No.__(JAP-Prof-Prop)'!Q28</f>
        <v>2.8674045018187436E-2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workbookViewId="0"/>
  </sheetViews>
  <sheetFormatPr defaultColWidth="9.42578125" defaultRowHeight="15"/>
  <cols>
    <col min="1" max="1" width="2.28515625" style="203" customWidth="1"/>
    <col min="2" max="2" width="11.7109375" style="203" customWidth="1"/>
    <col min="3" max="3" width="12.42578125" style="203" bestFit="1" customWidth="1"/>
    <col min="4" max="4" width="3.5703125" style="203" customWidth="1"/>
    <col min="5" max="5" width="9.7109375" style="203" bestFit="1" customWidth="1"/>
    <col min="6" max="6" width="4.140625" style="203" customWidth="1"/>
    <col min="7" max="7" width="15.5703125" style="203" bestFit="1" customWidth="1"/>
    <col min="8" max="8" width="3.85546875" style="203" customWidth="1"/>
    <col min="9" max="9" width="15.5703125" style="203" bestFit="1" customWidth="1"/>
    <col min="10" max="10" width="3.28515625" style="203" customWidth="1"/>
    <col min="11" max="11" width="9.42578125" style="203" bestFit="1" customWidth="1"/>
    <col min="12" max="12" width="3.85546875" style="301" customWidth="1"/>
    <col min="13" max="13" width="34.7109375" style="203" bestFit="1" customWidth="1"/>
    <col min="14" max="14" width="15.28515625" style="203" bestFit="1" customWidth="1"/>
    <col min="15" max="15" width="9" style="203" bestFit="1" customWidth="1"/>
    <col min="16" max="16" width="16.7109375" style="203" bestFit="1" customWidth="1"/>
    <col min="17" max="17" width="3.42578125" style="203" customWidth="1"/>
    <col min="18" max="18" width="7.7109375" style="203" bestFit="1" customWidth="1"/>
    <col min="19" max="16384" width="9.42578125" style="203"/>
  </cols>
  <sheetData>
    <row r="1" spans="1:18" ht="18.75"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</row>
    <row r="2" spans="1:18" ht="18.75">
      <c r="B2" s="300" t="s">
        <v>244</v>
      </c>
      <c r="C2" s="300"/>
      <c r="D2" s="300"/>
      <c r="E2" s="300"/>
      <c r="F2" s="300"/>
      <c r="G2" s="300"/>
      <c r="H2" s="300"/>
      <c r="I2" s="300"/>
      <c r="J2" s="300"/>
      <c r="K2" s="300"/>
    </row>
    <row r="3" spans="1:18" ht="18.75">
      <c r="B3" s="300" t="s">
        <v>318</v>
      </c>
      <c r="C3" s="300"/>
      <c r="D3" s="300"/>
      <c r="E3" s="300"/>
      <c r="F3" s="300"/>
      <c r="G3" s="300"/>
      <c r="H3" s="300"/>
      <c r="I3" s="300"/>
      <c r="J3" s="300"/>
      <c r="K3" s="300"/>
    </row>
    <row r="4" spans="1:18" ht="18.75"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8" ht="18.75">
      <c r="B5" s="300"/>
      <c r="C5" s="300"/>
      <c r="D5" s="300"/>
      <c r="E5" s="300"/>
      <c r="F5" s="300"/>
      <c r="G5" s="300"/>
      <c r="H5" s="300"/>
      <c r="I5" s="300"/>
      <c r="J5" s="300"/>
      <c r="K5" s="300"/>
    </row>
    <row r="6" spans="1:18" ht="18.75">
      <c r="A6" s="313"/>
      <c r="B6" s="247"/>
      <c r="C6" s="247"/>
      <c r="D6" s="247"/>
      <c r="E6" s="247"/>
      <c r="F6" s="247"/>
      <c r="G6" s="247"/>
      <c r="H6" s="247"/>
      <c r="I6" s="247"/>
      <c r="J6" s="247"/>
    </row>
    <row r="7" spans="1:18" ht="18.75">
      <c r="A7" s="313"/>
      <c r="B7" s="247"/>
      <c r="C7" s="247"/>
      <c r="D7" s="247"/>
      <c r="E7" s="247"/>
      <c r="F7" s="247"/>
      <c r="G7" s="247"/>
      <c r="H7" s="247"/>
      <c r="I7" s="247"/>
      <c r="J7" s="247"/>
    </row>
    <row r="9" spans="1:18" ht="15.75">
      <c r="B9" s="312" t="s">
        <v>317</v>
      </c>
      <c r="G9" s="538" t="s">
        <v>316</v>
      </c>
      <c r="H9" s="539"/>
      <c r="I9" s="539"/>
    </row>
    <row r="10" spans="1:18" ht="15.75" thickBot="1">
      <c r="B10" s="298" t="s">
        <v>283</v>
      </c>
      <c r="C10" s="311" t="s">
        <v>315</v>
      </c>
      <c r="G10" s="247" t="s">
        <v>25</v>
      </c>
      <c r="I10" s="247" t="s">
        <v>314</v>
      </c>
      <c r="K10" s="247" t="s">
        <v>260</v>
      </c>
    </row>
    <row r="11" spans="1:18" ht="16.5">
      <c r="B11" s="297" t="s">
        <v>280</v>
      </c>
      <c r="C11" s="296" t="s">
        <v>279</v>
      </c>
      <c r="D11" s="294"/>
      <c r="E11" s="240" t="s">
        <v>241</v>
      </c>
      <c r="F11" s="294"/>
      <c r="G11" s="285" t="s">
        <v>356</v>
      </c>
      <c r="H11" s="285"/>
      <c r="I11" s="285" t="s">
        <v>355</v>
      </c>
      <c r="K11" s="310" t="s">
        <v>30</v>
      </c>
      <c r="M11" s="309"/>
      <c r="N11" s="308" t="s">
        <v>257</v>
      </c>
      <c r="O11" s="307"/>
      <c r="P11" s="463" t="s">
        <v>256</v>
      </c>
    </row>
    <row r="12" spans="1:18">
      <c r="G12" s="296"/>
      <c r="H12" s="294"/>
      <c r="I12" s="296"/>
      <c r="M12" s="263"/>
      <c r="N12" s="227"/>
      <c r="O12" s="227"/>
      <c r="P12" s="306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3">
        <f>ROUND(IF($B$13&gt;4400,$B$13*N$13,4400*$N$13)+$E13*N$14,0)</f>
        <v>29177</v>
      </c>
      <c r="H13" s="293"/>
      <c r="I13" s="293">
        <f>ROUND(IF($B$13&gt;4400,$B$13*P$13,4400*$N$13)+$E13*P$14,0)</f>
        <v>29332</v>
      </c>
      <c r="K13" s="210">
        <f>(I13-G13)/G13</f>
        <v>5.3124036055797377E-3</v>
      </c>
      <c r="M13" s="264" t="s">
        <v>313</v>
      </c>
      <c r="N13" s="234">
        <f>SUM(N17,N27,N29)</f>
        <v>2.95</v>
      </c>
      <c r="O13" s="267"/>
      <c r="P13" s="284">
        <f>SUM(P17,P27,P29)</f>
        <v>3.01</v>
      </c>
      <c r="R13" s="226">
        <f>(P13-N13)/N13</f>
        <v>2.0338983050847324E-2</v>
      </c>
    </row>
    <row r="14" spans="1:18">
      <c r="C14" s="203">
        <v>500</v>
      </c>
      <c r="E14" s="214">
        <f>ROUND((B$13*C14),0)</f>
        <v>500000</v>
      </c>
      <c r="F14" s="214"/>
      <c r="G14" s="293">
        <f>ROUND(IF($B$13&gt;4400,$B$13*N$13,4400*$N$13)+$E14*N$14,0)</f>
        <v>39975</v>
      </c>
      <c r="H14" s="293"/>
      <c r="I14" s="293">
        <f>ROUND(IF($B$13&gt;4400,$B$13*P$13,4400*$N$13)+$E14*P$14,0)</f>
        <v>40233</v>
      </c>
      <c r="K14" s="210">
        <f>(I14-G14)/G14</f>
        <v>6.4540337711069418E-3</v>
      </c>
      <c r="M14" s="264" t="s">
        <v>312</v>
      </c>
      <c r="N14" s="230">
        <f>SUM(N18,N20:N26,N28,N30,N31)</f>
        <v>5.3989662844324104E-2</v>
      </c>
      <c r="O14" s="267"/>
      <c r="P14" s="228">
        <f>SUM(P18,P20:P26,P28,P30,P31)</f>
        <v>5.4505301285254056E-2</v>
      </c>
      <c r="R14" s="226">
        <f>(P14-N14)/N14</f>
        <v>9.5506882941047994E-3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3">
        <f>ROUND(IF($B$13&gt;4400,$B$13*N$13,4400*$N$13)+$E15*N$14,0)</f>
        <v>50773</v>
      </c>
      <c r="H15" s="293"/>
      <c r="I15" s="293">
        <f>ROUND(IF($B$13&gt;4400,$B$13*P$13,4400*$N$13)+$E15*P$14,0)</f>
        <v>51134</v>
      </c>
      <c r="K15" s="210">
        <f>(I15-G15)/G15</f>
        <v>7.1100781911645951E-3</v>
      </c>
      <c r="M15" s="305" t="s">
        <v>21</v>
      </c>
      <c r="N15" s="304" t="s">
        <v>21</v>
      </c>
      <c r="O15" s="223"/>
      <c r="P15" s="303" t="s">
        <v>21</v>
      </c>
    </row>
    <row r="16" spans="1:18">
      <c r="G16" s="293"/>
      <c r="H16" s="293"/>
      <c r="I16" s="293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3">
        <f>ROUND(IF($B$17&gt;4400,$B$17*N$13,4400*$N$13)+$E17*N$14,0)</f>
        <v>45374</v>
      </c>
      <c r="H17" s="293"/>
      <c r="I17" s="293">
        <f>ROUND(IF($B$17&gt;4400,$B$17*P$13,4400*$N$13)+$E17*P$14,0)</f>
        <v>45683</v>
      </c>
      <c r="K17" s="210">
        <f>(I17-G17)/G17</f>
        <v>6.8100674395027991E-3</v>
      </c>
      <c r="M17" s="203" t="str">
        <f>+M13</f>
        <v>Demand ($ per kVa)</v>
      </c>
      <c r="N17" s="316">
        <v>2.95</v>
      </c>
      <c r="P17" s="248">
        <v>3.01</v>
      </c>
    </row>
    <row r="18" spans="2:16">
      <c r="C18" s="203">
        <v>500</v>
      </c>
      <c r="E18" s="214">
        <f>ROUND((B$17*C18),0)</f>
        <v>1000000</v>
      </c>
      <c r="F18" s="214"/>
      <c r="G18" s="293">
        <f>ROUND(IF($B$17&gt;4400,$B$17*N$13,4400*$N$13)+$E18*N$14,0)</f>
        <v>66970</v>
      </c>
      <c r="H18" s="293"/>
      <c r="I18" s="293">
        <f>ROUND(IF($B$17&gt;4400,$B$17*P$13,4400*$N$13)+$E18*P$14,0)</f>
        <v>67485</v>
      </c>
      <c r="K18" s="210">
        <f>(I18-G18)/G18</f>
        <v>7.6900104524413914E-3</v>
      </c>
      <c r="M18" s="203" t="str">
        <f>+M14</f>
        <v>Energy ($ per kWh)</v>
      </c>
      <c r="N18" s="461">
        <v>5.0738999999999999E-2</v>
      </c>
      <c r="O18" s="461"/>
      <c r="P18" s="461">
        <v>5.1811999999999997E-2</v>
      </c>
    </row>
    <row r="19" spans="2:16">
      <c r="C19" s="203">
        <v>700</v>
      </c>
      <c r="E19" s="214">
        <f>ROUND((B$17*C19),0)</f>
        <v>1400000</v>
      </c>
      <c r="F19" s="214"/>
      <c r="G19" s="293">
        <f>ROUND(IF($B$17&gt;4400,$B$17*N$13,4400*$N$13)+$E19*N$14,0)</f>
        <v>88566</v>
      </c>
      <c r="H19" s="293"/>
      <c r="I19" s="293">
        <f>ROUND(IF($B$17&gt;4400,$B$17*P$13,4400*$N$13)+$E19*P$14,0)</f>
        <v>89287</v>
      </c>
      <c r="K19" s="210">
        <f>(I19-G19)/G19</f>
        <v>8.1408215342230646E-3</v>
      </c>
    </row>
    <row r="20" spans="2:16">
      <c r="G20" s="293"/>
      <c r="H20" s="293"/>
      <c r="I20" s="293"/>
      <c r="K20" s="210"/>
      <c r="M20" s="218" t="s">
        <v>233</v>
      </c>
      <c r="N20" s="461">
        <f>+'Sch 95'!E27</f>
        <v>5.5736155907004864E-4</v>
      </c>
      <c r="O20" s="246"/>
      <c r="P20" s="471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3">
        <f>ROUND(IF($B$21&gt;4400,$B$21*N$13,4400*$N$13)+$E21*N$14,0)</f>
        <v>77768</v>
      </c>
      <c r="H21" s="293"/>
      <c r="I21" s="293">
        <f>ROUND(IF($B$21&gt;4400,$B$21*P$13,4400*$N$13)+$E21*P$14,0)</f>
        <v>78386</v>
      </c>
      <c r="K21" s="210">
        <f>(I21-G21)/G21</f>
        <v>7.9467133011007097E-3</v>
      </c>
      <c r="M21" s="218" t="s">
        <v>232</v>
      </c>
      <c r="N21" s="461">
        <f>+'Sch 95a'!E26</f>
        <v>-9.9700000000000006E-4</v>
      </c>
      <c r="O21" s="246"/>
      <c r="P21" s="461">
        <f t="shared" ref="P21:P30" si="0">+N21</f>
        <v>-9.9700000000000006E-4</v>
      </c>
    </row>
    <row r="22" spans="2:16">
      <c r="C22" s="203">
        <v>500</v>
      </c>
      <c r="E22" s="214">
        <f>ROUND((B$21*C22),0)</f>
        <v>2000000</v>
      </c>
      <c r="F22" s="214"/>
      <c r="G22" s="293">
        <f>ROUND(IF($B$21&gt;4400,$B$21*N$13,4400*$N$13)+$E22*N$14,0)</f>
        <v>120959</v>
      </c>
      <c r="H22" s="293"/>
      <c r="I22" s="293">
        <f>ROUND(IF($B$21&gt;4400,$B$21*P$13,4400*$N$13)+$E22*P$14,0)</f>
        <v>121991</v>
      </c>
      <c r="K22" s="210">
        <f>(I22-G22)/G22</f>
        <v>8.5318165659438328E-3</v>
      </c>
      <c r="M22" s="218" t="s">
        <v>231</v>
      </c>
      <c r="N22" s="461">
        <f>+'Sch 120'!E26</f>
        <v>2.0509999999999999E-3</v>
      </c>
      <c r="O22" s="246"/>
      <c r="P22" s="461">
        <f t="shared" si="0"/>
        <v>2.0509999999999999E-3</v>
      </c>
    </row>
    <row r="23" spans="2:16">
      <c r="C23" s="203">
        <v>700</v>
      </c>
      <c r="E23" s="214">
        <f>ROUND((B$21*C23),0)</f>
        <v>2800000</v>
      </c>
      <c r="F23" s="214"/>
      <c r="G23" s="293">
        <f>ROUND(IF($B$21&gt;4400,$B$21*N$13,4400*$N$13)+$E23*N$14,0)</f>
        <v>164151</v>
      </c>
      <c r="H23" s="293"/>
      <c r="I23" s="293">
        <f>ROUND(IF($B$21&gt;4400,$B$21*P$13,4400*$N$13)+$E23*P$14,0)</f>
        <v>165595</v>
      </c>
      <c r="K23" s="210">
        <f>(I23-G23)/G23</f>
        <v>8.7967785758234791E-3</v>
      </c>
      <c r="M23" s="218" t="s">
        <v>193</v>
      </c>
      <c r="N23" s="461">
        <f>+'Sch 129'!E26</f>
        <v>5.8830128525407031E-4</v>
      </c>
      <c r="O23" s="246"/>
      <c r="P23" s="461">
        <f t="shared" si="0"/>
        <v>5.8830128525407031E-4</v>
      </c>
    </row>
    <row r="24" spans="2:16">
      <c r="G24" s="293"/>
      <c r="H24" s="293"/>
      <c r="I24" s="293"/>
      <c r="K24" s="210"/>
      <c r="M24" s="220" t="s">
        <v>229</v>
      </c>
      <c r="N24" s="462">
        <f>+'Sch 137'!E26</f>
        <v>-3.8000000000000002E-5</v>
      </c>
      <c r="O24" s="246"/>
      <c r="P24" s="461">
        <f t="shared" si="0"/>
        <v>-3.8000000000000002E-5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3">
        <f>ROUND(IF($B$25&gt;4400,$B$25*N$13,4400*$N$13)+$E25*N$14,0)</f>
        <v>114881</v>
      </c>
      <c r="H25" s="293"/>
      <c r="I25" s="293">
        <f>ROUND(IF($B$25&gt;4400,$B$25*P$13,4400*$N$13)+$E25*P$14,0)</f>
        <v>116170</v>
      </c>
      <c r="K25" s="210">
        <f>(I25-G25)/G25</f>
        <v>1.1220306229924879E-2</v>
      </c>
      <c r="M25" s="220" t="s">
        <v>205</v>
      </c>
      <c r="N25" s="462">
        <f>+'Sch 140'!E26</f>
        <v>1.5579999999999999E-3</v>
      </c>
      <c r="O25" s="246"/>
      <c r="P25" s="461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3">
        <f>ROUND(IF($B$25&gt;4400,$B$25*N$13,4400*$N$13)+$E26*N$14,0)</f>
        <v>179669</v>
      </c>
      <c r="H26" s="293"/>
      <c r="I26" s="293">
        <f>ROUND(IF($B$25&gt;4400,$B$25*P$13,4400*$N$13)+$E26*P$14,0)</f>
        <v>181576</v>
      </c>
      <c r="K26" s="210">
        <f>(I26-G26)/G26</f>
        <v>1.0613962341861979E-2</v>
      </c>
      <c r="M26" s="218" t="s">
        <v>311</v>
      </c>
      <c r="N26" s="462">
        <f>+'UE-180899 Sch 141&amp;141x Rates'!$F$80</f>
        <v>5.0000000000000044E-4</v>
      </c>
      <c r="O26" s="246"/>
      <c r="P26" s="471">
        <v>0</v>
      </c>
    </row>
    <row r="27" spans="2:16">
      <c r="C27" s="203">
        <v>700</v>
      </c>
      <c r="E27" s="214">
        <f>ROUND((B$25*C27),0)</f>
        <v>4200000</v>
      </c>
      <c r="F27" s="214"/>
      <c r="G27" s="293">
        <f>ROUND(IF($B$25&gt;4400,$B$25*N$13,4400*$N$13)+$E27*N$14,0)</f>
        <v>244457</v>
      </c>
      <c r="H27" s="293"/>
      <c r="I27" s="293">
        <f>ROUND(IF($B$25&gt;4400,$B$25*P$13,4400*$N$13)+$E27*P$14,0)</f>
        <v>246982</v>
      </c>
      <c r="K27" s="210">
        <f>(I27-G27)/G27</f>
        <v>1.0329014918779172E-2</v>
      </c>
      <c r="M27" s="218" t="s">
        <v>506</v>
      </c>
      <c r="N27" s="459">
        <f>+'UE-180899 Sch 141&amp;141x Rates'!$F$82</f>
        <v>2.9999999999999805E-2</v>
      </c>
      <c r="O27" s="246"/>
      <c r="P27" s="471">
        <v>0</v>
      </c>
    </row>
    <row r="28" spans="2:16">
      <c r="E28" s="214"/>
      <c r="F28" s="214"/>
      <c r="G28" s="293"/>
      <c r="H28" s="293"/>
      <c r="I28" s="293"/>
      <c r="K28" s="210"/>
      <c r="M28" s="218" t="s">
        <v>497</v>
      </c>
      <c r="N28" s="462">
        <f>+'UE-180899 Sch 141&amp;141x Rates'!$G$80</f>
        <v>-5.0000000000000044E-4</v>
      </c>
      <c r="P28" s="471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3">
        <f>ROUND(IF($B$29&gt;4400,$B$29*N$13,4400*$N$13)+$E29*N$14,0)</f>
        <v>153175</v>
      </c>
      <c r="H29" s="293"/>
      <c r="I29" s="293">
        <f>ROUND(IF($B$29&gt;4400,$B$29*P$13,4400*$N$13)+$E29*P$14,0)</f>
        <v>154893</v>
      </c>
      <c r="K29" s="210">
        <f>(I29-G29)/G29</f>
        <v>1.1215929492410641E-2</v>
      </c>
      <c r="M29" s="218" t="s">
        <v>507</v>
      </c>
      <c r="N29" s="459">
        <f>+'UE-180899 Sch 141&amp;141x Rates'!$G$82</f>
        <v>-2.9999999999999805E-2</v>
      </c>
      <c r="P29" s="471">
        <v>0</v>
      </c>
    </row>
    <row r="30" spans="2:16">
      <c r="C30" s="203">
        <v>500</v>
      </c>
      <c r="E30" s="214">
        <f>ROUND((B$29*C30),0)</f>
        <v>4000000</v>
      </c>
      <c r="F30" s="214"/>
      <c r="G30" s="293">
        <f>ROUND(IF($B$29&gt;4400,$B$29*N$13,4400*$N$13)+$E30*N$14,0)</f>
        <v>239559</v>
      </c>
      <c r="H30" s="293"/>
      <c r="I30" s="293">
        <f>ROUND(IF($B$29&gt;4400,$B$29*P$13,4400*$N$13)+$E30*P$14,0)</f>
        <v>242101</v>
      </c>
      <c r="K30" s="210">
        <f>(I30-G30)/G30</f>
        <v>1.0611164681769418E-2</v>
      </c>
      <c r="M30" s="218" t="s">
        <v>477</v>
      </c>
      <c r="N30" s="462">
        <f>+'Sch 141y'!E26</f>
        <v>-6.5300000000000004E-4</v>
      </c>
      <c r="P30" s="461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3">
        <f>ROUND(IF($B$29&gt;4400,$B$29*N$13,4400*$N$13)+$E31*N$14,0)</f>
        <v>325942</v>
      </c>
      <c r="H31" s="293"/>
      <c r="I31" s="293">
        <f>ROUND(IF($B$29&gt;4400,$B$29*P$13,4400*$N$13)+$E31*P$14,0)</f>
        <v>329310</v>
      </c>
      <c r="K31" s="210">
        <f>(I31-G31)/G31</f>
        <v>1.0333126752612429E-2</v>
      </c>
      <c r="M31" s="220" t="s">
        <v>310</v>
      </c>
      <c r="N31" s="461">
        <f>+'Sch 142'!F26</f>
        <v>1.84E-4</v>
      </c>
      <c r="O31" s="246"/>
      <c r="P31" s="461">
        <f>+N31</f>
        <v>1.84E-4</v>
      </c>
    </row>
    <row r="32" spans="2:16">
      <c r="E32" s="214"/>
      <c r="F32" s="214"/>
      <c r="G32" s="293"/>
      <c r="H32" s="293"/>
      <c r="I32" s="293"/>
      <c r="K32" s="210"/>
    </row>
    <row r="33" spans="2:14">
      <c r="B33" s="214">
        <v>10000</v>
      </c>
      <c r="C33" s="203">
        <v>300</v>
      </c>
      <c r="E33" s="214">
        <f>ROUND((B$33*C33),0)</f>
        <v>3000000</v>
      </c>
      <c r="F33" s="214"/>
      <c r="G33" s="293">
        <f>ROUND(IF($B$33&gt;4400,$B$33*N$13,4400*$N$13)+$E33*N$14,0)</f>
        <v>191469</v>
      </c>
      <c r="H33" s="293"/>
      <c r="I33" s="293">
        <f>ROUND(IF($B$33&gt;4400,$B$33*P$13,4400*$N$13)+$E33*P$14,0)</f>
        <v>193616</v>
      </c>
      <c r="K33" s="210">
        <f>(I33-G33)/G33</f>
        <v>1.1213303459045589E-2</v>
      </c>
    </row>
    <row r="34" spans="2:14">
      <c r="C34" s="203">
        <v>500</v>
      </c>
      <c r="E34" s="214">
        <f>ROUND((B$33*C34),0)</f>
        <v>5000000</v>
      </c>
      <c r="F34" s="214"/>
      <c r="G34" s="293">
        <f>ROUND(IF($B$33&gt;4400,$B$33*N$13,4400*$N$13)+$E34*N$14,0)</f>
        <v>299448</v>
      </c>
      <c r="H34" s="293"/>
      <c r="I34" s="293">
        <f>ROUND(IF($B$33&gt;4400,$B$33*P$13,4400*$N$13)+$E34*P$14,0)</f>
        <v>302627</v>
      </c>
      <c r="K34" s="210">
        <f>(I34-G34)/G34</f>
        <v>1.0616200475541663E-2</v>
      </c>
    </row>
    <row r="35" spans="2:14">
      <c r="C35" s="203">
        <v>700</v>
      </c>
      <c r="E35" s="214">
        <f>ROUND((B$33*C35),0)</f>
        <v>7000000</v>
      </c>
      <c r="F35" s="214"/>
      <c r="G35" s="293">
        <f>ROUND(IF($B$33&gt;4400,$B$33*N$13,4400*$N$13)+$E35*N$14,0)</f>
        <v>407428</v>
      </c>
      <c r="H35" s="293"/>
      <c r="I35" s="293">
        <f>ROUND(IF($B$33&gt;4400,$B$33*P$13,4400*$N$13)+$E35*P$14,0)</f>
        <v>411637</v>
      </c>
      <c r="K35" s="210">
        <f>(I35-G35)/G35</f>
        <v>1.033065965029404E-2</v>
      </c>
    </row>
    <row r="36" spans="2:14"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M36" s="216" t="s">
        <v>337</v>
      </c>
      <c r="N36" s="215">
        <f>+'Exhibit No.__(JAP-Prof-Prop)'!Q34</f>
        <v>2.0969336680001477E-2</v>
      </c>
    </row>
    <row r="37" spans="2:14">
      <c r="M37" s="216"/>
      <c r="N37" s="215"/>
    </row>
    <row r="39" spans="2:14" ht="16.5">
      <c r="B39" s="497" t="s">
        <v>347</v>
      </c>
    </row>
    <row r="40" spans="2:14" ht="16.5">
      <c r="B40" s="336" t="s">
        <v>357</v>
      </c>
    </row>
    <row r="41" spans="2:14" ht="16.5">
      <c r="B41" s="336" t="s">
        <v>358</v>
      </c>
    </row>
    <row r="42" spans="2:14">
      <c r="B42" s="336"/>
    </row>
    <row r="43" spans="2:14">
      <c r="B43" s="205"/>
    </row>
    <row r="44" spans="2:14">
      <c r="B44" s="205"/>
    </row>
    <row r="45" spans="2:14">
      <c r="B45" s="205"/>
    </row>
    <row r="46" spans="2:14">
      <c r="B46" s="205"/>
    </row>
    <row r="47" spans="2:14">
      <c r="B47" s="205"/>
    </row>
    <row r="48" spans="2:14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947F78-2C27-435A-AE06-CE97DF60EB4F}">
  <ds:schemaRefs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0689114-bdb9-4146-803a-240f5368dce0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1B25F4-CCA6-4A82-BF72-70971CB4E8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E3B39-80D4-4B6A-A4E0-140BE6B744E9}"/>
</file>

<file path=customXml/itemProps4.xml><?xml version="1.0" encoding="utf-8"?>
<ds:datastoreItem xmlns:ds="http://schemas.openxmlformats.org/officeDocument/2006/customXml" ds:itemID="{677C7BD5-A78C-4397-B409-6DBC4962F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&amp; Rider Impacts</vt:lpstr>
      <vt:lpstr>Exhibit No.__(JAP-Prof-Prop)</vt:lpstr>
      <vt:lpstr>Sch 95</vt:lpstr>
      <vt:lpstr>Sch 95a</vt:lpstr>
      <vt:lpstr>Sch 120</vt:lpstr>
      <vt:lpstr>Sch 129</vt:lpstr>
      <vt:lpstr>Sch 137</vt:lpstr>
      <vt:lpstr>Sch 140</vt:lpstr>
      <vt:lpstr>Sch 141</vt:lpstr>
      <vt:lpstr>Sch 141x</vt:lpstr>
      <vt:lpstr>Sch 141y</vt:lpstr>
      <vt:lpstr>Sch 142</vt:lpstr>
      <vt:lpstr>Sch 194</vt:lpstr>
      <vt:lpstr>Final Rider-Tracker Filings</vt:lpstr>
      <vt:lpstr>UE-190223 Sch 95</vt:lpstr>
      <vt:lpstr>UE-180887 Sch 95a</vt:lpstr>
      <vt:lpstr>UE-190149 Sch 120</vt:lpstr>
      <vt:lpstr>UE-180739 Sch 129</vt:lpstr>
      <vt:lpstr>UE-180978 Sch 137</vt:lpstr>
      <vt:lpstr>UE-190227 Sch 140</vt:lpstr>
      <vt:lpstr>UE-180899 Sch 141&amp;141x Avg Rate</vt:lpstr>
      <vt:lpstr>UE-180899 Sch 141&amp;141x Rates</vt:lpstr>
      <vt:lpstr>UE-190220 Sch 141y</vt:lpstr>
      <vt:lpstr>UE-190231 Sch 142</vt:lpstr>
      <vt:lpstr>UE-170946 Sch 194</vt:lpstr>
      <vt:lpstr>'Exhibit No.__(JAP-Sch 7 Imp)'!Print_Area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prasan</dc:creator>
  <dc:description/>
  <cp:lastModifiedBy>Ball, Jason (UTC)</cp:lastModifiedBy>
  <cp:lastPrinted>2019-11-21T21:33:45Z</cp:lastPrinted>
  <dcterms:created xsi:type="dcterms:W3CDTF">2016-12-27T22:31:24Z</dcterms:created>
  <dcterms:modified xsi:type="dcterms:W3CDTF">2019-11-21T21:34:22Z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