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barnd\AppData\Local\Box\Box Edit\Documents\kAdj4grOjUqvPVTSIWK1rQ==\"/>
    </mc:Choice>
  </mc:AlternateContent>
  <xr:revisionPtr revIDLastSave="0" documentId="13_ncr:1_{B84E9976-D0FC-48C7-AB51-608B7B41800E}" xr6:coauthVersionLast="47" xr6:coauthVersionMax="47" xr10:uidLastSave="{00000000-0000-0000-0000-000000000000}"/>
  <bookViews>
    <workbookView xWindow="-120" yWindow="-120" windowWidth="29040" windowHeight="15840" activeTab="1" xr2:uid="{00000000-000D-0000-FFFF-FFFF00000000}"/>
  </bookViews>
  <sheets>
    <sheet name="NO-2 Communities Serv." sheetId="5" r:id="rId1"/>
    <sheet name="NO-2 Comm Serv._HICs" sheetId="2" r:id="rId2"/>
    <sheet name="NO-2 Communities_Poverty " sheetId="4" r:id="rId3"/>
    <sheet name="NO-2Non-English_Limited English" sheetId="3" r:id="rId4"/>
  </sheets>
  <definedNames>
    <definedName name="_xlnm._FilterDatabase" localSheetId="1" hidden="1">'NO-2 Comm Serv._HICs'!$B$2:$U$56</definedName>
    <definedName name="_xlnm._FilterDatabase" localSheetId="0" hidden="1">'NO-2 Communities Serv.'!$B$2:$U$56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3" i="5" l="1"/>
  <c r="U52" i="5"/>
  <c r="E52" i="5"/>
  <c r="U51" i="5"/>
  <c r="E51" i="5"/>
  <c r="U50" i="5"/>
  <c r="E50" i="5"/>
  <c r="U49" i="5"/>
  <c r="E49" i="5"/>
  <c r="U48" i="5"/>
  <c r="E48" i="5"/>
  <c r="U47" i="5"/>
  <c r="E47" i="5"/>
  <c r="U46" i="5"/>
  <c r="E46" i="5"/>
  <c r="U45" i="5"/>
  <c r="E45" i="5"/>
  <c r="U44" i="5"/>
  <c r="E44" i="5"/>
  <c r="U43" i="5"/>
  <c r="E43" i="5"/>
  <c r="U42" i="5"/>
  <c r="E42" i="5"/>
  <c r="U41" i="5"/>
  <c r="E41" i="5"/>
  <c r="U40" i="5"/>
  <c r="E40" i="5"/>
  <c r="U39" i="5"/>
  <c r="E39" i="5"/>
  <c r="U38" i="5"/>
  <c r="E38" i="5"/>
  <c r="U37" i="5"/>
  <c r="E37" i="5"/>
  <c r="U36" i="5"/>
  <c r="E36" i="5"/>
  <c r="U35" i="5"/>
  <c r="E35" i="5"/>
  <c r="U34" i="5"/>
  <c r="E34" i="5"/>
  <c r="U33" i="5"/>
  <c r="E33" i="5"/>
  <c r="U32" i="5"/>
  <c r="E32" i="5"/>
  <c r="U31" i="5"/>
  <c r="E31" i="5"/>
  <c r="U30" i="5"/>
  <c r="E30" i="5"/>
  <c r="U29" i="5"/>
  <c r="E29" i="5"/>
  <c r="U28" i="5"/>
  <c r="E28" i="5"/>
  <c r="U27" i="5"/>
  <c r="E27" i="5"/>
  <c r="U26" i="5"/>
  <c r="E26" i="5"/>
  <c r="U25" i="5"/>
  <c r="E25" i="5"/>
  <c r="U24" i="5"/>
  <c r="E24" i="5"/>
  <c r="U23" i="5"/>
  <c r="E23" i="5"/>
  <c r="U22" i="5"/>
  <c r="E22" i="5"/>
  <c r="U21" i="5"/>
  <c r="E21" i="5"/>
  <c r="U20" i="5"/>
  <c r="E20" i="5"/>
  <c r="U19" i="5"/>
  <c r="E19" i="5"/>
  <c r="U18" i="5"/>
  <c r="U17" i="5"/>
  <c r="E17" i="5"/>
  <c r="U16" i="5"/>
  <c r="E16" i="5"/>
  <c r="U15" i="5"/>
  <c r="E15" i="5"/>
  <c r="U14" i="5"/>
  <c r="E14" i="5"/>
  <c r="U13" i="5"/>
  <c r="E13" i="5"/>
  <c r="U12" i="5"/>
  <c r="E12" i="5"/>
  <c r="U11" i="5"/>
  <c r="E11" i="5"/>
  <c r="U10" i="5"/>
  <c r="E10" i="5"/>
  <c r="U9" i="5"/>
  <c r="U8" i="5"/>
  <c r="E8" i="5"/>
  <c r="U7" i="5"/>
  <c r="E7" i="5"/>
  <c r="U6" i="5"/>
  <c r="E6" i="5"/>
  <c r="U5" i="5"/>
  <c r="E5" i="5"/>
  <c r="U4" i="5"/>
  <c r="E4" i="5"/>
  <c r="U3" i="5"/>
  <c r="E3" i="5"/>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4" i="2"/>
  <c r="U5" i="2"/>
  <c r="U6" i="2"/>
  <c r="U7" i="2"/>
  <c r="U8" i="2"/>
  <c r="F53" i="2"/>
  <c r="U10" i="2"/>
  <c r="U9" i="2"/>
  <c r="U3" i="2"/>
  <c r="E4" i="2"/>
  <c r="E34" i="2"/>
  <c r="E45" i="2"/>
  <c r="E5" i="2"/>
  <c r="E26" i="2"/>
  <c r="E25" i="2"/>
  <c r="E23" i="2"/>
  <c r="E35" i="2"/>
  <c r="E42" i="2"/>
  <c r="E31" i="2"/>
  <c r="E13" i="2"/>
  <c r="E43" i="2"/>
  <c r="E27" i="2"/>
  <c r="E41" i="2"/>
  <c r="E40" i="2"/>
  <c r="E36" i="2"/>
  <c r="E33" i="2"/>
  <c r="E22" i="2"/>
  <c r="E32" i="2"/>
  <c r="E52" i="2"/>
  <c r="E12" i="2"/>
  <c r="E3" i="2"/>
  <c r="E24" i="2"/>
  <c r="E39" i="2"/>
  <c r="E16" i="2"/>
  <c r="E11" i="2"/>
  <c r="E10" i="2"/>
  <c r="E20" i="2"/>
  <c r="E14" i="2"/>
  <c r="E37" i="2"/>
  <c r="E21" i="2"/>
  <c r="E8" i="2"/>
  <c r="E28" i="2"/>
  <c r="E15" i="2"/>
  <c r="E19" i="2"/>
  <c r="E38" i="2"/>
  <c r="E30" i="2"/>
  <c r="E29" i="2"/>
  <c r="E6" i="2"/>
  <c r="E7" i="2"/>
  <c r="E47" i="2"/>
  <c r="E44" i="2"/>
  <c r="E50" i="2"/>
  <c r="E51" i="2"/>
  <c r="E48" i="2"/>
  <c r="E46" i="2"/>
  <c r="E49" i="2"/>
  <c r="E17" i="2"/>
</calcChain>
</file>

<file path=xl/sharedStrings.xml><?xml version="1.0" encoding="utf-8"?>
<sst xmlns="http://schemas.openxmlformats.org/spreadsheetml/2006/main" count="1008" uniqueCount="99">
  <si>
    <t>Zone#</t>
  </si>
  <si>
    <t>Named County</t>
  </si>
  <si>
    <t>State</t>
  </si>
  <si>
    <t>City/Town</t>
  </si>
  <si>
    <t xml:space="preserve">Economic Disadvantage %  </t>
  </si>
  <si>
    <t>Population #</t>
  </si>
  <si>
    <t>Race/Ethnicity</t>
  </si>
  <si>
    <t>Percentage</t>
  </si>
  <si>
    <t xml:space="preserve">Total </t>
  </si>
  <si>
    <t>Adams County</t>
  </si>
  <si>
    <t>WA</t>
  </si>
  <si>
    <t>Othello</t>
  </si>
  <si>
    <t>Hispanic</t>
  </si>
  <si>
    <t>White</t>
  </si>
  <si>
    <t>Asian</t>
  </si>
  <si>
    <t xml:space="preserve">Benton County </t>
  </si>
  <si>
    <t>West Richland</t>
  </si>
  <si>
    <t>Multi-Race</t>
  </si>
  <si>
    <t>American Indian</t>
  </si>
  <si>
    <t>Black</t>
  </si>
  <si>
    <t>Pacific Islander</t>
  </si>
  <si>
    <t>Richland</t>
  </si>
  <si>
    <t>Kennewick</t>
  </si>
  <si>
    <t>Prosser</t>
  </si>
  <si>
    <t>Chelan County</t>
  </si>
  <si>
    <t xml:space="preserve">Wenatchee </t>
  </si>
  <si>
    <t>Cowlitz County</t>
  </si>
  <si>
    <t>Castle Rock</t>
  </si>
  <si>
    <t>Kelso</t>
  </si>
  <si>
    <t>Longview</t>
  </si>
  <si>
    <t>Woodland</t>
  </si>
  <si>
    <t>Kalama</t>
  </si>
  <si>
    <t>Douglas County</t>
  </si>
  <si>
    <t xml:space="preserve">East Wenatchee </t>
  </si>
  <si>
    <t>Franklin County</t>
  </si>
  <si>
    <t>Pasco</t>
  </si>
  <si>
    <t>Grant County</t>
  </si>
  <si>
    <t>Moses Lake</t>
  </si>
  <si>
    <t>Quincy</t>
  </si>
  <si>
    <t xml:space="preserve">Wheeler </t>
  </si>
  <si>
    <t>N/A</t>
  </si>
  <si>
    <t>Grays Harbor County</t>
  </si>
  <si>
    <t>Aberdeen</t>
  </si>
  <si>
    <t>Elma</t>
  </si>
  <si>
    <t>Hoquiam</t>
  </si>
  <si>
    <t>McCleary</t>
  </si>
  <si>
    <t>Montesano</t>
  </si>
  <si>
    <t>Island County</t>
  </si>
  <si>
    <t>Oak Harbor</t>
  </si>
  <si>
    <t>Kitsap</t>
  </si>
  <si>
    <t>Port Orchard</t>
  </si>
  <si>
    <t>Poulsbo</t>
  </si>
  <si>
    <t>Bremerton</t>
  </si>
  <si>
    <t>Mason County</t>
  </si>
  <si>
    <t xml:space="preserve">Shelton </t>
  </si>
  <si>
    <t>Skagit County</t>
  </si>
  <si>
    <t>Burlington</t>
  </si>
  <si>
    <t>Mt.Vernon</t>
  </si>
  <si>
    <t>La Conner</t>
  </si>
  <si>
    <t>Sedro-Woolley</t>
  </si>
  <si>
    <t>Anacortes</t>
  </si>
  <si>
    <t>Snohomish</t>
  </si>
  <si>
    <t>Stanwood</t>
  </si>
  <si>
    <t>Marysville</t>
  </si>
  <si>
    <t>Snohomish County</t>
  </si>
  <si>
    <t>Arlington</t>
  </si>
  <si>
    <t xml:space="preserve">Walla Walla County </t>
  </si>
  <si>
    <t>College Place</t>
  </si>
  <si>
    <t>Walla Walla</t>
  </si>
  <si>
    <t>Whatcom</t>
  </si>
  <si>
    <t>Nooksack**</t>
  </si>
  <si>
    <t>Bellingham</t>
  </si>
  <si>
    <t>Blaine</t>
  </si>
  <si>
    <t>Lynden</t>
  </si>
  <si>
    <t>Ferndale</t>
  </si>
  <si>
    <t xml:space="preserve">Yakima County </t>
  </si>
  <si>
    <t>Grandview</t>
  </si>
  <si>
    <t>Selah</t>
  </si>
  <si>
    <t>Granger</t>
  </si>
  <si>
    <t>Moxee</t>
  </si>
  <si>
    <t>Sunnyside</t>
  </si>
  <si>
    <t>Toppenish</t>
  </si>
  <si>
    <t>Union Gap</t>
  </si>
  <si>
    <t>Wapato</t>
  </si>
  <si>
    <t>Zillah</t>
  </si>
  <si>
    <t>Economic Range</t>
  </si>
  <si>
    <t>80%-98%</t>
  </si>
  <si>
    <t>50%-79%</t>
  </si>
  <si>
    <t>**Includes Sumas &amp; Everson data</t>
  </si>
  <si>
    <t>Resources:</t>
  </si>
  <si>
    <t>Economically Disadvantaged Cities, Towns, and Counties in Washington State (2021–23)</t>
  </si>
  <si>
    <t>Information by Location | Washington Tracking Network (WTN)</t>
  </si>
  <si>
    <t>SAIPE (census.gov)</t>
  </si>
  <si>
    <t>Social-economic data | Office of Financial Management (wa.gov)</t>
  </si>
  <si>
    <t>https://www.consumerfinance.gov/compliance/compliance-resources/mortgage-resources/rural-and-underserved-counties-list/</t>
  </si>
  <si>
    <r>
      <rPr>
        <b/>
        <sz val="11"/>
        <color rgb="FF000000"/>
        <rFont val="Calibri"/>
        <family val="2"/>
        <scheme val="minor"/>
      </rPr>
      <t>Vulnerable Populations:</t>
    </r>
    <r>
      <rPr>
        <sz val="11"/>
        <color rgb="FF000000"/>
        <rFont val="Calibri"/>
        <family val="2"/>
        <scheme val="minor"/>
      </rPr>
      <t xml:space="preserve"> Communities that are more likely to be at higher risk for poor health outcomes in response to environmental harms, due to: (i) Adverse socioeconomic factors, such as unemployment, high housing and transportation costs relative to income, limited access to nutritious food and adequate health care, linguistic isolation, and other factors that negatively affect health outcomes and increase vulnerability to the effects of environmental harms; and (ii) sensitivity factors, such as low birth weight and higher rates of hospitalization.
(b) "Vulnerable populations" includes, but is not limited to:
(i) Racial or ethnic minorities;
(ii) Low-income populations;
(iii) Populations disproportionately impacted by environmental harms; and
(iv) Populations of workers experiencing environmental harms.</t>
    </r>
  </si>
  <si>
    <t>Amarican Indian</t>
  </si>
  <si>
    <t>Poverty - Individuals Living Below Poverty Level</t>
  </si>
  <si>
    <t xml:space="preserve">Non-English/ Limited English Speaking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</si>
</sst>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rgb="FF000000"/>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1"/>
      <name val="Calibri"/>
      <family val="2"/>
      <scheme val="minor"/>
    </font>
    <font>
      <b/>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48">
    <xf numFmtId="0" fontId="0" fillId="0" borderId="0" xfId="0"/>
    <xf numFmtId="0" fontId="2" fillId="0" borderId="0" xfId="0" applyFont="1"/>
    <xf numFmtId="9" fontId="2" fillId="0" borderId="0" xfId="1" applyFont="1"/>
    <xf numFmtId="0" fontId="2" fillId="0" borderId="1" xfId="0" applyFont="1" applyBorder="1"/>
    <xf numFmtId="9" fontId="2" fillId="2" borderId="0" xfId="1" applyFont="1" applyFill="1"/>
    <xf numFmtId="0" fontId="2" fillId="2" borderId="0" xfId="0" applyFont="1" applyFill="1"/>
    <xf numFmtId="0" fontId="0" fillId="0" borderId="1" xfId="0" applyBorder="1"/>
    <xf numFmtId="9" fontId="1" fillId="0" borderId="1" xfId="1" applyFont="1" applyBorder="1"/>
    <xf numFmtId="9" fontId="1" fillId="2" borderId="1" xfId="1" applyFont="1" applyFill="1" applyBorder="1"/>
    <xf numFmtId="0" fontId="3" fillId="2" borderId="1" xfId="0" applyFont="1" applyFill="1" applyBorder="1"/>
    <xf numFmtId="9" fontId="3" fillId="2" borderId="1" xfId="1" applyFont="1" applyFill="1" applyBorder="1"/>
    <xf numFmtId="0" fontId="3" fillId="0" borderId="1" xfId="0" applyFont="1" applyBorder="1"/>
    <xf numFmtId="9" fontId="3" fillId="0" borderId="1" xfId="1" applyFont="1" applyBorder="1"/>
    <xf numFmtId="0" fontId="5" fillId="0" borderId="1" xfId="0" applyFont="1" applyBorder="1"/>
    <xf numFmtId="9" fontId="5" fillId="0" borderId="1" xfId="1" applyFont="1" applyBorder="1"/>
    <xf numFmtId="0" fontId="5" fillId="2" borderId="1" xfId="0" applyFont="1" applyFill="1" applyBorder="1"/>
    <xf numFmtId="9" fontId="0" fillId="0" borderId="1" xfId="1" applyFont="1" applyBorder="1"/>
    <xf numFmtId="9" fontId="5" fillId="2" borderId="1" xfId="1" applyFont="1" applyFill="1" applyBorder="1"/>
    <xf numFmtId="9" fontId="3" fillId="2" borderId="1" xfId="0" applyNumberFormat="1" applyFont="1" applyFill="1" applyBorder="1"/>
    <xf numFmtId="0" fontId="2" fillId="0" borderId="1" xfId="0" applyFont="1" applyBorder="1" applyAlignment="1">
      <alignment horizontal="center"/>
    </xf>
    <xf numFmtId="9" fontId="3" fillId="0" borderId="1" xfId="0" applyNumberFormat="1" applyFont="1" applyBorder="1"/>
    <xf numFmtId="0" fontId="2" fillId="0" borderId="2" xfId="0" applyFont="1" applyBorder="1"/>
    <xf numFmtId="3" fontId="3" fillId="2" borderId="1" xfId="1" applyNumberFormat="1" applyFont="1" applyFill="1" applyBorder="1"/>
    <xf numFmtId="9" fontId="3" fillId="3" borderId="1" xfId="0" applyNumberFormat="1" applyFont="1" applyFill="1" applyBorder="1"/>
    <xf numFmtId="0" fontId="3" fillId="3" borderId="1" xfId="0" applyFont="1" applyFill="1" applyBorder="1"/>
    <xf numFmtId="9" fontId="3" fillId="3" borderId="1" xfId="1" applyFont="1" applyFill="1" applyBorder="1"/>
    <xf numFmtId="9" fontId="0" fillId="0" borderId="1" xfId="0" applyNumberFormat="1" applyBorder="1"/>
    <xf numFmtId="0" fontId="2" fillId="0" borderId="3" xfId="0" applyFont="1" applyBorder="1" applyAlignment="1">
      <alignment horizontal="center"/>
    </xf>
    <xf numFmtId="9" fontId="2" fillId="0" borderId="1" xfId="1" applyFont="1" applyBorder="1"/>
    <xf numFmtId="9" fontId="2" fillId="2" borderId="1" xfId="1" applyFont="1" applyFill="1" applyBorder="1"/>
    <xf numFmtId="9" fontId="5" fillId="0" borderId="1" xfId="0" applyNumberFormat="1" applyFont="1" applyBorder="1"/>
    <xf numFmtId="0" fontId="5" fillId="0" borderId="0" xfId="0" applyFont="1"/>
    <xf numFmtId="9" fontId="5" fillId="2" borderId="1" xfId="0" applyNumberFormat="1" applyFont="1" applyFill="1" applyBorder="1"/>
    <xf numFmtId="0" fontId="0" fillId="3" borderId="1" xfId="0" applyFill="1" applyBorder="1"/>
    <xf numFmtId="0" fontId="5" fillId="3" borderId="1" xfId="0" applyFont="1" applyFill="1" applyBorder="1"/>
    <xf numFmtId="3" fontId="5" fillId="2" borderId="1" xfId="1" applyNumberFormat="1" applyFont="1" applyFill="1" applyBorder="1"/>
    <xf numFmtId="9" fontId="5" fillId="2" borderId="0" xfId="1" applyFont="1" applyFill="1"/>
    <xf numFmtId="0" fontId="5" fillId="2" borderId="0" xfId="0" applyFont="1" applyFill="1"/>
    <xf numFmtId="9" fontId="5" fillId="3" borderId="1" xfId="1" applyFont="1" applyFill="1" applyBorder="1"/>
    <xf numFmtId="9" fontId="5" fillId="0" borderId="0" xfId="1" applyFont="1"/>
    <xf numFmtId="0" fontId="3" fillId="0" borderId="0" xfId="0" applyFont="1"/>
    <xf numFmtId="9" fontId="6" fillId="3" borderId="1" xfId="1" applyFont="1" applyFill="1" applyBorder="1"/>
    <xf numFmtId="0" fontId="6" fillId="3" borderId="1" xfId="0" applyFont="1" applyFill="1" applyBorder="1"/>
    <xf numFmtId="0" fontId="0" fillId="0" borderId="0" xfId="0" applyAlignment="1">
      <alignment horizontal="left" vertical="top" wrapText="1"/>
    </xf>
    <xf numFmtId="0" fontId="0" fillId="0" borderId="0" xfId="0" applyAlignment="1">
      <alignment horizontal="left" vertical="top"/>
    </xf>
    <xf numFmtId="0" fontId="2" fillId="0" borderId="0" xfId="0" applyFont="1" applyAlignment="1">
      <alignment horizontal="left"/>
    </xf>
    <xf numFmtId="0" fontId="4" fillId="0" borderId="0" xfId="2" applyAlignment="1">
      <alignment horizontal="left" vertical="top" wrapText="1"/>
    </xf>
    <xf numFmtId="0" fontId="0" fillId="0" borderId="0" xfId="0"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860977</xdr:colOff>
      <xdr:row>58</xdr:row>
      <xdr:rowOff>57978</xdr:rowOff>
    </xdr:from>
    <xdr:to>
      <xdr:col>11</xdr:col>
      <xdr:colOff>640260</xdr:colOff>
      <xdr:row>76</xdr:row>
      <xdr:rowOff>147370</xdr:rowOff>
    </xdr:to>
    <xdr:pic>
      <xdr:nvPicPr>
        <xdr:cNvPr id="2" name="Picture 1">
          <a:extLst>
            <a:ext uri="{FF2B5EF4-FFF2-40B4-BE49-F238E27FC236}">
              <a16:creationId xmlns:a16="http://schemas.microsoft.com/office/drawing/2014/main" id="{39DD0ED0-D8E8-483B-A92E-E6784E79A963}"/>
            </a:ext>
          </a:extLst>
        </xdr:cNvPr>
        <xdr:cNvPicPr>
          <a:picLocks noChangeAspect="1"/>
        </xdr:cNvPicPr>
      </xdr:nvPicPr>
      <xdr:blipFill>
        <a:blip xmlns:r="http://schemas.openxmlformats.org/officeDocument/2006/relationships" r:embed="rId1"/>
        <a:stretch>
          <a:fillRect/>
        </a:stretch>
      </xdr:blipFill>
      <xdr:spPr>
        <a:xfrm>
          <a:off x="6147352" y="3486978"/>
          <a:ext cx="6513458" cy="710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860977</xdr:colOff>
      <xdr:row>58</xdr:row>
      <xdr:rowOff>57978</xdr:rowOff>
    </xdr:from>
    <xdr:to>
      <xdr:col>11</xdr:col>
      <xdr:colOff>640260</xdr:colOff>
      <xdr:row>76</xdr:row>
      <xdr:rowOff>147370</xdr:rowOff>
    </xdr:to>
    <xdr:pic>
      <xdr:nvPicPr>
        <xdr:cNvPr id="3" name="Picture 2">
          <a:extLst>
            <a:ext uri="{FF2B5EF4-FFF2-40B4-BE49-F238E27FC236}">
              <a16:creationId xmlns:a16="http://schemas.microsoft.com/office/drawing/2014/main" id="{58671690-D65B-4CC8-875C-D60F2DA475F3}"/>
            </a:ext>
          </a:extLst>
        </xdr:cNvPr>
        <xdr:cNvPicPr>
          <a:picLocks noChangeAspect="1"/>
        </xdr:cNvPicPr>
      </xdr:nvPicPr>
      <xdr:blipFill>
        <a:blip xmlns:r="http://schemas.openxmlformats.org/officeDocument/2006/relationships" r:embed="rId1"/>
        <a:stretch>
          <a:fillRect/>
        </a:stretch>
      </xdr:blipFill>
      <xdr:spPr>
        <a:xfrm>
          <a:off x="6145281" y="2534478"/>
          <a:ext cx="6504762" cy="7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13</xdr:col>
      <xdr:colOff>456158</xdr:colOff>
      <xdr:row>34</xdr:row>
      <xdr:rowOff>151595</xdr:rowOff>
    </xdr:to>
    <xdr:pic>
      <xdr:nvPicPr>
        <xdr:cNvPr id="2" name="Picture 1">
          <a:extLst>
            <a:ext uri="{FF2B5EF4-FFF2-40B4-BE49-F238E27FC236}">
              <a16:creationId xmlns:a16="http://schemas.microsoft.com/office/drawing/2014/main" id="{3F674591-4AF4-CD22-9906-84CBFF5CEBCB}"/>
            </a:ext>
          </a:extLst>
        </xdr:cNvPr>
        <xdr:cNvPicPr>
          <a:picLocks noChangeAspect="1"/>
        </xdr:cNvPicPr>
      </xdr:nvPicPr>
      <xdr:blipFill>
        <a:blip xmlns:r="http://schemas.openxmlformats.org/officeDocument/2006/relationships" r:embed="rId1"/>
        <a:stretch>
          <a:fillRect/>
        </a:stretch>
      </xdr:blipFill>
      <xdr:spPr>
        <a:xfrm>
          <a:off x="47625" y="190500"/>
          <a:ext cx="8333333" cy="6438095"/>
        </a:xfrm>
        <a:prstGeom prst="rect">
          <a:avLst/>
        </a:prstGeom>
      </xdr:spPr>
    </xdr:pic>
    <xdr:clientData/>
  </xdr:twoCellAnchor>
  <xdr:twoCellAnchor editAs="oneCell">
    <xdr:from>
      <xdr:col>15</xdr:col>
      <xdr:colOff>133350</xdr:colOff>
      <xdr:row>11</xdr:row>
      <xdr:rowOff>38100</xdr:rowOff>
    </xdr:from>
    <xdr:to>
      <xdr:col>15</xdr:col>
      <xdr:colOff>552450</xdr:colOff>
      <xdr:row>24</xdr:row>
      <xdr:rowOff>171450</xdr:rowOff>
    </xdr:to>
    <xdr:pic>
      <xdr:nvPicPr>
        <xdr:cNvPr id="3" name="Picture 2">
          <a:extLst>
            <a:ext uri="{FF2B5EF4-FFF2-40B4-BE49-F238E27FC236}">
              <a16:creationId xmlns:a16="http://schemas.microsoft.com/office/drawing/2014/main" id="{33639AAD-3686-5A6E-438C-C713EFC1367E}"/>
            </a:ext>
          </a:extLst>
        </xdr:cNvPr>
        <xdr:cNvPicPr>
          <a:picLocks noChangeAspect="1"/>
        </xdr:cNvPicPr>
      </xdr:nvPicPr>
      <xdr:blipFill>
        <a:blip xmlns:r="http://schemas.openxmlformats.org/officeDocument/2006/relationships" r:embed="rId2"/>
        <a:stretch>
          <a:fillRect/>
        </a:stretch>
      </xdr:blipFill>
      <xdr:spPr>
        <a:xfrm>
          <a:off x="9277350" y="2133600"/>
          <a:ext cx="419100" cy="2609850"/>
        </a:xfrm>
        <a:prstGeom prst="rect">
          <a:avLst/>
        </a:prstGeom>
      </xdr:spPr>
    </xdr:pic>
    <xdr:clientData/>
  </xdr:twoCellAnchor>
  <xdr:twoCellAnchor editAs="oneCell">
    <xdr:from>
      <xdr:col>0</xdr:col>
      <xdr:colOff>123825</xdr:colOff>
      <xdr:row>79</xdr:row>
      <xdr:rowOff>76200</xdr:rowOff>
    </xdr:from>
    <xdr:to>
      <xdr:col>21</xdr:col>
      <xdr:colOff>314325</xdr:colOff>
      <xdr:row>122</xdr:row>
      <xdr:rowOff>85725</xdr:rowOff>
    </xdr:to>
    <xdr:pic>
      <xdr:nvPicPr>
        <xdr:cNvPr id="4" name="Picture 3">
          <a:extLst>
            <a:ext uri="{FF2B5EF4-FFF2-40B4-BE49-F238E27FC236}">
              <a16:creationId xmlns:a16="http://schemas.microsoft.com/office/drawing/2014/main" id="{F0A29B99-7C17-3F80-DB06-737FD83E93B0}"/>
            </a:ext>
          </a:extLst>
        </xdr:cNvPr>
        <xdr:cNvPicPr>
          <a:picLocks noChangeAspect="1"/>
        </xdr:cNvPicPr>
      </xdr:nvPicPr>
      <xdr:blipFill>
        <a:blip xmlns:r="http://schemas.openxmlformats.org/officeDocument/2006/relationships" r:embed="rId3"/>
        <a:stretch>
          <a:fillRect/>
        </a:stretch>
      </xdr:blipFill>
      <xdr:spPr>
        <a:xfrm>
          <a:off x="123825" y="15125700"/>
          <a:ext cx="12992100" cy="8201025"/>
        </a:xfrm>
        <a:prstGeom prst="rect">
          <a:avLst/>
        </a:prstGeom>
      </xdr:spPr>
    </xdr:pic>
    <xdr:clientData/>
  </xdr:twoCellAnchor>
  <xdr:twoCellAnchor editAs="oneCell">
    <xdr:from>
      <xdr:col>0</xdr:col>
      <xdr:colOff>0</xdr:colOff>
      <xdr:row>38</xdr:row>
      <xdr:rowOff>0</xdr:rowOff>
    </xdr:from>
    <xdr:to>
      <xdr:col>17</xdr:col>
      <xdr:colOff>598705</xdr:colOff>
      <xdr:row>79</xdr:row>
      <xdr:rowOff>8548</xdr:rowOff>
    </xdr:to>
    <xdr:pic>
      <xdr:nvPicPr>
        <xdr:cNvPr id="5" name="Picture 4">
          <a:extLst>
            <a:ext uri="{FF2B5EF4-FFF2-40B4-BE49-F238E27FC236}">
              <a16:creationId xmlns:a16="http://schemas.microsoft.com/office/drawing/2014/main" id="{1E8117AC-CF67-8130-5D32-B00DD692B32B}"/>
            </a:ext>
          </a:extLst>
        </xdr:cNvPr>
        <xdr:cNvPicPr>
          <a:picLocks noChangeAspect="1"/>
        </xdr:cNvPicPr>
      </xdr:nvPicPr>
      <xdr:blipFill>
        <a:blip xmlns:r="http://schemas.openxmlformats.org/officeDocument/2006/relationships" r:embed="rId4"/>
        <a:stretch>
          <a:fillRect/>
        </a:stretch>
      </xdr:blipFill>
      <xdr:spPr>
        <a:xfrm>
          <a:off x="0" y="7239000"/>
          <a:ext cx="10961905" cy="7819048"/>
        </a:xfrm>
        <a:prstGeom prst="rect">
          <a:avLst/>
        </a:prstGeom>
      </xdr:spPr>
    </xdr:pic>
    <xdr:clientData/>
  </xdr:twoCellAnchor>
  <xdr:twoCellAnchor editAs="oneCell">
    <xdr:from>
      <xdr:col>19</xdr:col>
      <xdr:colOff>0</xdr:colOff>
      <xdr:row>43</xdr:row>
      <xdr:rowOff>0</xdr:rowOff>
    </xdr:from>
    <xdr:to>
      <xdr:col>37</xdr:col>
      <xdr:colOff>552450</xdr:colOff>
      <xdr:row>76</xdr:row>
      <xdr:rowOff>0</xdr:rowOff>
    </xdr:to>
    <xdr:pic>
      <xdr:nvPicPr>
        <xdr:cNvPr id="6" name="Picture 5">
          <a:extLst>
            <a:ext uri="{FF2B5EF4-FFF2-40B4-BE49-F238E27FC236}">
              <a16:creationId xmlns:a16="http://schemas.microsoft.com/office/drawing/2014/main" id="{EC480E4F-3E9A-8ABE-D23A-FA190811FB24}"/>
            </a:ext>
          </a:extLst>
        </xdr:cNvPr>
        <xdr:cNvPicPr>
          <a:picLocks noChangeAspect="1"/>
        </xdr:cNvPicPr>
      </xdr:nvPicPr>
      <xdr:blipFill>
        <a:blip xmlns:r="http://schemas.openxmlformats.org/officeDocument/2006/relationships" r:embed="rId5"/>
        <a:stretch>
          <a:fillRect/>
        </a:stretch>
      </xdr:blipFill>
      <xdr:spPr>
        <a:xfrm>
          <a:off x="11582400" y="8191500"/>
          <a:ext cx="11525250" cy="628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17</xdr:col>
      <xdr:colOff>60464</xdr:colOff>
      <xdr:row>39</xdr:row>
      <xdr:rowOff>69138</xdr:rowOff>
    </xdr:to>
    <xdr:pic>
      <xdr:nvPicPr>
        <xdr:cNvPr id="2" name="Picture 1">
          <a:extLst>
            <a:ext uri="{FF2B5EF4-FFF2-40B4-BE49-F238E27FC236}">
              <a16:creationId xmlns:a16="http://schemas.microsoft.com/office/drawing/2014/main" id="{748C1B2C-152A-429C-A654-DFEFBCF4D983}"/>
            </a:ext>
          </a:extLst>
        </xdr:cNvPr>
        <xdr:cNvPicPr>
          <a:picLocks noChangeAspect="1"/>
        </xdr:cNvPicPr>
      </xdr:nvPicPr>
      <xdr:blipFill>
        <a:blip xmlns:r="http://schemas.openxmlformats.org/officeDocument/2006/relationships" r:embed="rId1"/>
        <a:stretch>
          <a:fillRect/>
        </a:stretch>
      </xdr:blipFill>
      <xdr:spPr>
        <a:xfrm>
          <a:off x="95250" y="371475"/>
          <a:ext cx="10328414" cy="7127163"/>
        </a:xfrm>
        <a:prstGeom prst="rect">
          <a:avLst/>
        </a:prstGeom>
      </xdr:spPr>
    </xdr:pic>
    <xdr:clientData/>
  </xdr:twoCellAnchor>
  <xdr:twoCellAnchor editAs="oneCell">
    <xdr:from>
      <xdr:col>18</xdr:col>
      <xdr:colOff>0</xdr:colOff>
      <xdr:row>9</xdr:row>
      <xdr:rowOff>0</xdr:rowOff>
    </xdr:from>
    <xdr:to>
      <xdr:col>18</xdr:col>
      <xdr:colOff>419100</xdr:colOff>
      <xdr:row>22</xdr:row>
      <xdr:rowOff>133350</xdr:rowOff>
    </xdr:to>
    <xdr:pic>
      <xdr:nvPicPr>
        <xdr:cNvPr id="3" name="Picture 2">
          <a:extLst>
            <a:ext uri="{FF2B5EF4-FFF2-40B4-BE49-F238E27FC236}">
              <a16:creationId xmlns:a16="http://schemas.microsoft.com/office/drawing/2014/main" id="{4D99F589-03BB-43AB-84DF-5929AC2346BF}"/>
            </a:ext>
          </a:extLst>
        </xdr:cNvPr>
        <xdr:cNvPicPr>
          <a:picLocks noChangeAspect="1"/>
        </xdr:cNvPicPr>
      </xdr:nvPicPr>
      <xdr:blipFill>
        <a:blip xmlns:r="http://schemas.openxmlformats.org/officeDocument/2006/relationships" r:embed="rId2"/>
        <a:stretch>
          <a:fillRect/>
        </a:stretch>
      </xdr:blipFill>
      <xdr:spPr>
        <a:xfrm>
          <a:off x="10972800" y="1714500"/>
          <a:ext cx="419100" cy="2609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data-tools/demo/saipe/" TargetMode="External"/><Relationship Id="rId7" Type="http://schemas.openxmlformats.org/officeDocument/2006/relationships/drawing" Target="../drawings/drawing1.xml"/><Relationship Id="rId2" Type="http://schemas.openxmlformats.org/officeDocument/2006/relationships/hyperlink" Target="https://apps.ecology.wa.gov/publications/documents/2109045.pdf" TargetMode="External"/><Relationship Id="rId1" Type="http://schemas.openxmlformats.org/officeDocument/2006/relationships/hyperlink" Target="https://fortress.wa.gov/doh/wtnibl/WTNIBL/" TargetMode="External"/><Relationship Id="rId6" Type="http://schemas.openxmlformats.org/officeDocument/2006/relationships/printerSettings" Target="../printerSettings/printerSettings1.bin"/><Relationship Id="rId5" Type="http://schemas.openxmlformats.org/officeDocument/2006/relationships/hyperlink" Target="https://www.consumerfinance.gov/compliance/compliance-resources/mortgage-resources/rural-and-underserved-counties-list/" TargetMode="External"/><Relationship Id="rId4" Type="http://schemas.openxmlformats.org/officeDocument/2006/relationships/hyperlink" Target="https://ofm.wa.gov/tags/social-economic-dat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tools/demo/saipe/" TargetMode="External"/><Relationship Id="rId7" Type="http://schemas.openxmlformats.org/officeDocument/2006/relationships/drawing" Target="../drawings/drawing2.xml"/><Relationship Id="rId2" Type="http://schemas.openxmlformats.org/officeDocument/2006/relationships/hyperlink" Target="https://apps.ecology.wa.gov/publications/documents/2109045.pdf" TargetMode="External"/><Relationship Id="rId1" Type="http://schemas.openxmlformats.org/officeDocument/2006/relationships/hyperlink" Target="https://fortress.wa.gov/doh/wtnibl/WTNIBL/" TargetMode="External"/><Relationship Id="rId6" Type="http://schemas.openxmlformats.org/officeDocument/2006/relationships/printerSettings" Target="../printerSettings/printerSettings2.bin"/><Relationship Id="rId5" Type="http://schemas.openxmlformats.org/officeDocument/2006/relationships/hyperlink" Target="https://www.consumerfinance.gov/compliance/compliance-resources/mortgage-resources/rural-and-underserved-counties-list/" TargetMode="External"/><Relationship Id="rId4" Type="http://schemas.openxmlformats.org/officeDocument/2006/relationships/hyperlink" Target="https://ofm.wa.gov/tags/social-economic-dat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3BD3-F82E-4624-8D44-6E644282BA2E}">
  <dimension ref="A2:Z76"/>
  <sheetViews>
    <sheetView zoomScaleNormal="100" workbookViewId="0">
      <selection activeCell="M1" sqref="M1:M1048576"/>
    </sheetView>
  </sheetViews>
  <sheetFormatPr defaultColWidth="11.42578125" defaultRowHeight="15" x14ac:dyDescent="0.25"/>
  <cols>
    <col min="1" max="1" width="9.140625" customWidth="1"/>
    <col min="2" max="2" width="20.85546875" customWidth="1"/>
    <col min="3" max="3" width="7.85546875" bestFit="1" customWidth="1"/>
    <col min="4" max="4" width="16.42578125" customWidth="1"/>
    <col min="5" max="5" width="25" bestFit="1" customWidth="1"/>
    <col min="6" max="6" width="25" customWidth="1"/>
    <col min="7" max="7" width="13.85546875" bestFit="1" customWidth="1"/>
    <col min="8" max="8" width="15.42578125" customWidth="1"/>
    <col min="9" max="9" width="15.5703125" bestFit="1" customWidth="1"/>
    <col min="10" max="10" width="15.5703125" customWidth="1"/>
    <col min="11" max="11" width="15.5703125" bestFit="1" customWidth="1"/>
    <col min="12" max="12" width="15.5703125" customWidth="1"/>
    <col min="13" max="13" width="16" bestFit="1" customWidth="1"/>
    <col min="14" max="14" width="11.140625" bestFit="1" customWidth="1"/>
    <col min="15" max="16" width="11.140625" customWidth="1"/>
    <col min="17" max="17" width="14.42578125" bestFit="1" customWidth="1"/>
    <col min="18" max="18" width="11.140625" customWidth="1"/>
    <col min="19" max="19" width="16" bestFit="1" customWidth="1"/>
  </cols>
  <sheetData>
    <row r="2" spans="1:21" x14ac:dyDescent="0.25">
      <c r="A2" s="3" t="s">
        <v>0</v>
      </c>
      <c r="B2" s="3" t="s">
        <v>1</v>
      </c>
      <c r="C2" s="3" t="s">
        <v>2</v>
      </c>
      <c r="D2" s="3" t="s">
        <v>3</v>
      </c>
      <c r="E2" s="3" t="s">
        <v>4</v>
      </c>
      <c r="F2" s="21" t="s">
        <v>5</v>
      </c>
      <c r="G2" s="3" t="s">
        <v>6</v>
      </c>
      <c r="H2" s="19" t="s">
        <v>7</v>
      </c>
      <c r="I2" s="3" t="s">
        <v>6</v>
      </c>
      <c r="J2" s="19" t="s">
        <v>7</v>
      </c>
      <c r="K2" s="3" t="s">
        <v>6</v>
      </c>
      <c r="L2" s="19" t="s">
        <v>7</v>
      </c>
      <c r="M2" s="3" t="s">
        <v>6</v>
      </c>
      <c r="N2" s="3" t="s">
        <v>7</v>
      </c>
      <c r="O2" s="3" t="s">
        <v>6</v>
      </c>
      <c r="P2" s="3" t="s">
        <v>7</v>
      </c>
      <c r="Q2" s="3" t="s">
        <v>6</v>
      </c>
      <c r="R2" s="3" t="s">
        <v>7</v>
      </c>
      <c r="S2" s="3" t="s">
        <v>6</v>
      </c>
      <c r="T2" s="3" t="s">
        <v>7</v>
      </c>
      <c r="U2" s="27" t="s">
        <v>8</v>
      </c>
    </row>
    <row r="3" spans="1:21" x14ac:dyDescent="0.25">
      <c r="A3" s="9">
        <v>3</v>
      </c>
      <c r="B3" s="9" t="s">
        <v>9</v>
      </c>
      <c r="C3" s="9" t="s">
        <v>10</v>
      </c>
      <c r="D3" s="10" t="s">
        <v>11</v>
      </c>
      <c r="E3" s="10">
        <f>241/281</f>
        <v>0.85765124555160144</v>
      </c>
      <c r="F3" s="22">
        <v>3133</v>
      </c>
      <c r="G3" s="9" t="s">
        <v>12</v>
      </c>
      <c r="H3" s="10">
        <v>0.8</v>
      </c>
      <c r="I3" s="9" t="s">
        <v>13</v>
      </c>
      <c r="J3" s="10">
        <v>0.19</v>
      </c>
      <c r="K3" s="24"/>
      <c r="L3" s="24"/>
      <c r="M3" s="24"/>
      <c r="N3" s="24"/>
      <c r="O3" s="24"/>
      <c r="P3" s="24"/>
      <c r="Q3" s="24"/>
      <c r="R3" s="24"/>
      <c r="S3" s="9" t="s">
        <v>14</v>
      </c>
      <c r="T3" s="20">
        <v>0.01</v>
      </c>
      <c r="U3" s="26">
        <f>T3+N3+L3+J3+H3+P3+R3</f>
        <v>1</v>
      </c>
    </row>
    <row r="4" spans="1:21" x14ac:dyDescent="0.25">
      <c r="A4" s="15">
        <v>3</v>
      </c>
      <c r="B4" s="15" t="s">
        <v>15</v>
      </c>
      <c r="C4" s="15" t="s">
        <v>10</v>
      </c>
      <c r="D4" s="17" t="s">
        <v>16</v>
      </c>
      <c r="E4" s="17">
        <f>62/281</f>
        <v>0.2206405693950178</v>
      </c>
      <c r="F4" s="22">
        <v>4303</v>
      </c>
      <c r="G4" s="9" t="s">
        <v>12</v>
      </c>
      <c r="H4" s="16">
        <v>0.9</v>
      </c>
      <c r="I4" s="9" t="s">
        <v>13</v>
      </c>
      <c r="J4" s="16">
        <v>0.09</v>
      </c>
      <c r="K4" s="11" t="s">
        <v>17</v>
      </c>
      <c r="L4" s="16">
        <v>0.03</v>
      </c>
      <c r="M4" s="34" t="s">
        <v>18</v>
      </c>
      <c r="N4" s="33"/>
      <c r="O4" s="11" t="s">
        <v>19</v>
      </c>
      <c r="P4" s="16">
        <v>0.01</v>
      </c>
      <c r="Q4" s="42" t="s">
        <v>20</v>
      </c>
      <c r="R4" s="33"/>
      <c r="S4" s="9" t="s">
        <v>14</v>
      </c>
      <c r="T4" s="14">
        <v>0.02</v>
      </c>
      <c r="U4" s="26">
        <f t="shared" ref="U4:U52" si="0">T4+N4+L4+J4+H4+P4+R4</f>
        <v>1.05</v>
      </c>
    </row>
    <row r="5" spans="1:21" x14ac:dyDescent="0.25">
      <c r="A5" s="15">
        <v>3</v>
      </c>
      <c r="B5" s="15" t="s">
        <v>15</v>
      </c>
      <c r="C5" s="15" t="s">
        <v>10</v>
      </c>
      <c r="D5" s="17" t="s">
        <v>21</v>
      </c>
      <c r="E5" s="17">
        <f>44/281</f>
        <v>0.15658362989323843</v>
      </c>
      <c r="F5" s="22">
        <v>4375</v>
      </c>
      <c r="G5" s="9" t="s">
        <v>12</v>
      </c>
      <c r="H5" s="16">
        <v>0.14000000000000001</v>
      </c>
      <c r="I5" s="9" t="s">
        <v>13</v>
      </c>
      <c r="J5" s="16">
        <v>0.78</v>
      </c>
      <c r="K5" s="11" t="s">
        <v>17</v>
      </c>
      <c r="L5" s="16">
        <v>0.03</v>
      </c>
      <c r="M5" s="11" t="s">
        <v>18</v>
      </c>
      <c r="N5" s="16">
        <v>0.01</v>
      </c>
      <c r="O5" s="11" t="s">
        <v>19</v>
      </c>
      <c r="P5" s="16">
        <v>0.02</v>
      </c>
      <c r="Q5" s="42" t="s">
        <v>20</v>
      </c>
      <c r="R5" s="33"/>
      <c r="S5" s="9" t="s">
        <v>14</v>
      </c>
      <c r="T5" s="14">
        <v>0.02</v>
      </c>
      <c r="U5" s="26">
        <f t="shared" si="0"/>
        <v>1</v>
      </c>
    </row>
    <row r="6" spans="1:21" x14ac:dyDescent="0.25">
      <c r="A6" s="15">
        <v>3</v>
      </c>
      <c r="B6" s="6" t="s">
        <v>15</v>
      </c>
      <c r="C6" s="6" t="s">
        <v>10</v>
      </c>
      <c r="D6" s="6" t="s">
        <v>22</v>
      </c>
      <c r="E6" s="7">
        <f>151/281</f>
        <v>0.53736654804270467</v>
      </c>
      <c r="F6" s="22">
        <v>5151</v>
      </c>
      <c r="G6" s="9" t="s">
        <v>12</v>
      </c>
      <c r="H6" s="16">
        <v>0.48</v>
      </c>
      <c r="I6" s="9" t="s">
        <v>13</v>
      </c>
      <c r="J6" s="16">
        <v>0.47</v>
      </c>
      <c r="K6" s="11" t="s">
        <v>17</v>
      </c>
      <c r="L6" s="16">
        <v>0.02</v>
      </c>
      <c r="M6" s="11" t="s">
        <v>18</v>
      </c>
      <c r="N6" s="16">
        <v>0.01</v>
      </c>
      <c r="O6" s="11" t="s">
        <v>19</v>
      </c>
      <c r="P6" s="16">
        <v>0.01</v>
      </c>
      <c r="Q6" s="42" t="s">
        <v>20</v>
      </c>
      <c r="R6" s="33"/>
      <c r="S6" s="9" t="s">
        <v>14</v>
      </c>
      <c r="T6" s="30">
        <v>0.01</v>
      </c>
      <c r="U6" s="26">
        <f t="shared" si="0"/>
        <v>1</v>
      </c>
    </row>
    <row r="7" spans="1:21" s="31" customFormat="1" x14ac:dyDescent="0.25">
      <c r="A7" s="15">
        <v>3</v>
      </c>
      <c r="B7" s="13" t="s">
        <v>15</v>
      </c>
      <c r="C7" s="13" t="s">
        <v>10</v>
      </c>
      <c r="D7" s="13" t="s">
        <v>23</v>
      </c>
      <c r="E7" s="14">
        <f>202/281</f>
        <v>0.71886120996441283</v>
      </c>
      <c r="F7" s="35">
        <v>7533</v>
      </c>
      <c r="G7" s="15" t="s">
        <v>12</v>
      </c>
      <c r="H7" s="30">
        <v>0.41</v>
      </c>
      <c r="I7" s="15" t="s">
        <v>13</v>
      </c>
      <c r="J7" s="30">
        <v>0.55000000000000004</v>
      </c>
      <c r="K7" s="34" t="s">
        <v>17</v>
      </c>
      <c r="L7" s="34"/>
      <c r="M7" s="13" t="s">
        <v>18</v>
      </c>
      <c r="N7" s="30">
        <v>0.02</v>
      </c>
      <c r="O7" s="34" t="s">
        <v>19</v>
      </c>
      <c r="P7" s="34"/>
      <c r="Q7" s="42" t="s">
        <v>20</v>
      </c>
      <c r="R7" s="34"/>
      <c r="S7" s="15" t="s">
        <v>14</v>
      </c>
      <c r="T7" s="14">
        <v>0.02</v>
      </c>
      <c r="U7" s="26">
        <f t="shared" si="0"/>
        <v>1</v>
      </c>
    </row>
    <row r="8" spans="1:21" x14ac:dyDescent="0.25">
      <c r="A8" s="15">
        <v>3</v>
      </c>
      <c r="B8" s="6" t="s">
        <v>24</v>
      </c>
      <c r="C8" s="6" t="s">
        <v>10</v>
      </c>
      <c r="D8" s="7" t="s">
        <v>25</v>
      </c>
      <c r="E8" s="7">
        <f>141/271</f>
        <v>0.52029520295202947</v>
      </c>
      <c r="F8" s="35">
        <v>10108</v>
      </c>
      <c r="G8" s="15" t="s">
        <v>12</v>
      </c>
      <c r="H8" s="16">
        <v>0.54</v>
      </c>
      <c r="I8" s="15" t="s">
        <v>13</v>
      </c>
      <c r="J8" s="16">
        <v>0.43</v>
      </c>
      <c r="K8" s="13" t="s">
        <v>17</v>
      </c>
      <c r="L8" s="16">
        <v>0.01</v>
      </c>
      <c r="M8" s="13" t="s">
        <v>18</v>
      </c>
      <c r="N8" s="16">
        <v>0.01</v>
      </c>
      <c r="O8" s="34" t="s">
        <v>19</v>
      </c>
      <c r="P8" s="33"/>
      <c r="Q8" s="42" t="s">
        <v>20</v>
      </c>
      <c r="R8" s="34"/>
      <c r="S8" s="15" t="s">
        <v>14</v>
      </c>
      <c r="T8" s="14">
        <v>0.01</v>
      </c>
      <c r="U8" s="26">
        <f t="shared" si="0"/>
        <v>1</v>
      </c>
    </row>
    <row r="9" spans="1:21" x14ac:dyDescent="0.25">
      <c r="A9" s="9">
        <v>2</v>
      </c>
      <c r="B9" s="9" t="s">
        <v>26</v>
      </c>
      <c r="C9" s="9" t="s">
        <v>10</v>
      </c>
      <c r="D9" s="10" t="s">
        <v>27</v>
      </c>
      <c r="E9" s="10">
        <v>0.8</v>
      </c>
      <c r="F9" s="22">
        <v>6546</v>
      </c>
      <c r="G9" s="9" t="s">
        <v>12</v>
      </c>
      <c r="H9" s="12">
        <v>0.04</v>
      </c>
      <c r="I9" s="9" t="s">
        <v>13</v>
      </c>
      <c r="J9" s="10">
        <v>0.91</v>
      </c>
      <c r="K9" s="11" t="s">
        <v>17</v>
      </c>
      <c r="L9" s="20">
        <v>0.03</v>
      </c>
      <c r="M9" s="11" t="s">
        <v>18</v>
      </c>
      <c r="N9" s="12">
        <v>0.02</v>
      </c>
      <c r="O9" s="25"/>
      <c r="P9" s="25"/>
      <c r="Q9" s="25"/>
      <c r="R9" s="25"/>
      <c r="S9" s="24"/>
      <c r="T9" s="25"/>
      <c r="U9" s="26">
        <f t="shared" si="0"/>
        <v>1</v>
      </c>
    </row>
    <row r="10" spans="1:21" x14ac:dyDescent="0.25">
      <c r="A10" s="9">
        <v>2</v>
      </c>
      <c r="B10" s="9" t="s">
        <v>26</v>
      </c>
      <c r="C10" s="9" t="s">
        <v>10</v>
      </c>
      <c r="D10" s="10" t="s">
        <v>28</v>
      </c>
      <c r="E10" s="10">
        <f>246/281</f>
        <v>0.8754448398576512</v>
      </c>
      <c r="F10" s="22">
        <v>5914</v>
      </c>
      <c r="G10" s="9" t="s">
        <v>12</v>
      </c>
      <c r="H10" s="12">
        <v>0.14000000000000001</v>
      </c>
      <c r="I10" s="9" t="s">
        <v>13</v>
      </c>
      <c r="J10" s="10">
        <v>0.77</v>
      </c>
      <c r="K10" s="11" t="s">
        <v>17</v>
      </c>
      <c r="L10" s="20">
        <v>0.05</v>
      </c>
      <c r="M10" s="11" t="s">
        <v>18</v>
      </c>
      <c r="N10" s="12">
        <v>0.02</v>
      </c>
      <c r="O10" s="12" t="s">
        <v>19</v>
      </c>
      <c r="P10" s="12">
        <v>0.01</v>
      </c>
      <c r="Q10" s="25"/>
      <c r="R10" s="25"/>
      <c r="S10" s="9" t="s">
        <v>14</v>
      </c>
      <c r="T10" s="18">
        <v>0.02</v>
      </c>
      <c r="U10" s="26">
        <f t="shared" si="0"/>
        <v>1.01</v>
      </c>
    </row>
    <row r="11" spans="1:21" s="31" customFormat="1" x14ac:dyDescent="0.25">
      <c r="A11" s="13">
        <v>3</v>
      </c>
      <c r="B11" s="15" t="s">
        <v>26</v>
      </c>
      <c r="C11" s="15" t="s">
        <v>10</v>
      </c>
      <c r="D11" s="17" t="s">
        <v>29</v>
      </c>
      <c r="E11" s="14">
        <f>152/281</f>
        <v>0.54092526690391463</v>
      </c>
      <c r="F11" s="35">
        <v>3082</v>
      </c>
      <c r="G11" s="15" t="s">
        <v>12</v>
      </c>
      <c r="H11" s="14">
        <v>0.05</v>
      </c>
      <c r="I11" s="15" t="s">
        <v>13</v>
      </c>
      <c r="J11" s="14">
        <v>0.88</v>
      </c>
      <c r="K11" s="13" t="s">
        <v>17</v>
      </c>
      <c r="L11" s="14">
        <v>0.03</v>
      </c>
      <c r="M11" s="13" t="s">
        <v>18</v>
      </c>
      <c r="N11" s="14">
        <v>0.01</v>
      </c>
      <c r="O11" s="14" t="s">
        <v>19</v>
      </c>
      <c r="P11" s="14">
        <v>0.01</v>
      </c>
      <c r="Q11" s="34" t="s">
        <v>20</v>
      </c>
      <c r="R11" s="34"/>
      <c r="S11" s="15" t="s">
        <v>14</v>
      </c>
      <c r="T11" s="32">
        <v>0.02</v>
      </c>
      <c r="U11" s="30">
        <f t="shared" si="0"/>
        <v>1</v>
      </c>
    </row>
    <row r="12" spans="1:21" s="31" customFormat="1" x14ac:dyDescent="0.25">
      <c r="A12" s="15">
        <v>3</v>
      </c>
      <c r="B12" s="15" t="s">
        <v>26</v>
      </c>
      <c r="C12" s="15" t="s">
        <v>10</v>
      </c>
      <c r="D12" s="17" t="s">
        <v>30</v>
      </c>
      <c r="E12" s="17">
        <f>189/281</f>
        <v>0.67259786476868333</v>
      </c>
      <c r="F12" s="35">
        <v>8914</v>
      </c>
      <c r="G12" s="15" t="s">
        <v>12</v>
      </c>
      <c r="H12" s="14">
        <v>0.15</v>
      </c>
      <c r="I12" s="15" t="s">
        <v>13</v>
      </c>
      <c r="J12" s="14">
        <v>0.8</v>
      </c>
      <c r="K12" s="13" t="s">
        <v>17</v>
      </c>
      <c r="L12" s="14">
        <v>0.02</v>
      </c>
      <c r="M12" s="13" t="s">
        <v>18</v>
      </c>
      <c r="N12" s="14">
        <v>0.01</v>
      </c>
      <c r="O12" s="14" t="s">
        <v>19</v>
      </c>
      <c r="P12" s="14">
        <v>0.01</v>
      </c>
      <c r="Q12" s="34" t="s">
        <v>20</v>
      </c>
      <c r="R12" s="34"/>
      <c r="S12" s="15" t="s">
        <v>14</v>
      </c>
      <c r="T12" s="17">
        <v>0.01</v>
      </c>
      <c r="U12" s="30">
        <f t="shared" si="0"/>
        <v>1</v>
      </c>
    </row>
    <row r="13" spans="1:21" s="31" customFormat="1" x14ac:dyDescent="0.25">
      <c r="A13" s="15">
        <v>2</v>
      </c>
      <c r="B13" s="15" t="s">
        <v>26</v>
      </c>
      <c r="C13" s="15" t="s">
        <v>10</v>
      </c>
      <c r="D13" s="15" t="s">
        <v>31</v>
      </c>
      <c r="E13" s="14">
        <f>53/281</f>
        <v>0.18861209964412812</v>
      </c>
      <c r="F13" s="35">
        <v>7073</v>
      </c>
      <c r="G13" s="15" t="s">
        <v>12</v>
      </c>
      <c r="H13" s="14">
        <v>0.04</v>
      </c>
      <c r="I13" s="15" t="s">
        <v>13</v>
      </c>
      <c r="J13" s="14">
        <v>0.9</v>
      </c>
      <c r="K13" s="13" t="s">
        <v>17</v>
      </c>
      <c r="L13" s="14">
        <v>0.03</v>
      </c>
      <c r="M13" s="13" t="s">
        <v>18</v>
      </c>
      <c r="N13" s="14">
        <v>0.01</v>
      </c>
      <c r="O13" s="14" t="s">
        <v>19</v>
      </c>
      <c r="P13" s="13"/>
      <c r="Q13" s="34" t="s">
        <v>20</v>
      </c>
      <c r="R13" s="34"/>
      <c r="S13" s="15" t="s">
        <v>14</v>
      </c>
      <c r="T13" s="32">
        <v>0.01</v>
      </c>
      <c r="U13" s="30">
        <f t="shared" si="0"/>
        <v>0.9900000000000001</v>
      </c>
    </row>
    <row r="14" spans="1:21" x14ac:dyDescent="0.25">
      <c r="A14" s="6">
        <v>3</v>
      </c>
      <c r="B14" s="6" t="s">
        <v>32</v>
      </c>
      <c r="C14" s="6" t="s">
        <v>10</v>
      </c>
      <c r="D14" s="7" t="s">
        <v>33</v>
      </c>
      <c r="E14" s="7">
        <f>190/281</f>
        <v>0.67615658362989328</v>
      </c>
      <c r="F14" s="35">
        <v>3412</v>
      </c>
      <c r="G14" s="15" t="s">
        <v>12</v>
      </c>
      <c r="H14" s="14">
        <v>0.31</v>
      </c>
      <c r="I14" s="15" t="s">
        <v>13</v>
      </c>
      <c r="J14" s="14">
        <v>0.65</v>
      </c>
      <c r="K14" s="13" t="s">
        <v>17</v>
      </c>
      <c r="L14" s="14">
        <v>0.02</v>
      </c>
      <c r="M14" s="13" t="s">
        <v>18</v>
      </c>
      <c r="N14" s="14">
        <v>0.01</v>
      </c>
      <c r="O14" s="14" t="s">
        <v>19</v>
      </c>
      <c r="P14" s="13"/>
      <c r="Q14" s="34" t="s">
        <v>20</v>
      </c>
      <c r="R14" s="34"/>
      <c r="S14" s="15" t="s">
        <v>14</v>
      </c>
      <c r="T14" s="32">
        <v>0.01</v>
      </c>
      <c r="U14" s="26">
        <f t="shared" si="0"/>
        <v>1</v>
      </c>
    </row>
    <row r="15" spans="1:21" x14ac:dyDescent="0.25">
      <c r="A15" s="6">
        <v>1</v>
      </c>
      <c r="B15" s="6" t="s">
        <v>34</v>
      </c>
      <c r="C15" s="6" t="s">
        <v>10</v>
      </c>
      <c r="D15" s="7" t="s">
        <v>35</v>
      </c>
      <c r="E15" s="7">
        <f>197/281</f>
        <v>0.70106761565836295</v>
      </c>
      <c r="F15" s="35">
        <v>6100</v>
      </c>
      <c r="G15" s="15" t="s">
        <v>12</v>
      </c>
      <c r="H15" s="14">
        <v>0.84</v>
      </c>
      <c r="I15" s="15" t="s">
        <v>13</v>
      </c>
      <c r="J15" s="14">
        <v>0.13</v>
      </c>
      <c r="K15" s="13" t="s">
        <v>17</v>
      </c>
      <c r="L15" s="13"/>
      <c r="M15" s="34" t="s">
        <v>18</v>
      </c>
      <c r="N15" s="34"/>
      <c r="O15" s="14" t="s">
        <v>19</v>
      </c>
      <c r="P15" s="14">
        <v>0.02</v>
      </c>
      <c r="Q15" s="34" t="s">
        <v>20</v>
      </c>
      <c r="R15" s="34"/>
      <c r="S15" s="15" t="s">
        <v>14</v>
      </c>
      <c r="T15" s="32">
        <v>0.01</v>
      </c>
      <c r="U15" s="26">
        <f t="shared" si="0"/>
        <v>1</v>
      </c>
    </row>
    <row r="16" spans="1:21" x14ac:dyDescent="0.25">
      <c r="A16" s="6">
        <v>2</v>
      </c>
      <c r="B16" s="6" t="s">
        <v>36</v>
      </c>
      <c r="C16" s="6" t="s">
        <v>10</v>
      </c>
      <c r="D16" s="6" t="s">
        <v>37</v>
      </c>
      <c r="E16" s="7">
        <f>184/281</f>
        <v>0.65480427046263345</v>
      </c>
      <c r="F16" s="35">
        <v>7867</v>
      </c>
      <c r="G16" s="15" t="s">
        <v>12</v>
      </c>
      <c r="H16" s="14">
        <v>0.33</v>
      </c>
      <c r="I16" s="15" t="s">
        <v>13</v>
      </c>
      <c r="J16" s="14">
        <v>0.61</v>
      </c>
      <c r="K16" s="13" t="s">
        <v>17</v>
      </c>
      <c r="L16" s="14">
        <v>0.02</v>
      </c>
      <c r="M16" s="13" t="s">
        <v>18</v>
      </c>
      <c r="N16" s="14">
        <v>0.01</v>
      </c>
      <c r="O16" s="14" t="s">
        <v>19</v>
      </c>
      <c r="P16" s="14">
        <v>0.02</v>
      </c>
      <c r="Q16" s="34" t="s">
        <v>20</v>
      </c>
      <c r="R16" s="34"/>
      <c r="S16" s="15" t="s">
        <v>14</v>
      </c>
      <c r="T16" s="32">
        <v>0.01</v>
      </c>
      <c r="U16" s="26">
        <f t="shared" si="0"/>
        <v>1</v>
      </c>
    </row>
    <row r="17" spans="1:26" x14ac:dyDescent="0.25">
      <c r="A17" s="9">
        <v>3</v>
      </c>
      <c r="B17" s="9" t="s">
        <v>36</v>
      </c>
      <c r="C17" s="9" t="s">
        <v>10</v>
      </c>
      <c r="D17" s="10" t="s">
        <v>38</v>
      </c>
      <c r="E17" s="10">
        <f>253/281</f>
        <v>0.90035587188612098</v>
      </c>
      <c r="F17" s="22">
        <v>7623</v>
      </c>
      <c r="G17" s="9" t="s">
        <v>12</v>
      </c>
      <c r="H17" s="10">
        <v>0.77</v>
      </c>
      <c r="I17" s="9" t="s">
        <v>13</v>
      </c>
      <c r="J17" s="10">
        <v>0.22</v>
      </c>
      <c r="K17" s="11" t="s">
        <v>17</v>
      </c>
      <c r="L17" s="20">
        <v>0.01</v>
      </c>
      <c r="M17" s="24"/>
      <c r="N17" s="23"/>
      <c r="O17" s="23"/>
      <c r="P17" s="23"/>
      <c r="Q17" s="23"/>
      <c r="R17" s="23"/>
      <c r="S17" s="9" t="s">
        <v>14</v>
      </c>
      <c r="T17" s="20">
        <v>0.01</v>
      </c>
      <c r="U17" s="26">
        <f t="shared" si="0"/>
        <v>1.01</v>
      </c>
    </row>
    <row r="18" spans="1:26" x14ac:dyDescent="0.25">
      <c r="A18" s="6">
        <v>3</v>
      </c>
      <c r="B18" s="6" t="s">
        <v>36</v>
      </c>
      <c r="C18" s="6" t="s">
        <v>10</v>
      </c>
      <c r="D18" s="7" t="s">
        <v>39</v>
      </c>
      <c r="E18" s="8" t="s">
        <v>40</v>
      </c>
      <c r="F18" s="22"/>
      <c r="G18" s="9" t="s">
        <v>12</v>
      </c>
      <c r="H18" s="16"/>
      <c r="I18" s="9" t="s">
        <v>13</v>
      </c>
      <c r="J18" s="16"/>
      <c r="K18" s="11" t="s">
        <v>17</v>
      </c>
      <c r="L18" s="16"/>
      <c r="M18" s="34" t="s">
        <v>18</v>
      </c>
      <c r="N18" s="38"/>
      <c r="O18" s="34" t="s">
        <v>19</v>
      </c>
      <c r="P18" s="38"/>
      <c r="Q18" s="34" t="s">
        <v>20</v>
      </c>
      <c r="R18" s="38"/>
      <c r="S18" s="34" t="s">
        <v>14</v>
      </c>
      <c r="T18" s="41"/>
      <c r="U18" s="26">
        <f t="shared" si="0"/>
        <v>0</v>
      </c>
    </row>
    <row r="19" spans="1:26" x14ac:dyDescent="0.25">
      <c r="A19" s="13">
        <v>2</v>
      </c>
      <c r="B19" s="13" t="s">
        <v>41</v>
      </c>
      <c r="C19" s="13" t="s">
        <v>10</v>
      </c>
      <c r="D19" s="13" t="s">
        <v>42</v>
      </c>
      <c r="E19" s="14">
        <f>218/281</f>
        <v>0.77580071174377219</v>
      </c>
      <c r="F19" s="22">
        <v>3567</v>
      </c>
      <c r="G19" s="9" t="s">
        <v>12</v>
      </c>
      <c r="H19" s="16">
        <v>0.26</v>
      </c>
      <c r="I19" s="9" t="s">
        <v>13</v>
      </c>
      <c r="J19" s="16">
        <v>0.63</v>
      </c>
      <c r="K19" s="11" t="s">
        <v>17</v>
      </c>
      <c r="L19" s="16">
        <v>0.05</v>
      </c>
      <c r="M19" s="11" t="s">
        <v>18</v>
      </c>
      <c r="N19" s="16">
        <v>0.03</v>
      </c>
      <c r="O19" s="11" t="s">
        <v>19</v>
      </c>
      <c r="P19" s="16">
        <v>0.01</v>
      </c>
      <c r="Q19" s="34" t="s">
        <v>20</v>
      </c>
      <c r="R19" s="38"/>
      <c r="S19" s="9" t="s">
        <v>14</v>
      </c>
      <c r="T19" s="7">
        <v>0.01</v>
      </c>
      <c r="U19" s="26">
        <f t="shared" si="0"/>
        <v>0.99</v>
      </c>
    </row>
    <row r="20" spans="1:26" s="31" customFormat="1" x14ac:dyDescent="0.25">
      <c r="A20" s="13">
        <v>2</v>
      </c>
      <c r="B20" s="13" t="s">
        <v>41</v>
      </c>
      <c r="C20" s="13" t="s">
        <v>10</v>
      </c>
      <c r="D20" s="13" t="s">
        <v>43</v>
      </c>
      <c r="E20" s="14">
        <f>174/281</f>
        <v>0.61921708185053381</v>
      </c>
      <c r="F20" s="35">
        <v>6937</v>
      </c>
      <c r="G20" s="15" t="s">
        <v>12</v>
      </c>
      <c r="H20" s="14">
        <v>0.12</v>
      </c>
      <c r="I20" s="15" t="s">
        <v>13</v>
      </c>
      <c r="J20" s="14">
        <v>0.81</v>
      </c>
      <c r="K20" s="13" t="s">
        <v>17</v>
      </c>
      <c r="L20" s="14">
        <v>0.04</v>
      </c>
      <c r="M20" s="13" t="s">
        <v>18</v>
      </c>
      <c r="N20" s="14">
        <v>0.02</v>
      </c>
      <c r="O20" s="13" t="s">
        <v>19</v>
      </c>
      <c r="P20" s="14">
        <v>0.01</v>
      </c>
      <c r="Q20" s="34" t="s">
        <v>20</v>
      </c>
      <c r="R20" s="38"/>
      <c r="S20" s="15" t="s">
        <v>14</v>
      </c>
      <c r="T20" s="14">
        <v>0.01</v>
      </c>
      <c r="U20" s="30">
        <f t="shared" si="0"/>
        <v>1.01</v>
      </c>
    </row>
    <row r="21" spans="1:26" s="31" customFormat="1" x14ac:dyDescent="0.25">
      <c r="A21" s="13">
        <v>2</v>
      </c>
      <c r="B21" s="13" t="s">
        <v>41</v>
      </c>
      <c r="C21" s="13" t="s">
        <v>10</v>
      </c>
      <c r="D21" s="13" t="s">
        <v>44</v>
      </c>
      <c r="E21" s="14">
        <f>164/281</f>
        <v>0.58362989323843417</v>
      </c>
      <c r="F21" s="35">
        <v>3918</v>
      </c>
      <c r="G21" s="15" t="s">
        <v>12</v>
      </c>
      <c r="H21" s="14">
        <v>0.1</v>
      </c>
      <c r="I21" s="15" t="s">
        <v>13</v>
      </c>
      <c r="J21" s="14">
        <v>0.81</v>
      </c>
      <c r="K21" s="13" t="s">
        <v>17</v>
      </c>
      <c r="L21" s="14">
        <v>0.04</v>
      </c>
      <c r="M21" s="13" t="s">
        <v>18</v>
      </c>
      <c r="N21" s="14">
        <v>0.04</v>
      </c>
      <c r="O21" s="13" t="s">
        <v>19</v>
      </c>
      <c r="P21" s="14">
        <v>0.01</v>
      </c>
      <c r="Q21" s="34" t="s">
        <v>20</v>
      </c>
      <c r="R21" s="38"/>
      <c r="S21" s="15" t="s">
        <v>14</v>
      </c>
      <c r="T21" s="14">
        <v>0.01</v>
      </c>
      <c r="U21" s="30">
        <f t="shared" si="0"/>
        <v>1.01</v>
      </c>
    </row>
    <row r="22" spans="1:26" x14ac:dyDescent="0.25">
      <c r="A22" s="9">
        <v>2</v>
      </c>
      <c r="B22" s="9" t="s">
        <v>41</v>
      </c>
      <c r="C22" s="9" t="s">
        <v>10</v>
      </c>
      <c r="D22" s="9" t="s">
        <v>45</v>
      </c>
      <c r="E22" s="12">
        <f>228/281</f>
        <v>0.81138790035587194</v>
      </c>
      <c r="F22" s="22">
        <v>3829</v>
      </c>
      <c r="G22" s="9" t="s">
        <v>12</v>
      </c>
      <c r="H22" s="12">
        <v>0.03</v>
      </c>
      <c r="I22" s="9" t="s">
        <v>13</v>
      </c>
      <c r="J22" s="10">
        <v>0.91</v>
      </c>
      <c r="K22" s="11" t="s">
        <v>17</v>
      </c>
      <c r="L22" s="20">
        <v>0.02</v>
      </c>
      <c r="M22" s="11" t="s">
        <v>18</v>
      </c>
      <c r="N22" s="12">
        <v>0.02</v>
      </c>
      <c r="O22" s="11" t="s">
        <v>19</v>
      </c>
      <c r="P22" s="12">
        <v>0.01</v>
      </c>
      <c r="Q22" s="25"/>
      <c r="R22" s="25"/>
      <c r="S22" s="9" t="s">
        <v>14</v>
      </c>
      <c r="T22" s="18">
        <v>0.01</v>
      </c>
      <c r="U22" s="26">
        <f t="shared" si="0"/>
        <v>1</v>
      </c>
    </row>
    <row r="23" spans="1:26" s="31" customFormat="1" x14ac:dyDescent="0.25">
      <c r="A23" s="15">
        <v>2</v>
      </c>
      <c r="B23" s="15" t="s">
        <v>41</v>
      </c>
      <c r="C23" s="15" t="s">
        <v>10</v>
      </c>
      <c r="D23" s="15" t="s">
        <v>46</v>
      </c>
      <c r="E23" s="14">
        <f>46/281</f>
        <v>0.16370106761565836</v>
      </c>
      <c r="F23" s="35">
        <v>6855</v>
      </c>
      <c r="G23" s="15" t="s">
        <v>12</v>
      </c>
      <c r="H23" s="14">
        <v>0.04</v>
      </c>
      <c r="I23" s="15" t="s">
        <v>13</v>
      </c>
      <c r="J23" s="14">
        <v>0.9</v>
      </c>
      <c r="K23" s="13" t="s">
        <v>17</v>
      </c>
      <c r="L23" s="14">
        <v>0.01</v>
      </c>
      <c r="M23" s="13" t="s">
        <v>18</v>
      </c>
      <c r="N23" s="14">
        <v>0.01</v>
      </c>
      <c r="O23" s="13" t="s">
        <v>19</v>
      </c>
      <c r="P23" s="14"/>
      <c r="Q23" s="34" t="s">
        <v>20</v>
      </c>
      <c r="R23" s="38"/>
      <c r="S23" s="15" t="s">
        <v>14</v>
      </c>
      <c r="T23" s="14">
        <v>0.01</v>
      </c>
      <c r="U23" s="30">
        <f t="shared" si="0"/>
        <v>0.97000000000000008</v>
      </c>
    </row>
    <row r="24" spans="1:26" s="31" customFormat="1" x14ac:dyDescent="0.25">
      <c r="A24" s="13">
        <v>1</v>
      </c>
      <c r="B24" s="13" t="s">
        <v>47</v>
      </c>
      <c r="C24" s="13" t="s">
        <v>10</v>
      </c>
      <c r="D24" s="13" t="s">
        <v>48</v>
      </c>
      <c r="E24" s="14">
        <f>148/281</f>
        <v>0.5266903914590747</v>
      </c>
      <c r="F24" s="35">
        <v>2011</v>
      </c>
      <c r="G24" s="15" t="s">
        <v>12</v>
      </c>
      <c r="H24" s="14">
        <v>0.1</v>
      </c>
      <c r="I24" s="15" t="s">
        <v>13</v>
      </c>
      <c r="J24" s="14">
        <v>0.71</v>
      </c>
      <c r="K24" s="13" t="s">
        <v>17</v>
      </c>
      <c r="L24" s="14">
        <v>0.06</v>
      </c>
      <c r="M24" s="13" t="s">
        <v>18</v>
      </c>
      <c r="N24" s="14">
        <v>0.01</v>
      </c>
      <c r="O24" s="13" t="s">
        <v>19</v>
      </c>
      <c r="P24" s="14">
        <v>0.04</v>
      </c>
      <c r="Q24" s="15" t="s">
        <v>20</v>
      </c>
      <c r="R24" s="14">
        <v>0.01</v>
      </c>
      <c r="S24" s="15" t="s">
        <v>14</v>
      </c>
      <c r="T24" s="14">
        <v>7.0000000000000007E-2</v>
      </c>
      <c r="U24" s="30">
        <f t="shared" si="0"/>
        <v>1</v>
      </c>
      <c r="Y24" s="39"/>
      <c r="Z24" s="39"/>
    </row>
    <row r="25" spans="1:26" s="31" customFormat="1" x14ac:dyDescent="0.25">
      <c r="A25" s="15">
        <v>2</v>
      </c>
      <c r="B25" s="15" t="s">
        <v>49</v>
      </c>
      <c r="C25" s="15" t="s">
        <v>10</v>
      </c>
      <c r="D25" s="15" t="s">
        <v>50</v>
      </c>
      <c r="E25" s="14">
        <f>114/281</f>
        <v>0.40569395017793597</v>
      </c>
      <c r="F25" s="35">
        <v>6907</v>
      </c>
      <c r="G25" s="15" t="s">
        <v>12</v>
      </c>
      <c r="H25" s="14">
        <v>7.0000000000000007E-2</v>
      </c>
      <c r="I25" s="15" t="s">
        <v>13</v>
      </c>
      <c r="J25" s="14">
        <v>0.76</v>
      </c>
      <c r="K25" s="13" t="s">
        <v>17</v>
      </c>
      <c r="L25" s="14">
        <v>0.06</v>
      </c>
      <c r="M25" s="13" t="s">
        <v>18</v>
      </c>
      <c r="N25" s="14">
        <v>0.01</v>
      </c>
      <c r="O25" s="13" t="s">
        <v>19</v>
      </c>
      <c r="P25" s="14">
        <v>0.04</v>
      </c>
      <c r="Q25" s="15" t="s">
        <v>20</v>
      </c>
      <c r="R25" s="14">
        <v>0.02</v>
      </c>
      <c r="S25" s="15" t="s">
        <v>14</v>
      </c>
      <c r="T25" s="14">
        <v>0.04</v>
      </c>
      <c r="U25" s="30">
        <f t="shared" si="0"/>
        <v>1</v>
      </c>
      <c r="Y25" s="39"/>
      <c r="Z25" s="39"/>
    </row>
    <row r="26" spans="1:26" s="31" customFormat="1" x14ac:dyDescent="0.25">
      <c r="A26" s="15">
        <v>2</v>
      </c>
      <c r="B26" s="15" t="s">
        <v>49</v>
      </c>
      <c r="C26" s="15" t="s">
        <v>10</v>
      </c>
      <c r="D26" s="15" t="s">
        <v>51</v>
      </c>
      <c r="E26" s="14">
        <f>56/281</f>
        <v>0.199288256227758</v>
      </c>
      <c r="F26" s="35">
        <v>4129</v>
      </c>
      <c r="G26" s="15" t="s">
        <v>12</v>
      </c>
      <c r="H26" s="14">
        <v>0.06</v>
      </c>
      <c r="I26" s="15" t="s">
        <v>13</v>
      </c>
      <c r="J26" s="14">
        <v>0.84</v>
      </c>
      <c r="K26" s="13" t="s">
        <v>17</v>
      </c>
      <c r="L26" s="14">
        <v>0.04</v>
      </c>
      <c r="M26" s="13" t="s">
        <v>18</v>
      </c>
      <c r="N26" s="14">
        <v>0.01</v>
      </c>
      <c r="O26" s="13" t="s">
        <v>19</v>
      </c>
      <c r="P26" s="14">
        <v>0.01</v>
      </c>
      <c r="Q26" s="34" t="s">
        <v>20</v>
      </c>
      <c r="R26" s="38"/>
      <c r="S26" s="15" t="s">
        <v>14</v>
      </c>
      <c r="T26" s="14">
        <v>0.03</v>
      </c>
      <c r="U26" s="30">
        <f t="shared" si="0"/>
        <v>0.99</v>
      </c>
      <c r="Y26" s="39"/>
      <c r="Z26" s="39"/>
    </row>
    <row r="27" spans="1:26" s="31" customFormat="1" x14ac:dyDescent="0.25">
      <c r="A27" s="15">
        <v>2</v>
      </c>
      <c r="B27" s="15" t="s">
        <v>49</v>
      </c>
      <c r="C27" s="15" t="s">
        <v>10</v>
      </c>
      <c r="D27" s="15" t="s">
        <v>52</v>
      </c>
      <c r="E27" s="14">
        <f>113/281</f>
        <v>0.40213523131672596</v>
      </c>
      <c r="F27" s="35">
        <v>3177</v>
      </c>
      <c r="G27" s="15" t="s">
        <v>12</v>
      </c>
      <c r="H27" s="14">
        <v>0.12</v>
      </c>
      <c r="I27" s="15" t="s">
        <v>13</v>
      </c>
      <c r="J27" s="14">
        <v>0.67</v>
      </c>
      <c r="K27" s="13" t="s">
        <v>17</v>
      </c>
      <c r="L27" s="14">
        <v>7.0000000000000007E-2</v>
      </c>
      <c r="M27" s="13" t="s">
        <v>18</v>
      </c>
      <c r="N27" s="14">
        <v>0.02</v>
      </c>
      <c r="O27" s="13" t="s">
        <v>19</v>
      </c>
      <c r="P27" s="14">
        <v>0.06</v>
      </c>
      <c r="Q27" s="15" t="s">
        <v>20</v>
      </c>
      <c r="R27" s="14">
        <v>0.01</v>
      </c>
      <c r="S27" s="15" t="s">
        <v>14</v>
      </c>
      <c r="T27" s="14">
        <v>0.04</v>
      </c>
      <c r="U27" s="30">
        <f t="shared" si="0"/>
        <v>0.99</v>
      </c>
      <c r="V27" s="39"/>
    </row>
    <row r="28" spans="1:26" s="1" customFormat="1" x14ac:dyDescent="0.25">
      <c r="A28" s="11">
        <v>3</v>
      </c>
      <c r="B28" s="9" t="s">
        <v>53</v>
      </c>
      <c r="C28" s="9" t="s">
        <v>10</v>
      </c>
      <c r="D28" s="10" t="s">
        <v>54</v>
      </c>
      <c r="E28" s="10">
        <f>247/281</f>
        <v>0.87900355871886116</v>
      </c>
      <c r="F28" s="22">
        <v>4242</v>
      </c>
      <c r="G28" s="9" t="s">
        <v>12</v>
      </c>
      <c r="H28" s="12">
        <v>0.17</v>
      </c>
      <c r="I28" s="9" t="s">
        <v>13</v>
      </c>
      <c r="J28" s="10">
        <v>0.73</v>
      </c>
      <c r="K28" s="11" t="s">
        <v>17</v>
      </c>
      <c r="L28" s="20">
        <v>0.04</v>
      </c>
      <c r="M28" s="11" t="s">
        <v>18</v>
      </c>
      <c r="N28" s="12">
        <v>0.03</v>
      </c>
      <c r="O28" s="11" t="s">
        <v>19</v>
      </c>
      <c r="P28" s="12">
        <v>0.01</v>
      </c>
      <c r="Q28" s="9" t="s">
        <v>20</v>
      </c>
      <c r="R28" s="18">
        <v>0.01</v>
      </c>
      <c r="S28" s="9" t="s">
        <v>14</v>
      </c>
      <c r="T28" s="18">
        <v>0.01</v>
      </c>
      <c r="U28" s="26">
        <f t="shared" si="0"/>
        <v>1</v>
      </c>
      <c r="Y28" s="2"/>
      <c r="Z28" s="2"/>
    </row>
    <row r="29" spans="1:26" s="31" customFormat="1" x14ac:dyDescent="0.25">
      <c r="A29" s="13">
        <v>1</v>
      </c>
      <c r="B29" s="13" t="s">
        <v>55</v>
      </c>
      <c r="C29" s="13" t="s">
        <v>10</v>
      </c>
      <c r="D29" s="13" t="s">
        <v>56</v>
      </c>
      <c r="E29" s="14">
        <f>160/281</f>
        <v>0.56939501779359436</v>
      </c>
      <c r="F29" s="35">
        <v>4601</v>
      </c>
      <c r="G29" s="15" t="s">
        <v>12</v>
      </c>
      <c r="H29" s="14">
        <v>0.4</v>
      </c>
      <c r="I29" s="15" t="s">
        <v>13</v>
      </c>
      <c r="J29" s="14">
        <v>0.52</v>
      </c>
      <c r="K29" s="13" t="s">
        <v>17</v>
      </c>
      <c r="L29" s="14">
        <v>0.02</v>
      </c>
      <c r="M29" s="13" t="s">
        <v>18</v>
      </c>
      <c r="N29" s="14">
        <v>0.01</v>
      </c>
      <c r="O29" s="13" t="s">
        <v>19</v>
      </c>
      <c r="P29" s="14">
        <v>0.01</v>
      </c>
      <c r="Q29" s="34" t="s">
        <v>20</v>
      </c>
      <c r="R29" s="38"/>
      <c r="S29" s="15" t="s">
        <v>14</v>
      </c>
      <c r="T29" s="14">
        <v>0.04</v>
      </c>
      <c r="U29" s="30">
        <f t="shared" si="0"/>
        <v>1</v>
      </c>
      <c r="Y29" s="39"/>
      <c r="Z29" s="39"/>
    </row>
    <row r="30" spans="1:26" s="31" customFormat="1" x14ac:dyDescent="0.25">
      <c r="A30" s="13">
        <v>1</v>
      </c>
      <c r="B30" s="13" t="s">
        <v>55</v>
      </c>
      <c r="C30" s="13" t="s">
        <v>10</v>
      </c>
      <c r="D30" s="13" t="s">
        <v>57</v>
      </c>
      <c r="E30" s="14">
        <f>160/281</f>
        <v>0.56939501779359436</v>
      </c>
      <c r="F30" s="35">
        <v>3230</v>
      </c>
      <c r="G30" s="15" t="s">
        <v>12</v>
      </c>
      <c r="H30" s="14">
        <v>0.34</v>
      </c>
      <c r="I30" s="15" t="s">
        <v>13</v>
      </c>
      <c r="J30" s="14">
        <v>0.59</v>
      </c>
      <c r="K30" s="13" t="s">
        <v>17</v>
      </c>
      <c r="L30" s="14">
        <v>0.02</v>
      </c>
      <c r="M30" s="13" t="s">
        <v>18</v>
      </c>
      <c r="N30" s="14">
        <v>0.02</v>
      </c>
      <c r="O30" s="13" t="s">
        <v>19</v>
      </c>
      <c r="P30" s="14">
        <v>0.01</v>
      </c>
      <c r="Q30" s="34" t="s">
        <v>20</v>
      </c>
      <c r="R30" s="38"/>
      <c r="S30" s="15" t="s">
        <v>14</v>
      </c>
      <c r="T30" s="14">
        <v>0.01</v>
      </c>
      <c r="U30" s="30">
        <f t="shared" si="0"/>
        <v>0.99</v>
      </c>
      <c r="Y30" s="39"/>
      <c r="Z30" s="39"/>
    </row>
    <row r="31" spans="1:26" s="31" customFormat="1" x14ac:dyDescent="0.25">
      <c r="A31" s="15">
        <v>1</v>
      </c>
      <c r="B31" s="15" t="s">
        <v>55</v>
      </c>
      <c r="C31" s="15" t="s">
        <v>10</v>
      </c>
      <c r="D31" s="15" t="s">
        <v>58</v>
      </c>
      <c r="E31" s="14">
        <f>100/281</f>
        <v>0.35587188612099646</v>
      </c>
      <c r="F31" s="35">
        <v>3480</v>
      </c>
      <c r="G31" s="15" t="s">
        <v>12</v>
      </c>
      <c r="H31" s="14">
        <v>0.16</v>
      </c>
      <c r="I31" s="15" t="s">
        <v>13</v>
      </c>
      <c r="J31" s="14">
        <v>0.79</v>
      </c>
      <c r="K31" s="13" t="s">
        <v>17</v>
      </c>
      <c r="L31" s="14">
        <v>0.01</v>
      </c>
      <c r="M31" s="13" t="s">
        <v>18</v>
      </c>
      <c r="N31" s="14">
        <v>0.02</v>
      </c>
      <c r="O31" s="13" t="s">
        <v>19</v>
      </c>
      <c r="P31" s="14">
        <v>0.01</v>
      </c>
      <c r="Q31" s="34" t="s">
        <v>20</v>
      </c>
      <c r="R31" s="38"/>
      <c r="S31" s="15" t="s">
        <v>14</v>
      </c>
      <c r="T31" s="14">
        <v>0.01</v>
      </c>
      <c r="U31" s="30">
        <f t="shared" si="0"/>
        <v>1</v>
      </c>
      <c r="Y31" s="39"/>
      <c r="Z31" s="39"/>
    </row>
    <row r="32" spans="1:26" s="31" customFormat="1" x14ac:dyDescent="0.25">
      <c r="A32" s="13">
        <v>1</v>
      </c>
      <c r="B32" s="13" t="s">
        <v>55</v>
      </c>
      <c r="C32" s="15" t="s">
        <v>10</v>
      </c>
      <c r="D32" s="15" t="s">
        <v>59</v>
      </c>
      <c r="E32" s="14">
        <f>182/281</f>
        <v>0.64768683274021355</v>
      </c>
      <c r="F32" s="35">
        <v>9778</v>
      </c>
      <c r="G32" s="15" t="s">
        <v>12</v>
      </c>
      <c r="H32" s="14">
        <v>0.16</v>
      </c>
      <c r="I32" s="15" t="s">
        <v>13</v>
      </c>
      <c r="J32" s="14">
        <v>0.78</v>
      </c>
      <c r="K32" s="13" t="s">
        <v>17</v>
      </c>
      <c r="L32" s="14">
        <v>0.03</v>
      </c>
      <c r="M32" s="13" t="s">
        <v>18</v>
      </c>
      <c r="N32" s="14">
        <v>0.02</v>
      </c>
      <c r="O32" s="13" t="s">
        <v>19</v>
      </c>
      <c r="P32" s="14"/>
      <c r="Q32" s="34" t="s">
        <v>20</v>
      </c>
      <c r="R32" s="38"/>
      <c r="S32" s="15" t="s">
        <v>14</v>
      </c>
      <c r="T32" s="14">
        <v>0.01</v>
      </c>
      <c r="U32" s="30">
        <f t="shared" si="0"/>
        <v>1</v>
      </c>
      <c r="Y32" s="39"/>
      <c r="Z32" s="39"/>
    </row>
    <row r="33" spans="1:26" s="31" customFormat="1" x14ac:dyDescent="0.25">
      <c r="A33" s="13">
        <v>1</v>
      </c>
      <c r="B33" s="15" t="s">
        <v>55</v>
      </c>
      <c r="C33" s="15" t="s">
        <v>10</v>
      </c>
      <c r="D33" s="15" t="s">
        <v>60</v>
      </c>
      <c r="E33" s="14">
        <f>41/281</f>
        <v>0.14590747330960854</v>
      </c>
      <c r="F33" s="35">
        <v>1602</v>
      </c>
      <c r="G33" s="15" t="s">
        <v>12</v>
      </c>
      <c r="H33" s="14">
        <v>0.09</v>
      </c>
      <c r="I33" s="15" t="s">
        <v>13</v>
      </c>
      <c r="J33" s="14">
        <v>0.85</v>
      </c>
      <c r="K33" s="13" t="s">
        <v>17</v>
      </c>
      <c r="L33" s="14">
        <v>0.03</v>
      </c>
      <c r="M33" s="13" t="s">
        <v>18</v>
      </c>
      <c r="N33" s="14">
        <v>0.01</v>
      </c>
      <c r="O33" s="13" t="s">
        <v>19</v>
      </c>
      <c r="P33" s="14">
        <v>0.01</v>
      </c>
      <c r="Q33" s="34" t="s">
        <v>20</v>
      </c>
      <c r="R33" s="38"/>
      <c r="S33" s="15" t="s">
        <v>14</v>
      </c>
      <c r="T33" s="14">
        <v>0.01</v>
      </c>
      <c r="U33" s="30">
        <f t="shared" si="0"/>
        <v>1</v>
      </c>
      <c r="Y33" s="39"/>
      <c r="Z33" s="39"/>
    </row>
    <row r="34" spans="1:26" s="31" customFormat="1" x14ac:dyDescent="0.25">
      <c r="A34" s="15">
        <v>1</v>
      </c>
      <c r="B34" s="15" t="s">
        <v>61</v>
      </c>
      <c r="C34" s="15" t="s">
        <v>10</v>
      </c>
      <c r="D34" s="15" t="s">
        <v>62</v>
      </c>
      <c r="E34" s="14">
        <f>90/281</f>
        <v>0.32028469750889682</v>
      </c>
      <c r="F34" s="35">
        <v>6896</v>
      </c>
      <c r="G34" s="15" t="s">
        <v>12</v>
      </c>
      <c r="H34" s="14">
        <v>0.08</v>
      </c>
      <c r="I34" s="15" t="s">
        <v>13</v>
      </c>
      <c r="J34" s="14">
        <v>0.84</v>
      </c>
      <c r="K34" s="13" t="s">
        <v>17</v>
      </c>
      <c r="L34" s="14">
        <v>0.03</v>
      </c>
      <c r="M34" s="13" t="s">
        <v>18</v>
      </c>
      <c r="N34" s="14">
        <v>0.01</v>
      </c>
      <c r="O34" s="13" t="s">
        <v>19</v>
      </c>
      <c r="P34" s="14">
        <v>0.01</v>
      </c>
      <c r="Q34" s="34" t="s">
        <v>20</v>
      </c>
      <c r="R34" s="38"/>
      <c r="S34" s="15" t="s">
        <v>14</v>
      </c>
      <c r="T34" s="14">
        <v>0.02</v>
      </c>
      <c r="U34" s="30">
        <f t="shared" si="0"/>
        <v>0.98999999999999988</v>
      </c>
      <c r="Y34" s="39"/>
      <c r="Z34" s="39"/>
    </row>
    <row r="35" spans="1:26" s="31" customFormat="1" x14ac:dyDescent="0.25">
      <c r="A35" s="15">
        <v>1</v>
      </c>
      <c r="B35" s="15" t="s">
        <v>61</v>
      </c>
      <c r="C35" s="15" t="s">
        <v>10</v>
      </c>
      <c r="D35" s="15" t="s">
        <v>63</v>
      </c>
      <c r="E35" s="14">
        <f>86/281</f>
        <v>0.30604982206405695</v>
      </c>
      <c r="F35" s="35">
        <v>4186</v>
      </c>
      <c r="G35" s="15" t="s">
        <v>12</v>
      </c>
      <c r="H35" s="14">
        <v>0.16</v>
      </c>
      <c r="I35" s="15" t="s">
        <v>13</v>
      </c>
      <c r="J35" s="14">
        <v>0.7</v>
      </c>
      <c r="K35" s="13" t="s">
        <v>17</v>
      </c>
      <c r="L35" s="14">
        <v>0.05</v>
      </c>
      <c r="M35" s="13" t="s">
        <v>18</v>
      </c>
      <c r="N35" s="14">
        <v>0.05</v>
      </c>
      <c r="O35" s="13" t="s">
        <v>19</v>
      </c>
      <c r="P35" s="14">
        <v>0.01</v>
      </c>
      <c r="Q35" s="15" t="s">
        <v>20</v>
      </c>
      <c r="R35" s="14">
        <v>0.01</v>
      </c>
      <c r="S35" s="15" t="s">
        <v>14</v>
      </c>
      <c r="T35" s="14">
        <v>0.03</v>
      </c>
      <c r="U35" s="30">
        <f t="shared" si="0"/>
        <v>1.01</v>
      </c>
      <c r="Y35" s="39"/>
      <c r="Z35" s="39"/>
    </row>
    <row r="36" spans="1:26" s="31" customFormat="1" x14ac:dyDescent="0.25">
      <c r="A36" s="13">
        <v>1</v>
      </c>
      <c r="B36" s="15" t="s">
        <v>64</v>
      </c>
      <c r="C36" s="15" t="s">
        <v>10</v>
      </c>
      <c r="D36" s="15" t="s">
        <v>65</v>
      </c>
      <c r="E36" s="14">
        <f>82/281</f>
        <v>0.29181494661921709</v>
      </c>
      <c r="F36" s="35">
        <v>6997</v>
      </c>
      <c r="G36" s="15" t="s">
        <v>12</v>
      </c>
      <c r="H36" s="14">
        <v>0.1</v>
      </c>
      <c r="I36" s="15" t="s">
        <v>13</v>
      </c>
      <c r="J36" s="14">
        <v>0.81</v>
      </c>
      <c r="K36" s="13" t="s">
        <v>17</v>
      </c>
      <c r="L36" s="14">
        <v>0.04</v>
      </c>
      <c r="M36" s="13" t="s">
        <v>18</v>
      </c>
      <c r="N36" s="14">
        <v>0.01</v>
      </c>
      <c r="O36" s="13" t="s">
        <v>19</v>
      </c>
      <c r="P36" s="14">
        <v>0.01</v>
      </c>
      <c r="Q36" s="34" t="s">
        <v>20</v>
      </c>
      <c r="R36" s="38"/>
      <c r="S36" s="15" t="s">
        <v>14</v>
      </c>
      <c r="T36" s="14">
        <v>0.02</v>
      </c>
      <c r="U36" s="30">
        <f t="shared" si="0"/>
        <v>0.9900000000000001</v>
      </c>
      <c r="Y36" s="39"/>
      <c r="Z36" s="39"/>
    </row>
    <row r="37" spans="1:26" s="31" customFormat="1" x14ac:dyDescent="0.25">
      <c r="A37" s="13">
        <v>3</v>
      </c>
      <c r="B37" s="13" t="s">
        <v>66</v>
      </c>
      <c r="C37" s="13" t="s">
        <v>10</v>
      </c>
      <c r="D37" s="13" t="s">
        <v>67</v>
      </c>
      <c r="E37" s="14">
        <f>185/281</f>
        <v>0.65836298932384341</v>
      </c>
      <c r="F37" s="35">
        <v>4215</v>
      </c>
      <c r="G37" s="15" t="s">
        <v>12</v>
      </c>
      <c r="H37" s="17">
        <v>0.31</v>
      </c>
      <c r="I37" s="15" t="s">
        <v>13</v>
      </c>
      <c r="J37" s="17">
        <v>0.65</v>
      </c>
      <c r="K37" s="13" t="s">
        <v>17</v>
      </c>
      <c r="L37" s="17">
        <v>0.02</v>
      </c>
      <c r="M37" s="34" t="s">
        <v>18</v>
      </c>
      <c r="N37" s="34"/>
      <c r="O37" s="13" t="s">
        <v>19</v>
      </c>
      <c r="P37" s="17">
        <v>0.01</v>
      </c>
      <c r="Q37" s="34" t="s">
        <v>20</v>
      </c>
      <c r="R37" s="34"/>
      <c r="S37" s="15" t="s">
        <v>14</v>
      </c>
      <c r="T37" s="14">
        <v>0.01</v>
      </c>
      <c r="U37" s="30">
        <f t="shared" si="0"/>
        <v>1</v>
      </c>
      <c r="V37" s="36"/>
      <c r="W37" s="36"/>
      <c r="X37" s="36"/>
      <c r="Y37" s="36"/>
      <c r="Z37" s="37"/>
    </row>
    <row r="38" spans="1:26" s="31" customFormat="1" x14ac:dyDescent="0.25">
      <c r="A38" s="15">
        <v>3</v>
      </c>
      <c r="B38" s="13" t="s">
        <v>66</v>
      </c>
      <c r="C38" s="13" t="s">
        <v>10</v>
      </c>
      <c r="D38" s="14" t="s">
        <v>68</v>
      </c>
      <c r="E38" s="14">
        <f>181/281</f>
        <v>0.64412811387900359</v>
      </c>
      <c r="F38" s="35">
        <v>2896</v>
      </c>
      <c r="G38" s="15" t="s">
        <v>12</v>
      </c>
      <c r="H38" s="17">
        <v>0.61</v>
      </c>
      <c r="I38" s="15" t="s">
        <v>13</v>
      </c>
      <c r="J38" s="17">
        <v>0.35</v>
      </c>
      <c r="K38" s="13" t="s">
        <v>17</v>
      </c>
      <c r="L38" s="17">
        <v>0.01</v>
      </c>
      <c r="M38" s="13" t="s">
        <v>18</v>
      </c>
      <c r="N38" s="17">
        <v>0.01</v>
      </c>
      <c r="O38" s="13" t="s">
        <v>19</v>
      </c>
      <c r="P38" s="34"/>
      <c r="Q38" s="34" t="s">
        <v>20</v>
      </c>
      <c r="R38" s="34"/>
      <c r="S38" s="15" t="s">
        <v>14</v>
      </c>
      <c r="T38" s="14">
        <v>0.01</v>
      </c>
      <c r="U38" s="30">
        <f t="shared" si="0"/>
        <v>0.99</v>
      </c>
      <c r="V38" s="37"/>
      <c r="W38" s="37"/>
      <c r="X38" s="37"/>
      <c r="Y38" s="36"/>
      <c r="Z38" s="36"/>
    </row>
    <row r="39" spans="1:26" s="1" customFormat="1" x14ac:dyDescent="0.25">
      <c r="A39" s="11">
        <v>1</v>
      </c>
      <c r="B39" s="11" t="s">
        <v>69</v>
      </c>
      <c r="C39" s="11" t="s">
        <v>10</v>
      </c>
      <c r="D39" s="12" t="s">
        <v>70</v>
      </c>
      <c r="E39" s="12">
        <f>238/281</f>
        <v>0.84697508896797158</v>
      </c>
      <c r="F39" s="22">
        <v>8916</v>
      </c>
      <c r="G39" s="9" t="s">
        <v>12</v>
      </c>
      <c r="H39" s="12">
        <v>0.16</v>
      </c>
      <c r="I39" s="9" t="s">
        <v>13</v>
      </c>
      <c r="J39" s="10">
        <v>0.79</v>
      </c>
      <c r="K39" s="11" t="s">
        <v>17</v>
      </c>
      <c r="L39" s="20">
        <v>0.02</v>
      </c>
      <c r="M39" s="11" t="s">
        <v>18</v>
      </c>
      <c r="N39" s="12">
        <v>0.01</v>
      </c>
      <c r="O39" s="11" t="s">
        <v>19</v>
      </c>
      <c r="P39" s="12">
        <v>0.01</v>
      </c>
      <c r="Q39" s="34" t="s">
        <v>20</v>
      </c>
      <c r="R39" s="38"/>
      <c r="S39" s="9" t="s">
        <v>14</v>
      </c>
      <c r="T39" s="18">
        <v>0.01</v>
      </c>
      <c r="U39" s="26">
        <f t="shared" si="0"/>
        <v>1</v>
      </c>
      <c r="V39" s="5"/>
      <c r="W39" s="5"/>
      <c r="X39" s="5"/>
      <c r="Y39" s="4"/>
      <c r="Z39" s="4"/>
    </row>
    <row r="40" spans="1:26" s="31" customFormat="1" x14ac:dyDescent="0.25">
      <c r="A40" s="15">
        <v>1</v>
      </c>
      <c r="B40" s="15" t="s">
        <v>69</v>
      </c>
      <c r="C40" s="15" t="s">
        <v>10</v>
      </c>
      <c r="D40" s="15" t="s">
        <v>71</v>
      </c>
      <c r="E40" s="14">
        <f>112/281</f>
        <v>0.39857651245551601</v>
      </c>
      <c r="F40" s="35">
        <v>5473</v>
      </c>
      <c r="G40" s="15" t="s">
        <v>12</v>
      </c>
      <c r="H40" s="17">
        <v>0.06</v>
      </c>
      <c r="I40" s="15" t="s">
        <v>13</v>
      </c>
      <c r="J40" s="17">
        <v>0.83</v>
      </c>
      <c r="K40" s="13" t="s">
        <v>17</v>
      </c>
      <c r="L40" s="17">
        <v>0.04</v>
      </c>
      <c r="M40" s="13" t="s">
        <v>18</v>
      </c>
      <c r="N40" s="17">
        <v>0.02</v>
      </c>
      <c r="O40" s="13" t="s">
        <v>19</v>
      </c>
      <c r="P40" s="17">
        <v>0.01</v>
      </c>
      <c r="Q40" s="34" t="s">
        <v>20</v>
      </c>
      <c r="R40" s="38"/>
      <c r="S40" s="15" t="s">
        <v>14</v>
      </c>
      <c r="T40" s="14">
        <v>0.03</v>
      </c>
      <c r="U40" s="30">
        <f t="shared" si="0"/>
        <v>0.99</v>
      </c>
      <c r="V40" s="37"/>
      <c r="W40" s="37"/>
      <c r="X40" s="37"/>
      <c r="Y40" s="36"/>
      <c r="Z40" s="36"/>
    </row>
    <row r="41" spans="1:26" s="1" customFormat="1" x14ac:dyDescent="0.25">
      <c r="A41" s="15">
        <v>1</v>
      </c>
      <c r="B41" s="15" t="s">
        <v>69</v>
      </c>
      <c r="C41" s="15" t="s">
        <v>10</v>
      </c>
      <c r="D41" s="15" t="s">
        <v>72</v>
      </c>
      <c r="E41" s="14">
        <f>49/281</f>
        <v>0.17437722419928825</v>
      </c>
      <c r="F41" s="22"/>
      <c r="G41" s="9" t="s">
        <v>12</v>
      </c>
      <c r="H41" s="29"/>
      <c r="I41" s="9" t="s">
        <v>13</v>
      </c>
      <c r="J41" s="29"/>
      <c r="K41" s="11" t="s">
        <v>17</v>
      </c>
      <c r="L41" s="29"/>
      <c r="M41" s="11" t="s">
        <v>18</v>
      </c>
      <c r="N41" s="29"/>
      <c r="O41" s="11" t="s">
        <v>19</v>
      </c>
      <c r="P41" s="29"/>
      <c r="Q41" s="34" t="s">
        <v>20</v>
      </c>
      <c r="R41" s="41"/>
      <c r="S41" s="34" t="s">
        <v>14</v>
      </c>
      <c r="T41" s="38"/>
      <c r="U41" s="26">
        <f t="shared" si="0"/>
        <v>0</v>
      </c>
      <c r="V41" s="5"/>
      <c r="W41" s="5"/>
      <c r="X41" s="5"/>
      <c r="Y41" s="4"/>
      <c r="Z41" s="4"/>
    </row>
    <row r="42" spans="1:26" s="1" customFormat="1" x14ac:dyDescent="0.25">
      <c r="A42" s="15">
        <v>1</v>
      </c>
      <c r="B42" s="15" t="s">
        <v>69</v>
      </c>
      <c r="C42" s="15" t="s">
        <v>10</v>
      </c>
      <c r="D42" s="15" t="s">
        <v>73</v>
      </c>
      <c r="E42" s="14">
        <f>122/281</f>
        <v>0.43416370106761565</v>
      </c>
      <c r="F42" s="22">
        <v>5249</v>
      </c>
      <c r="G42" s="9" t="s">
        <v>12</v>
      </c>
      <c r="H42" s="29">
        <v>0.09</v>
      </c>
      <c r="I42" s="9" t="s">
        <v>13</v>
      </c>
      <c r="J42" s="29">
        <v>0.85</v>
      </c>
      <c r="K42" s="11" t="s">
        <v>17</v>
      </c>
      <c r="L42" s="29">
        <v>0.02</v>
      </c>
      <c r="M42" s="11" t="s">
        <v>18</v>
      </c>
      <c r="N42" s="29"/>
      <c r="O42" s="11" t="s">
        <v>19</v>
      </c>
      <c r="P42" s="29">
        <v>0.01</v>
      </c>
      <c r="Q42" s="34" t="s">
        <v>20</v>
      </c>
      <c r="R42" s="41"/>
      <c r="S42" s="9" t="s">
        <v>14</v>
      </c>
      <c r="T42" s="16">
        <v>0.03</v>
      </c>
      <c r="U42" s="26">
        <f t="shared" si="0"/>
        <v>1</v>
      </c>
      <c r="V42" s="5"/>
      <c r="W42" s="5"/>
      <c r="X42" s="5"/>
      <c r="Y42" s="4"/>
      <c r="Z42" s="4"/>
    </row>
    <row r="43" spans="1:26" s="31" customFormat="1" x14ac:dyDescent="0.25">
      <c r="A43" s="15">
        <v>1</v>
      </c>
      <c r="B43" s="15" t="s">
        <v>69</v>
      </c>
      <c r="C43" s="15" t="s">
        <v>10</v>
      </c>
      <c r="D43" s="15" t="s">
        <v>74</v>
      </c>
      <c r="E43" s="14">
        <f>132/281</f>
        <v>0.46975088967971529</v>
      </c>
      <c r="F43" s="35">
        <v>8363</v>
      </c>
      <c r="G43" s="15" t="s">
        <v>12</v>
      </c>
      <c r="H43" s="17">
        <v>0.15</v>
      </c>
      <c r="I43" s="15" t="s">
        <v>13</v>
      </c>
      <c r="J43" s="17">
        <v>0.76</v>
      </c>
      <c r="K43" s="13" t="s">
        <v>17</v>
      </c>
      <c r="L43" s="17">
        <v>0.03</v>
      </c>
      <c r="M43" s="13" t="s">
        <v>18</v>
      </c>
      <c r="N43" s="17">
        <v>0.02</v>
      </c>
      <c r="O43" s="13" t="s">
        <v>19</v>
      </c>
      <c r="P43" s="17">
        <v>0.01</v>
      </c>
      <c r="Q43" s="34" t="s">
        <v>20</v>
      </c>
      <c r="R43" s="38"/>
      <c r="S43" s="15" t="s">
        <v>14</v>
      </c>
      <c r="T43" s="14">
        <v>0.02</v>
      </c>
      <c r="U43" s="30">
        <f t="shared" si="0"/>
        <v>0.9900000000000001</v>
      </c>
      <c r="V43" s="37"/>
      <c r="W43" s="37"/>
      <c r="X43" s="37"/>
      <c r="Y43" s="36"/>
      <c r="Z43" s="36"/>
    </row>
    <row r="44" spans="1:26" s="1" customFormat="1" x14ac:dyDescent="0.25">
      <c r="A44" s="9">
        <v>3</v>
      </c>
      <c r="B44" s="9" t="s">
        <v>75</v>
      </c>
      <c r="C44" s="9" t="s">
        <v>10</v>
      </c>
      <c r="D44" s="9" t="s">
        <v>76</v>
      </c>
      <c r="E44" s="10">
        <f>263/281</f>
        <v>0.93594306049822062</v>
      </c>
      <c r="F44" s="22">
        <v>4026</v>
      </c>
      <c r="G44" s="9" t="s">
        <v>12</v>
      </c>
      <c r="H44" s="10">
        <v>0.88</v>
      </c>
      <c r="I44" s="9" t="s">
        <v>13</v>
      </c>
      <c r="J44" s="10">
        <v>0.11</v>
      </c>
      <c r="K44" s="11" t="s">
        <v>17</v>
      </c>
      <c r="L44" s="20">
        <v>0.01</v>
      </c>
      <c r="M44" s="24"/>
      <c r="N44" s="24"/>
      <c r="O44" s="24"/>
      <c r="P44" s="24"/>
      <c r="Q44" s="24"/>
      <c r="R44" s="24"/>
      <c r="S44" s="9" t="s">
        <v>14</v>
      </c>
      <c r="T44" s="20">
        <v>0.01</v>
      </c>
      <c r="U44" s="26">
        <f t="shared" si="0"/>
        <v>1.01</v>
      </c>
      <c r="V44" s="5"/>
      <c r="W44" s="5"/>
      <c r="X44" s="5"/>
      <c r="Y44" s="4"/>
      <c r="Z44" s="4"/>
    </row>
    <row r="45" spans="1:26" s="31" customFormat="1" x14ac:dyDescent="0.25">
      <c r="A45" s="15">
        <v>3</v>
      </c>
      <c r="B45" s="15" t="s">
        <v>75</v>
      </c>
      <c r="C45" s="15" t="s">
        <v>10</v>
      </c>
      <c r="D45" s="15" t="s">
        <v>77</v>
      </c>
      <c r="E45" s="17">
        <f>120/281</f>
        <v>0.42704626334519574</v>
      </c>
      <c r="F45" s="35">
        <v>7032</v>
      </c>
      <c r="G45" s="15" t="s">
        <v>12</v>
      </c>
      <c r="H45" s="17">
        <v>0.21</v>
      </c>
      <c r="I45" s="15" t="s">
        <v>13</v>
      </c>
      <c r="J45" s="17">
        <v>0.74</v>
      </c>
      <c r="K45" s="13" t="s">
        <v>17</v>
      </c>
      <c r="L45" s="17">
        <v>0.02</v>
      </c>
      <c r="M45" s="34" t="s">
        <v>18</v>
      </c>
      <c r="N45" s="34"/>
      <c r="O45" s="13" t="s">
        <v>19</v>
      </c>
      <c r="P45" s="17">
        <v>0.01</v>
      </c>
      <c r="Q45" s="34" t="s">
        <v>20</v>
      </c>
      <c r="R45" s="34"/>
      <c r="S45" s="15" t="s">
        <v>14</v>
      </c>
      <c r="T45" s="14">
        <v>0.01</v>
      </c>
      <c r="U45" s="30">
        <f t="shared" si="0"/>
        <v>0.99</v>
      </c>
      <c r="V45" s="37"/>
      <c r="W45" s="37"/>
      <c r="X45" s="37"/>
      <c r="Y45" s="36"/>
      <c r="Z45" s="36"/>
    </row>
    <row r="46" spans="1:26" s="1" customFormat="1" x14ac:dyDescent="0.25">
      <c r="A46" s="9">
        <v>3</v>
      </c>
      <c r="B46" s="9" t="s">
        <v>75</v>
      </c>
      <c r="C46" s="9" t="s">
        <v>10</v>
      </c>
      <c r="D46" s="9" t="s">
        <v>78</v>
      </c>
      <c r="E46" s="10">
        <f>272/281</f>
        <v>0.96797153024911031</v>
      </c>
      <c r="F46" s="22">
        <v>8491</v>
      </c>
      <c r="G46" s="9" t="s">
        <v>12</v>
      </c>
      <c r="H46" s="10">
        <v>0.78</v>
      </c>
      <c r="I46" s="9" t="s">
        <v>13</v>
      </c>
      <c r="J46" s="10">
        <v>0.19</v>
      </c>
      <c r="K46" s="11" t="s">
        <v>17</v>
      </c>
      <c r="L46" s="20">
        <v>0.01</v>
      </c>
      <c r="M46" s="11" t="s">
        <v>18</v>
      </c>
      <c r="N46" s="12">
        <v>0.01</v>
      </c>
      <c r="O46" s="23"/>
      <c r="P46" s="23"/>
      <c r="Q46" s="23"/>
      <c r="R46" s="23"/>
      <c r="S46" s="24"/>
      <c r="T46" s="24"/>
      <c r="U46" s="26">
        <f t="shared" si="0"/>
        <v>0.99</v>
      </c>
      <c r="V46" s="5"/>
      <c r="W46" s="5"/>
      <c r="X46" s="5"/>
      <c r="Y46" s="4"/>
      <c r="Z46" s="4"/>
    </row>
    <row r="47" spans="1:26" s="1" customFormat="1" x14ac:dyDescent="0.25">
      <c r="A47" s="11">
        <v>3</v>
      </c>
      <c r="B47" s="9" t="s">
        <v>75</v>
      </c>
      <c r="C47" s="9" t="s">
        <v>10</v>
      </c>
      <c r="D47" s="9" t="s">
        <v>79</v>
      </c>
      <c r="E47" s="10">
        <f>239/281</f>
        <v>0.85053380782918153</v>
      </c>
      <c r="F47" s="22">
        <v>6630</v>
      </c>
      <c r="G47" s="9" t="s">
        <v>12</v>
      </c>
      <c r="H47" s="10">
        <v>0.43</v>
      </c>
      <c r="I47" s="9" t="s">
        <v>13</v>
      </c>
      <c r="J47" s="10">
        <v>0.51</v>
      </c>
      <c r="K47" s="11" t="s">
        <v>17</v>
      </c>
      <c r="L47" s="20">
        <v>0.02</v>
      </c>
      <c r="M47" s="9" t="s">
        <v>18</v>
      </c>
      <c r="N47" s="18">
        <v>0.02</v>
      </c>
      <c r="O47" s="12" t="s">
        <v>19</v>
      </c>
      <c r="P47" s="12">
        <v>0.01</v>
      </c>
      <c r="Q47" s="34" t="s">
        <v>20</v>
      </c>
      <c r="R47" s="38"/>
      <c r="S47" s="9" t="s">
        <v>14</v>
      </c>
      <c r="T47" s="18">
        <v>0.01</v>
      </c>
      <c r="U47" s="26">
        <f t="shared" si="0"/>
        <v>1</v>
      </c>
      <c r="V47" s="5"/>
      <c r="W47" s="5"/>
      <c r="X47" s="5"/>
      <c r="Y47" s="4"/>
      <c r="Z47" s="4"/>
    </row>
    <row r="48" spans="1:26" s="1" customFormat="1" x14ac:dyDescent="0.25">
      <c r="A48" s="9">
        <v>3</v>
      </c>
      <c r="B48" s="9" t="s">
        <v>75</v>
      </c>
      <c r="C48" s="9" t="s">
        <v>10</v>
      </c>
      <c r="D48" s="9" t="s">
        <v>80</v>
      </c>
      <c r="E48" s="10">
        <f>268/281</f>
        <v>0.9537366548042705</v>
      </c>
      <c r="F48" s="22">
        <v>8662</v>
      </c>
      <c r="G48" s="9" t="s">
        <v>12</v>
      </c>
      <c r="H48" s="10">
        <v>0.89</v>
      </c>
      <c r="I48" s="9" t="s">
        <v>13</v>
      </c>
      <c r="J48" s="10">
        <v>0.1</v>
      </c>
      <c r="K48" s="24"/>
      <c r="L48" s="24"/>
      <c r="M48" s="24"/>
      <c r="N48" s="24"/>
      <c r="O48" s="23"/>
      <c r="P48" s="23"/>
      <c r="Q48" s="23"/>
      <c r="R48" s="23"/>
      <c r="S48" s="24"/>
      <c r="T48" s="24"/>
      <c r="U48" s="26">
        <f t="shared" si="0"/>
        <v>0.99</v>
      </c>
      <c r="V48" s="5"/>
      <c r="W48" s="5"/>
      <c r="X48" s="5"/>
      <c r="Y48" s="4"/>
      <c r="Z48" s="4"/>
    </row>
    <row r="49" spans="1:26" s="1" customFormat="1" x14ac:dyDescent="0.25">
      <c r="A49" s="9">
        <v>3</v>
      </c>
      <c r="B49" s="9" t="s">
        <v>75</v>
      </c>
      <c r="C49" s="9" t="s">
        <v>10</v>
      </c>
      <c r="D49" s="9" t="s">
        <v>81</v>
      </c>
      <c r="E49" s="10">
        <f>267/281</f>
        <v>0.95017793594306055</v>
      </c>
      <c r="F49" s="22">
        <v>4808</v>
      </c>
      <c r="G49" s="9" t="s">
        <v>12</v>
      </c>
      <c r="H49" s="10">
        <v>0.79</v>
      </c>
      <c r="I49" s="9" t="s">
        <v>13</v>
      </c>
      <c r="J49" s="10">
        <v>0.1</v>
      </c>
      <c r="K49" s="11" t="s">
        <v>17</v>
      </c>
      <c r="L49" s="20">
        <v>0.01</v>
      </c>
      <c r="M49" s="9" t="s">
        <v>18</v>
      </c>
      <c r="N49" s="10">
        <v>0.09</v>
      </c>
      <c r="O49" s="23"/>
      <c r="P49" s="23"/>
      <c r="Q49" s="23"/>
      <c r="R49" s="23"/>
      <c r="S49" s="24"/>
      <c r="T49" s="24"/>
      <c r="U49" s="26">
        <f t="shared" si="0"/>
        <v>0.99</v>
      </c>
      <c r="V49" s="4"/>
      <c r="W49" s="4"/>
      <c r="X49" s="4"/>
      <c r="Y49" s="4"/>
      <c r="Z49" s="5"/>
    </row>
    <row r="50" spans="1:26" s="1" customFormat="1" x14ac:dyDescent="0.25">
      <c r="A50" s="11">
        <v>3</v>
      </c>
      <c r="B50" s="9" t="s">
        <v>75</v>
      </c>
      <c r="C50" s="9" t="s">
        <v>10</v>
      </c>
      <c r="D50" s="9" t="s">
        <v>82</v>
      </c>
      <c r="E50" s="10">
        <f>260/281</f>
        <v>0.92526690391459077</v>
      </c>
      <c r="F50" s="22">
        <v>3529</v>
      </c>
      <c r="G50" s="9" t="s">
        <v>12</v>
      </c>
      <c r="H50" s="10">
        <v>0.55000000000000004</v>
      </c>
      <c r="I50" s="9" t="s">
        <v>13</v>
      </c>
      <c r="J50" s="10">
        <v>0.41</v>
      </c>
      <c r="K50" s="11" t="s">
        <v>17</v>
      </c>
      <c r="L50" s="20">
        <v>0.01</v>
      </c>
      <c r="M50" s="9" t="s">
        <v>18</v>
      </c>
      <c r="N50" s="18">
        <v>0.02</v>
      </c>
      <c r="O50" s="23"/>
      <c r="P50" s="23"/>
      <c r="Q50" s="23"/>
      <c r="R50" s="23"/>
      <c r="S50" s="9" t="s">
        <v>14</v>
      </c>
      <c r="T50" s="18">
        <v>0.01</v>
      </c>
      <c r="U50" s="26">
        <f t="shared" si="0"/>
        <v>1</v>
      </c>
      <c r="V50" s="4"/>
      <c r="W50" s="4"/>
      <c r="X50" s="4"/>
      <c r="Y50" s="4"/>
      <c r="Z50" s="5"/>
    </row>
    <row r="51" spans="1:26" s="1" customFormat="1" x14ac:dyDescent="0.25">
      <c r="A51" s="9">
        <v>3</v>
      </c>
      <c r="B51" s="9" t="s">
        <v>75</v>
      </c>
      <c r="C51" s="9" t="s">
        <v>10</v>
      </c>
      <c r="D51" s="9" t="s">
        <v>83</v>
      </c>
      <c r="E51" s="10">
        <f>274/281</f>
        <v>0.97508896797153022</v>
      </c>
      <c r="F51" s="22">
        <v>6838</v>
      </c>
      <c r="G51" s="9" t="s">
        <v>12</v>
      </c>
      <c r="H51" s="10">
        <v>0.78</v>
      </c>
      <c r="I51" s="9" t="s">
        <v>13</v>
      </c>
      <c r="J51" s="10">
        <v>7.0000000000000007E-2</v>
      </c>
      <c r="K51" s="11" t="s">
        <v>17</v>
      </c>
      <c r="L51" s="20">
        <v>0.01</v>
      </c>
      <c r="M51" s="9" t="s">
        <v>18</v>
      </c>
      <c r="N51" s="18">
        <v>0.12</v>
      </c>
      <c r="O51" s="23"/>
      <c r="P51" s="23"/>
      <c r="Q51" s="23"/>
      <c r="R51" s="23"/>
      <c r="S51" s="9" t="s">
        <v>14</v>
      </c>
      <c r="T51" s="18">
        <v>0.02</v>
      </c>
      <c r="U51" s="26">
        <f t="shared" si="0"/>
        <v>1</v>
      </c>
      <c r="V51" s="4"/>
      <c r="W51" s="4"/>
      <c r="X51" s="4"/>
      <c r="Y51" s="4"/>
      <c r="Z51" s="5"/>
    </row>
    <row r="52" spans="1:26" s="31" customFormat="1" x14ac:dyDescent="0.25">
      <c r="A52" s="15">
        <v>3</v>
      </c>
      <c r="B52" s="15" t="s">
        <v>75</v>
      </c>
      <c r="C52" s="15" t="s">
        <v>10</v>
      </c>
      <c r="D52" s="15" t="s">
        <v>84</v>
      </c>
      <c r="E52" s="14">
        <f>156/281</f>
        <v>0.55516014234875444</v>
      </c>
      <c r="F52" s="35">
        <v>8091</v>
      </c>
      <c r="G52" s="15" t="s">
        <v>12</v>
      </c>
      <c r="H52" s="17">
        <v>0.5</v>
      </c>
      <c r="I52" s="15" t="s">
        <v>13</v>
      </c>
      <c r="J52" s="17">
        <v>0.45</v>
      </c>
      <c r="K52" s="13" t="s">
        <v>17</v>
      </c>
      <c r="L52" s="17">
        <v>0.02</v>
      </c>
      <c r="M52" s="13" t="s">
        <v>18</v>
      </c>
      <c r="N52" s="17">
        <v>0.02</v>
      </c>
      <c r="O52" s="34" t="s">
        <v>19</v>
      </c>
      <c r="P52" s="38"/>
      <c r="Q52" s="34" t="s">
        <v>20</v>
      </c>
      <c r="R52" s="38"/>
      <c r="S52" s="15" t="s">
        <v>14</v>
      </c>
      <c r="T52" s="14">
        <v>0.01</v>
      </c>
      <c r="U52" s="30">
        <f t="shared" si="0"/>
        <v>1</v>
      </c>
      <c r="V52" s="36"/>
      <c r="W52" s="36"/>
      <c r="X52" s="36"/>
      <c r="Y52" s="36"/>
      <c r="Z52" s="37"/>
    </row>
    <row r="53" spans="1:26" s="1" customFormat="1" x14ac:dyDescent="0.25">
      <c r="A53"/>
      <c r="B53"/>
      <c r="C53"/>
      <c r="D53"/>
      <c r="E53"/>
      <c r="F53" s="22">
        <f>SUBTOTAL(9,F3:F52)</f>
        <v>270695</v>
      </c>
      <c r="S53"/>
      <c r="T53"/>
    </row>
    <row r="54" spans="1:26" s="1" customFormat="1" x14ac:dyDescent="0.25">
      <c r="A54"/>
      <c r="B54"/>
      <c r="C54"/>
      <c r="D54" s="3" t="s">
        <v>85</v>
      </c>
      <c r="E54"/>
      <c r="F54"/>
      <c r="L54" s="2"/>
      <c r="S54"/>
      <c r="T54"/>
    </row>
    <row r="55" spans="1:26" s="1" customFormat="1" x14ac:dyDescent="0.25">
      <c r="A55"/>
      <c r="B55"/>
      <c r="C55"/>
      <c r="D55" s="9" t="s">
        <v>86</v>
      </c>
      <c r="E55"/>
      <c r="F55"/>
      <c r="G55" s="2"/>
      <c r="H55" s="2"/>
      <c r="I55" s="2"/>
      <c r="J55" s="2"/>
      <c r="K55" s="2"/>
      <c r="L55" s="2"/>
      <c r="M55" s="2"/>
      <c r="S55"/>
      <c r="T55"/>
    </row>
    <row r="56" spans="1:26" s="1" customFormat="1" x14ac:dyDescent="0.25">
      <c r="A56"/>
      <c r="B56"/>
      <c r="C56"/>
      <c r="D56" s="6" t="s">
        <v>87</v>
      </c>
      <c r="E56"/>
      <c r="F56"/>
      <c r="G56" s="2"/>
      <c r="H56" s="2"/>
      <c r="I56" s="2"/>
      <c r="J56" s="2"/>
      <c r="K56" s="2"/>
      <c r="L56" s="2"/>
      <c r="M56" s="2"/>
      <c r="S56"/>
      <c r="T56"/>
    </row>
    <row r="57" spans="1:26" s="1" customFormat="1" x14ac:dyDescent="0.25">
      <c r="A57"/>
      <c r="B57"/>
      <c r="C57"/>
      <c r="D57"/>
      <c r="E57"/>
      <c r="F57"/>
      <c r="G57" s="2"/>
      <c r="H57" s="2"/>
      <c r="I57" s="2"/>
      <c r="J57" s="2"/>
      <c r="K57" s="2"/>
      <c r="L57" s="2"/>
      <c r="M57" s="2"/>
      <c r="S57"/>
      <c r="T57"/>
    </row>
    <row r="58" spans="1:26" s="1" customFormat="1" x14ac:dyDescent="0.25">
      <c r="A58" s="40" t="s">
        <v>88</v>
      </c>
      <c r="B58"/>
      <c r="C58"/>
      <c r="D58"/>
      <c r="E58"/>
      <c r="F58"/>
      <c r="G58" s="2"/>
      <c r="H58" s="2"/>
      <c r="I58" s="2"/>
      <c r="J58" s="2"/>
      <c r="K58" s="2"/>
      <c r="L58" s="2"/>
      <c r="M58" s="2"/>
      <c r="S58"/>
      <c r="T58"/>
    </row>
    <row r="59" spans="1:26" s="1" customFormat="1" x14ac:dyDescent="0.25">
      <c r="A59"/>
      <c r="B59"/>
      <c r="C59"/>
      <c r="D59"/>
      <c r="E59"/>
      <c r="F59"/>
      <c r="G59" s="2"/>
      <c r="H59" s="2"/>
      <c r="I59" s="2"/>
      <c r="J59" s="2"/>
      <c r="K59" s="2"/>
      <c r="L59" s="2"/>
      <c r="M59" s="2"/>
      <c r="S59"/>
      <c r="T59"/>
    </row>
    <row r="60" spans="1:26" s="1" customFormat="1" x14ac:dyDescent="0.25">
      <c r="A60" s="45" t="s">
        <v>89</v>
      </c>
      <c r="B60" s="45"/>
      <c r="C60" s="45"/>
      <c r="D60" s="45"/>
      <c r="E60"/>
      <c r="F60"/>
      <c r="S60"/>
      <c r="T60"/>
    </row>
    <row r="61" spans="1:26" s="1" customFormat="1" ht="38.25" customHeight="1" x14ac:dyDescent="0.25">
      <c r="A61" s="46" t="s">
        <v>90</v>
      </c>
      <c r="B61" s="46"/>
      <c r="C61" s="46"/>
      <c r="D61" s="46"/>
      <c r="E61"/>
      <c r="F61"/>
      <c r="S61"/>
      <c r="T61"/>
    </row>
    <row r="62" spans="1:26" s="1" customFormat="1" ht="33.75" customHeight="1" x14ac:dyDescent="0.25">
      <c r="A62" s="46" t="s">
        <v>91</v>
      </c>
      <c r="B62" s="46"/>
      <c r="C62" s="46"/>
      <c r="D62" s="46"/>
      <c r="E62"/>
      <c r="F62"/>
      <c r="S62"/>
      <c r="T62"/>
    </row>
    <row r="63" spans="1:26" s="1" customFormat="1" ht="26.25" customHeight="1" x14ac:dyDescent="0.25">
      <c r="A63" s="46" t="s">
        <v>92</v>
      </c>
      <c r="B63" s="46"/>
      <c r="C63" s="46"/>
      <c r="D63" s="46"/>
      <c r="E63"/>
      <c r="F63"/>
      <c r="S63"/>
      <c r="T63"/>
    </row>
    <row r="64" spans="1:26" s="1" customFormat="1" ht="36.75" customHeight="1" x14ac:dyDescent="0.25">
      <c r="A64" s="46" t="s">
        <v>93</v>
      </c>
      <c r="B64" s="46"/>
      <c r="C64" s="46"/>
      <c r="D64" s="46"/>
      <c r="E64"/>
      <c r="F64"/>
      <c r="S64"/>
      <c r="T64"/>
    </row>
    <row r="65" spans="1:20" s="1" customFormat="1" ht="51" customHeight="1" x14ac:dyDescent="0.25">
      <c r="A65" s="46" t="s">
        <v>94</v>
      </c>
      <c r="B65" s="43"/>
      <c r="C65" s="43"/>
      <c r="D65" s="43"/>
      <c r="E65"/>
      <c r="F65"/>
      <c r="S65"/>
      <c r="T65"/>
    </row>
    <row r="66" spans="1:20" s="1" customFormat="1" x14ac:dyDescent="0.25">
      <c r="A66"/>
      <c r="B66"/>
      <c r="C66"/>
      <c r="D66"/>
      <c r="E66"/>
      <c r="F66"/>
      <c r="S66"/>
      <c r="T66"/>
    </row>
    <row r="67" spans="1:20" s="1" customFormat="1" x14ac:dyDescent="0.25">
      <c r="A67"/>
      <c r="B67"/>
      <c r="C67"/>
      <c r="D67"/>
      <c r="E67"/>
      <c r="F67"/>
      <c r="G67" s="2"/>
      <c r="H67" s="2"/>
      <c r="I67" s="2"/>
      <c r="J67" s="2"/>
      <c r="K67" s="2"/>
      <c r="L67" s="2"/>
      <c r="M67" s="2"/>
      <c r="S67"/>
      <c r="T67"/>
    </row>
    <row r="68" spans="1:20" s="1" customFormat="1" x14ac:dyDescent="0.25">
      <c r="A68" s="43" t="s">
        <v>95</v>
      </c>
      <c r="B68" s="44"/>
      <c r="C68" s="44"/>
      <c r="D68" s="44"/>
      <c r="E68"/>
      <c r="F68"/>
      <c r="G68" s="2"/>
      <c r="H68" s="2"/>
      <c r="I68" s="2"/>
      <c r="J68" s="2"/>
      <c r="K68" s="2"/>
      <c r="L68" s="2"/>
      <c r="M68" s="2"/>
      <c r="S68"/>
      <c r="T68"/>
    </row>
    <row r="69" spans="1:20" s="1" customFormat="1" x14ac:dyDescent="0.25">
      <c r="A69" s="44"/>
      <c r="B69" s="44"/>
      <c r="C69" s="44"/>
      <c r="D69" s="44"/>
      <c r="E69"/>
      <c r="F69"/>
      <c r="G69" s="2"/>
      <c r="H69" s="2"/>
      <c r="I69" s="2"/>
      <c r="J69" s="2"/>
      <c r="K69" s="2"/>
      <c r="L69" s="2"/>
      <c r="M69" s="2"/>
      <c r="S69"/>
      <c r="T69"/>
    </row>
    <row r="70" spans="1:20" s="1" customFormat="1" x14ac:dyDescent="0.25">
      <c r="A70" s="44"/>
      <c r="B70" s="44"/>
      <c r="C70" s="44"/>
      <c r="D70" s="44"/>
      <c r="E70"/>
      <c r="F70"/>
      <c r="S70"/>
      <c r="T70"/>
    </row>
    <row r="71" spans="1:20" s="1" customFormat="1" x14ac:dyDescent="0.25">
      <c r="A71" s="44"/>
      <c r="B71" s="44"/>
      <c r="C71" s="44"/>
      <c r="D71" s="44"/>
      <c r="E71"/>
      <c r="F71"/>
      <c r="S71"/>
      <c r="T71"/>
    </row>
    <row r="72" spans="1:20" s="1" customFormat="1" x14ac:dyDescent="0.25">
      <c r="A72" s="44"/>
      <c r="B72" s="44"/>
      <c r="C72" s="44"/>
      <c r="D72" s="44"/>
      <c r="E72"/>
      <c r="F72"/>
      <c r="S72"/>
      <c r="T72"/>
    </row>
    <row r="73" spans="1:20" s="1" customFormat="1" x14ac:dyDescent="0.25">
      <c r="A73" s="44"/>
      <c r="B73" s="44"/>
      <c r="C73" s="44"/>
      <c r="D73" s="44"/>
      <c r="E73"/>
      <c r="F73"/>
      <c r="S73"/>
      <c r="T73"/>
    </row>
    <row r="74" spans="1:20" s="1" customFormat="1" ht="186.75" customHeight="1" x14ac:dyDescent="0.25">
      <c r="A74" s="44"/>
      <c r="B74" s="44"/>
      <c r="C74" s="44"/>
      <c r="D74" s="44"/>
      <c r="E74"/>
      <c r="F74"/>
      <c r="S74"/>
      <c r="T74"/>
    </row>
    <row r="76" spans="1:20" x14ac:dyDescent="0.25">
      <c r="A76" s="1"/>
    </row>
  </sheetData>
  <autoFilter ref="B2:U56" xr:uid="{5E60AA57-ED04-422C-8BFF-6A836D968A52}"/>
  <mergeCells count="7">
    <mergeCell ref="A68:D74"/>
    <mergeCell ref="A60:D60"/>
    <mergeCell ref="A61:D61"/>
    <mergeCell ref="A62:D62"/>
    <mergeCell ref="A63:D63"/>
    <mergeCell ref="A64:D64"/>
    <mergeCell ref="A65:D65"/>
  </mergeCells>
  <hyperlinks>
    <hyperlink ref="A62" r:id="rId1" display="https://fortress.wa.gov/doh/wtnibl/WTNIBL/" xr:uid="{E1A92BD2-96B9-4108-A34E-B23A7DAFEE1F}"/>
    <hyperlink ref="A61" r:id="rId2" location=":~:text=Economically%20Disadvantaged%20Cities%20and%20Towns%20As%20of%20July,funding%20and%20qualify%20for%20a%20reduced%20local%20match." display="https://apps.ecology.wa.gov/publications/documents/2109045.pdf - :~:text=Economically%20Disadvantaged%20Cities%20and%20Towns%20As%20of%20July,funding%20and%20qualify%20for%20a%20reduced%20local%20match." xr:uid="{5B14DEA5-E89A-427B-B284-467B21E49FE0}"/>
    <hyperlink ref="A63" r:id="rId3" location="/?s_state=53&amp;s_county=&amp;s_district=&amp;s_geography=county" display="https://www.census.gov/data-tools/demo/saipe/ - /?s_state=53&amp;s_county=&amp;s_district=&amp;s_geography=county" xr:uid="{8B4D6AE7-73C2-459C-9B66-1B4B3F414AD3}"/>
    <hyperlink ref="A64" r:id="rId4" display="https://ofm.wa.gov/tags/social-economic-data" xr:uid="{255B771F-88A1-4C51-9967-F40E435C780F}"/>
    <hyperlink ref="A65" r:id="rId5" xr:uid="{916CEBDE-E000-49D6-8351-AADCD449EB8D}"/>
  </hyperlinks>
  <pageMargins left="0.7" right="0.7" top="0.75" bottom="0.75" header="0.3" footer="0.3"/>
  <pageSetup paperSize="9" orientation="portrait" horizontalDpi="300"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0AA57-ED04-422C-8BFF-6A836D968A52}">
  <sheetPr filterMode="1"/>
  <dimension ref="A2:Z76"/>
  <sheetViews>
    <sheetView tabSelected="1" zoomScaleNormal="100" workbookViewId="0">
      <selection activeCell="P65" sqref="P65"/>
    </sheetView>
  </sheetViews>
  <sheetFormatPr defaultColWidth="11.42578125" defaultRowHeight="15" x14ac:dyDescent="0.25"/>
  <cols>
    <col min="1" max="1" width="9.140625" customWidth="1"/>
    <col min="2" max="2" width="20.85546875" customWidth="1"/>
    <col min="3" max="3" width="7.85546875" bestFit="1" customWidth="1"/>
    <col min="4" max="4" width="16.42578125" customWidth="1"/>
    <col min="5" max="5" width="25" bestFit="1" customWidth="1"/>
    <col min="6" max="6" width="25" customWidth="1"/>
    <col min="7" max="7" width="13.85546875" bestFit="1" customWidth="1"/>
    <col min="8" max="8" width="15.42578125" customWidth="1"/>
    <col min="9" max="9" width="15.5703125" bestFit="1" customWidth="1"/>
    <col min="10" max="10" width="15.5703125" customWidth="1"/>
    <col min="11" max="11" width="15.5703125" bestFit="1" customWidth="1"/>
    <col min="12" max="12" width="15.5703125" customWidth="1"/>
    <col min="13" max="13" width="16" bestFit="1" customWidth="1"/>
    <col min="14" max="14" width="11.140625" bestFit="1" customWidth="1"/>
    <col min="15" max="16" width="11.140625" customWidth="1"/>
    <col min="17" max="17" width="14.42578125" bestFit="1" customWidth="1"/>
    <col min="18" max="18" width="11.140625" customWidth="1"/>
    <col min="19" max="19" width="16" bestFit="1" customWidth="1"/>
  </cols>
  <sheetData>
    <row r="2" spans="1:21" x14ac:dyDescent="0.25">
      <c r="A2" s="3" t="s">
        <v>0</v>
      </c>
      <c r="B2" s="3" t="s">
        <v>1</v>
      </c>
      <c r="C2" s="3" t="s">
        <v>2</v>
      </c>
      <c r="D2" s="3" t="s">
        <v>3</v>
      </c>
      <c r="E2" s="3" t="s">
        <v>4</v>
      </c>
      <c r="F2" s="21" t="s">
        <v>5</v>
      </c>
      <c r="G2" s="3" t="s">
        <v>6</v>
      </c>
      <c r="H2" s="19" t="s">
        <v>7</v>
      </c>
      <c r="I2" s="3" t="s">
        <v>6</v>
      </c>
      <c r="J2" s="19" t="s">
        <v>7</v>
      </c>
      <c r="K2" s="3" t="s">
        <v>6</v>
      </c>
      <c r="L2" s="19" t="s">
        <v>7</v>
      </c>
      <c r="M2" s="3" t="s">
        <v>6</v>
      </c>
      <c r="N2" s="3" t="s">
        <v>7</v>
      </c>
      <c r="O2" s="3" t="s">
        <v>6</v>
      </c>
      <c r="P2" s="3" t="s">
        <v>7</v>
      </c>
      <c r="Q2" s="3" t="s">
        <v>6</v>
      </c>
      <c r="R2" s="3" t="s">
        <v>7</v>
      </c>
      <c r="S2" s="3" t="s">
        <v>6</v>
      </c>
      <c r="T2" s="3" t="s">
        <v>7</v>
      </c>
      <c r="U2" s="27" t="s">
        <v>8</v>
      </c>
    </row>
    <row r="3" spans="1:21" x14ac:dyDescent="0.25">
      <c r="A3" s="9">
        <v>3</v>
      </c>
      <c r="B3" s="9" t="s">
        <v>9</v>
      </c>
      <c r="C3" s="9" t="s">
        <v>10</v>
      </c>
      <c r="D3" s="10" t="s">
        <v>11</v>
      </c>
      <c r="E3" s="10">
        <f>241/281</f>
        <v>0.85765124555160144</v>
      </c>
      <c r="F3" s="22">
        <v>3133</v>
      </c>
      <c r="G3" s="9" t="s">
        <v>12</v>
      </c>
      <c r="H3" s="10">
        <v>0.8</v>
      </c>
      <c r="I3" s="9" t="s">
        <v>13</v>
      </c>
      <c r="J3" s="10">
        <v>0.19</v>
      </c>
      <c r="K3" s="24"/>
      <c r="L3" s="24"/>
      <c r="M3" s="24"/>
      <c r="N3" s="24"/>
      <c r="O3" s="24"/>
      <c r="P3" s="24"/>
      <c r="Q3" s="24"/>
      <c r="R3" s="24"/>
      <c r="S3" s="9" t="s">
        <v>14</v>
      </c>
      <c r="T3" s="20">
        <v>0.01</v>
      </c>
      <c r="U3" s="26">
        <f>T3+N3+L3+J3+H3+P3+R3</f>
        <v>1</v>
      </c>
    </row>
    <row r="4" spans="1:21" hidden="1" x14ac:dyDescent="0.25">
      <c r="A4" s="15">
        <v>3</v>
      </c>
      <c r="B4" s="15" t="s">
        <v>15</v>
      </c>
      <c r="C4" s="15" t="s">
        <v>10</v>
      </c>
      <c r="D4" s="17" t="s">
        <v>16</v>
      </c>
      <c r="E4" s="17">
        <f>62/281</f>
        <v>0.2206405693950178</v>
      </c>
      <c r="F4" s="22">
        <v>4303</v>
      </c>
      <c r="G4" s="9" t="s">
        <v>12</v>
      </c>
      <c r="H4" s="16">
        <v>0.9</v>
      </c>
      <c r="I4" s="9" t="s">
        <v>13</v>
      </c>
      <c r="J4" s="16">
        <v>0.09</v>
      </c>
      <c r="K4" s="11" t="s">
        <v>17</v>
      </c>
      <c r="L4" s="16">
        <v>0.03</v>
      </c>
      <c r="M4" s="11" t="s">
        <v>96</v>
      </c>
      <c r="N4" s="33"/>
      <c r="O4" s="11" t="s">
        <v>19</v>
      </c>
      <c r="P4" s="16">
        <v>0.01</v>
      </c>
      <c r="Q4" s="9" t="s">
        <v>20</v>
      </c>
      <c r="R4" s="33"/>
      <c r="S4" s="9" t="s">
        <v>14</v>
      </c>
      <c r="T4" s="14">
        <v>0.02</v>
      </c>
      <c r="U4" s="26">
        <f t="shared" ref="U4:U8" si="0">T4+N4+L4+J4+H4+P4+R4</f>
        <v>1.05</v>
      </c>
    </row>
    <row r="5" spans="1:21" hidden="1" x14ac:dyDescent="0.25">
      <c r="A5" s="15">
        <v>3</v>
      </c>
      <c r="B5" s="15" t="s">
        <v>15</v>
      </c>
      <c r="C5" s="15" t="s">
        <v>10</v>
      </c>
      <c r="D5" s="17" t="s">
        <v>21</v>
      </c>
      <c r="E5" s="17">
        <f>44/281</f>
        <v>0.15658362989323843</v>
      </c>
      <c r="F5" s="22">
        <v>4375</v>
      </c>
      <c r="G5" s="9" t="s">
        <v>12</v>
      </c>
      <c r="H5" s="16">
        <v>0.14000000000000001</v>
      </c>
      <c r="I5" s="9" t="s">
        <v>13</v>
      </c>
      <c r="J5" s="16">
        <v>0.78</v>
      </c>
      <c r="K5" s="11" t="s">
        <v>17</v>
      </c>
      <c r="L5" s="16">
        <v>0.03</v>
      </c>
      <c r="M5" s="11" t="s">
        <v>96</v>
      </c>
      <c r="N5" s="16">
        <v>0.01</v>
      </c>
      <c r="O5" s="11" t="s">
        <v>19</v>
      </c>
      <c r="P5" s="16">
        <v>0.02</v>
      </c>
      <c r="Q5" s="9" t="s">
        <v>20</v>
      </c>
      <c r="R5" s="33"/>
      <c r="S5" s="9" t="s">
        <v>14</v>
      </c>
      <c r="T5" s="14">
        <v>0.02</v>
      </c>
      <c r="U5" s="26">
        <f t="shared" si="0"/>
        <v>1</v>
      </c>
    </row>
    <row r="6" spans="1:21" hidden="1" x14ac:dyDescent="0.25">
      <c r="A6" s="15">
        <v>3</v>
      </c>
      <c r="B6" s="6" t="s">
        <v>15</v>
      </c>
      <c r="C6" s="6" t="s">
        <v>10</v>
      </c>
      <c r="D6" s="6" t="s">
        <v>22</v>
      </c>
      <c r="E6" s="7">
        <f>151/281</f>
        <v>0.53736654804270467</v>
      </c>
      <c r="F6" s="22">
        <v>5151</v>
      </c>
      <c r="G6" s="9" t="s">
        <v>12</v>
      </c>
      <c r="H6" s="16">
        <v>0.48</v>
      </c>
      <c r="I6" s="9" t="s">
        <v>13</v>
      </c>
      <c r="J6" s="16">
        <v>0.47</v>
      </c>
      <c r="K6" s="11" t="s">
        <v>17</v>
      </c>
      <c r="L6" s="16">
        <v>0.02</v>
      </c>
      <c r="M6" s="11" t="s">
        <v>96</v>
      </c>
      <c r="N6" s="16">
        <v>0.01</v>
      </c>
      <c r="O6" s="11" t="s">
        <v>19</v>
      </c>
      <c r="P6" s="16">
        <v>0.01</v>
      </c>
      <c r="Q6" s="9" t="s">
        <v>20</v>
      </c>
      <c r="R6" s="33"/>
      <c r="S6" s="9" t="s">
        <v>14</v>
      </c>
      <c r="T6" s="30">
        <v>0.01</v>
      </c>
      <c r="U6" s="26">
        <f t="shared" si="0"/>
        <v>1</v>
      </c>
    </row>
    <row r="7" spans="1:21" s="31" customFormat="1" hidden="1" x14ac:dyDescent="0.25">
      <c r="A7" s="15">
        <v>3</v>
      </c>
      <c r="B7" s="13" t="s">
        <v>15</v>
      </c>
      <c r="C7" s="13" t="s">
        <v>10</v>
      </c>
      <c r="D7" s="13" t="s">
        <v>23</v>
      </c>
      <c r="E7" s="14">
        <f>202/281</f>
        <v>0.71886120996441283</v>
      </c>
      <c r="F7" s="35">
        <v>7533</v>
      </c>
      <c r="G7" s="15" t="s">
        <v>12</v>
      </c>
      <c r="H7" s="30">
        <v>0.41</v>
      </c>
      <c r="I7" s="15" t="s">
        <v>13</v>
      </c>
      <c r="J7" s="30">
        <v>0.55000000000000004</v>
      </c>
      <c r="K7" s="13" t="s">
        <v>17</v>
      </c>
      <c r="L7" s="34"/>
      <c r="M7" s="13" t="s">
        <v>96</v>
      </c>
      <c r="N7" s="30">
        <v>0.02</v>
      </c>
      <c r="O7" s="13" t="s">
        <v>19</v>
      </c>
      <c r="P7" s="34"/>
      <c r="Q7" s="15" t="s">
        <v>20</v>
      </c>
      <c r="R7" s="34"/>
      <c r="S7" s="15" t="s">
        <v>14</v>
      </c>
      <c r="T7" s="14">
        <v>0.02</v>
      </c>
      <c r="U7" s="26">
        <f t="shared" si="0"/>
        <v>1</v>
      </c>
    </row>
    <row r="8" spans="1:21" hidden="1" x14ac:dyDescent="0.25">
      <c r="A8" s="15">
        <v>3</v>
      </c>
      <c r="B8" s="6" t="s">
        <v>24</v>
      </c>
      <c r="C8" s="6" t="s">
        <v>10</v>
      </c>
      <c r="D8" s="7" t="s">
        <v>25</v>
      </c>
      <c r="E8" s="7">
        <f>141/271</f>
        <v>0.52029520295202947</v>
      </c>
      <c r="F8" s="35">
        <v>10108</v>
      </c>
      <c r="G8" s="15" t="s">
        <v>12</v>
      </c>
      <c r="H8" s="16">
        <v>0.54</v>
      </c>
      <c r="I8" s="15" t="s">
        <v>13</v>
      </c>
      <c r="J8" s="16">
        <v>0.43</v>
      </c>
      <c r="K8" s="13" t="s">
        <v>17</v>
      </c>
      <c r="L8" s="16">
        <v>0.01</v>
      </c>
      <c r="M8" s="13" t="s">
        <v>96</v>
      </c>
      <c r="N8" s="16">
        <v>0.01</v>
      </c>
      <c r="O8" s="13" t="s">
        <v>19</v>
      </c>
      <c r="P8" s="33"/>
      <c r="Q8" s="15" t="s">
        <v>20</v>
      </c>
      <c r="R8" s="34"/>
      <c r="S8" s="15" t="s">
        <v>14</v>
      </c>
      <c r="T8" s="14">
        <v>0.01</v>
      </c>
      <c r="U8" s="26">
        <f t="shared" si="0"/>
        <v>1</v>
      </c>
    </row>
    <row r="9" spans="1:21" x14ac:dyDescent="0.25">
      <c r="A9" s="9">
        <v>2</v>
      </c>
      <c r="B9" s="9" t="s">
        <v>26</v>
      </c>
      <c r="C9" s="9" t="s">
        <v>10</v>
      </c>
      <c r="D9" s="10" t="s">
        <v>27</v>
      </c>
      <c r="E9" s="10">
        <v>0.8</v>
      </c>
      <c r="F9" s="22">
        <v>6546</v>
      </c>
      <c r="G9" s="9" t="s">
        <v>12</v>
      </c>
      <c r="H9" s="12">
        <v>0.04</v>
      </c>
      <c r="I9" s="9" t="s">
        <v>13</v>
      </c>
      <c r="J9" s="10">
        <v>0.91</v>
      </c>
      <c r="K9" s="11" t="s">
        <v>17</v>
      </c>
      <c r="L9" s="20">
        <v>0.03</v>
      </c>
      <c r="M9" s="11" t="s">
        <v>96</v>
      </c>
      <c r="N9" s="12">
        <v>0.02</v>
      </c>
      <c r="O9" s="25"/>
      <c r="P9" s="25"/>
      <c r="Q9" s="25"/>
      <c r="R9" s="25"/>
      <c r="S9" s="24"/>
      <c r="T9" s="25"/>
      <c r="U9" s="26">
        <f t="shared" ref="U9:U52" si="1">T9+N9+L9+J9+H9+P9+R9</f>
        <v>1</v>
      </c>
    </row>
    <row r="10" spans="1:21" x14ac:dyDescent="0.25">
      <c r="A10" s="9">
        <v>2</v>
      </c>
      <c r="B10" s="9" t="s">
        <v>26</v>
      </c>
      <c r="C10" s="9" t="s">
        <v>10</v>
      </c>
      <c r="D10" s="10" t="s">
        <v>28</v>
      </c>
      <c r="E10" s="10">
        <f>246/281</f>
        <v>0.8754448398576512</v>
      </c>
      <c r="F10" s="22">
        <v>5914</v>
      </c>
      <c r="G10" s="9" t="s">
        <v>12</v>
      </c>
      <c r="H10" s="12">
        <v>0.14000000000000001</v>
      </c>
      <c r="I10" s="9" t="s">
        <v>13</v>
      </c>
      <c r="J10" s="10">
        <v>0.77</v>
      </c>
      <c r="K10" s="11" t="s">
        <v>17</v>
      </c>
      <c r="L10" s="20">
        <v>0.05</v>
      </c>
      <c r="M10" s="11" t="s">
        <v>96</v>
      </c>
      <c r="N10" s="12">
        <v>0.02</v>
      </c>
      <c r="O10" s="12" t="s">
        <v>19</v>
      </c>
      <c r="P10" s="12">
        <v>0.01</v>
      </c>
      <c r="Q10" s="25"/>
      <c r="R10" s="25"/>
      <c r="S10" s="9" t="s">
        <v>14</v>
      </c>
      <c r="T10" s="18">
        <v>0.02</v>
      </c>
      <c r="U10" s="26">
        <f t="shared" si="1"/>
        <v>1.01</v>
      </c>
    </row>
    <row r="11" spans="1:21" s="31" customFormat="1" hidden="1" x14ac:dyDescent="0.25">
      <c r="A11" s="13">
        <v>3</v>
      </c>
      <c r="B11" s="15" t="s">
        <v>26</v>
      </c>
      <c r="C11" s="15" t="s">
        <v>10</v>
      </c>
      <c r="D11" s="17" t="s">
        <v>29</v>
      </c>
      <c r="E11" s="14">
        <f>152/281</f>
        <v>0.54092526690391463</v>
      </c>
      <c r="F11" s="35">
        <v>3082</v>
      </c>
      <c r="G11" s="15" t="s">
        <v>12</v>
      </c>
      <c r="H11" s="14">
        <v>0.05</v>
      </c>
      <c r="I11" s="15" t="s">
        <v>13</v>
      </c>
      <c r="J11" s="14">
        <v>0.88</v>
      </c>
      <c r="K11" s="13" t="s">
        <v>17</v>
      </c>
      <c r="L11" s="14">
        <v>0.03</v>
      </c>
      <c r="M11" s="13" t="s">
        <v>96</v>
      </c>
      <c r="N11" s="14">
        <v>0.01</v>
      </c>
      <c r="O11" s="14" t="s">
        <v>19</v>
      </c>
      <c r="P11" s="14">
        <v>0.01</v>
      </c>
      <c r="Q11" s="15" t="s">
        <v>20</v>
      </c>
      <c r="R11" s="34"/>
      <c r="S11" s="15" t="s">
        <v>14</v>
      </c>
      <c r="T11" s="32">
        <v>0.02</v>
      </c>
      <c r="U11" s="30">
        <f t="shared" si="1"/>
        <v>1</v>
      </c>
    </row>
    <row r="12" spans="1:21" s="31" customFormat="1" hidden="1" x14ac:dyDescent="0.25">
      <c r="A12" s="15">
        <v>3</v>
      </c>
      <c r="B12" s="15" t="s">
        <v>26</v>
      </c>
      <c r="C12" s="15" t="s">
        <v>10</v>
      </c>
      <c r="D12" s="17" t="s">
        <v>30</v>
      </c>
      <c r="E12" s="17">
        <f>189/281</f>
        <v>0.67259786476868333</v>
      </c>
      <c r="F12" s="35">
        <v>8914</v>
      </c>
      <c r="G12" s="15" t="s">
        <v>12</v>
      </c>
      <c r="H12" s="14">
        <v>0.15</v>
      </c>
      <c r="I12" s="15" t="s">
        <v>13</v>
      </c>
      <c r="J12" s="14">
        <v>0.8</v>
      </c>
      <c r="K12" s="13" t="s">
        <v>17</v>
      </c>
      <c r="L12" s="14">
        <v>0.02</v>
      </c>
      <c r="M12" s="13" t="s">
        <v>96</v>
      </c>
      <c r="N12" s="14">
        <v>0.01</v>
      </c>
      <c r="O12" s="14" t="s">
        <v>19</v>
      </c>
      <c r="P12" s="14">
        <v>0.01</v>
      </c>
      <c r="Q12" s="15" t="s">
        <v>20</v>
      </c>
      <c r="R12" s="13"/>
      <c r="S12" s="15" t="s">
        <v>14</v>
      </c>
      <c r="T12" s="17">
        <v>0.01</v>
      </c>
      <c r="U12" s="30">
        <f t="shared" si="1"/>
        <v>1</v>
      </c>
    </row>
    <row r="13" spans="1:21" s="31" customFormat="1" hidden="1" x14ac:dyDescent="0.25">
      <c r="A13" s="15">
        <v>2</v>
      </c>
      <c r="B13" s="15" t="s">
        <v>26</v>
      </c>
      <c r="C13" s="15" t="s">
        <v>10</v>
      </c>
      <c r="D13" s="15" t="s">
        <v>31</v>
      </c>
      <c r="E13" s="14">
        <f>53/281</f>
        <v>0.18861209964412812</v>
      </c>
      <c r="F13" s="35">
        <v>7073</v>
      </c>
      <c r="G13" s="15" t="s">
        <v>12</v>
      </c>
      <c r="H13" s="14">
        <v>0.04</v>
      </c>
      <c r="I13" s="15" t="s">
        <v>13</v>
      </c>
      <c r="J13" s="14">
        <v>0.9</v>
      </c>
      <c r="K13" s="13" t="s">
        <v>17</v>
      </c>
      <c r="L13" s="14">
        <v>0.03</v>
      </c>
      <c r="M13" s="13" t="s">
        <v>96</v>
      </c>
      <c r="N13" s="14">
        <v>0.01</v>
      </c>
      <c r="O13" s="14" t="s">
        <v>19</v>
      </c>
      <c r="P13" s="13"/>
      <c r="Q13" s="15" t="s">
        <v>20</v>
      </c>
      <c r="R13" s="13"/>
      <c r="S13" s="15" t="s">
        <v>14</v>
      </c>
      <c r="T13" s="32">
        <v>0.01</v>
      </c>
      <c r="U13" s="30">
        <f t="shared" si="1"/>
        <v>0.9900000000000001</v>
      </c>
    </row>
    <row r="14" spans="1:21" hidden="1" x14ac:dyDescent="0.25">
      <c r="A14" s="6">
        <v>3</v>
      </c>
      <c r="B14" s="6" t="s">
        <v>32</v>
      </c>
      <c r="C14" s="6" t="s">
        <v>10</v>
      </c>
      <c r="D14" s="7" t="s">
        <v>33</v>
      </c>
      <c r="E14" s="7">
        <f>190/281</f>
        <v>0.67615658362989328</v>
      </c>
      <c r="F14" s="35">
        <v>3412</v>
      </c>
      <c r="G14" s="15" t="s">
        <v>12</v>
      </c>
      <c r="H14" s="14">
        <v>0.31</v>
      </c>
      <c r="I14" s="15" t="s">
        <v>13</v>
      </c>
      <c r="J14" s="14">
        <v>0.65</v>
      </c>
      <c r="K14" s="13" t="s">
        <v>17</v>
      </c>
      <c r="L14" s="14">
        <v>0.02</v>
      </c>
      <c r="M14" s="13" t="s">
        <v>96</v>
      </c>
      <c r="N14" s="14">
        <v>0.01</v>
      </c>
      <c r="O14" s="14" t="s">
        <v>19</v>
      </c>
      <c r="P14" s="13"/>
      <c r="Q14" s="15" t="s">
        <v>20</v>
      </c>
      <c r="R14" s="13"/>
      <c r="S14" s="15" t="s">
        <v>14</v>
      </c>
      <c r="T14" s="32">
        <v>0.01</v>
      </c>
      <c r="U14" s="26">
        <f t="shared" si="1"/>
        <v>1</v>
      </c>
    </row>
    <row r="15" spans="1:21" hidden="1" x14ac:dyDescent="0.25">
      <c r="A15" s="6">
        <v>1</v>
      </c>
      <c r="B15" s="6" t="s">
        <v>34</v>
      </c>
      <c r="C15" s="6" t="s">
        <v>10</v>
      </c>
      <c r="D15" s="7" t="s">
        <v>35</v>
      </c>
      <c r="E15" s="7">
        <f>197/281</f>
        <v>0.70106761565836295</v>
      </c>
      <c r="F15" s="35">
        <v>6100</v>
      </c>
      <c r="G15" s="15" t="s">
        <v>12</v>
      </c>
      <c r="H15" s="14">
        <v>0.84</v>
      </c>
      <c r="I15" s="15" t="s">
        <v>13</v>
      </c>
      <c r="J15" s="14">
        <v>0.13</v>
      </c>
      <c r="K15" s="13" t="s">
        <v>17</v>
      </c>
      <c r="L15" s="13"/>
      <c r="M15" s="13" t="s">
        <v>96</v>
      </c>
      <c r="N15" s="13"/>
      <c r="O15" s="14" t="s">
        <v>19</v>
      </c>
      <c r="P15" s="14">
        <v>0.02</v>
      </c>
      <c r="Q15" s="15" t="s">
        <v>20</v>
      </c>
      <c r="R15" s="34"/>
      <c r="S15" s="15" t="s">
        <v>14</v>
      </c>
      <c r="T15" s="32">
        <v>0.01</v>
      </c>
      <c r="U15" s="26">
        <f t="shared" si="1"/>
        <v>1</v>
      </c>
    </row>
    <row r="16" spans="1:21" hidden="1" x14ac:dyDescent="0.25">
      <c r="A16" s="6">
        <v>2</v>
      </c>
      <c r="B16" s="6" t="s">
        <v>36</v>
      </c>
      <c r="C16" s="6" t="s">
        <v>10</v>
      </c>
      <c r="D16" s="6" t="s">
        <v>37</v>
      </c>
      <c r="E16" s="7">
        <f>184/281</f>
        <v>0.65480427046263345</v>
      </c>
      <c r="F16" s="35">
        <v>7867</v>
      </c>
      <c r="G16" s="15" t="s">
        <v>12</v>
      </c>
      <c r="H16" s="14">
        <v>0.33</v>
      </c>
      <c r="I16" s="15" t="s">
        <v>13</v>
      </c>
      <c r="J16" s="14">
        <v>0.61</v>
      </c>
      <c r="K16" s="13" t="s">
        <v>17</v>
      </c>
      <c r="L16" s="14">
        <v>0.02</v>
      </c>
      <c r="M16" s="13" t="s">
        <v>96</v>
      </c>
      <c r="N16" s="14">
        <v>0.01</v>
      </c>
      <c r="O16" s="14" t="s">
        <v>19</v>
      </c>
      <c r="P16" s="14">
        <v>0.02</v>
      </c>
      <c r="Q16" s="15" t="s">
        <v>20</v>
      </c>
      <c r="R16" s="34"/>
      <c r="S16" s="15" t="s">
        <v>14</v>
      </c>
      <c r="T16" s="32">
        <v>0.01</v>
      </c>
      <c r="U16" s="26">
        <f t="shared" si="1"/>
        <v>1</v>
      </c>
    </row>
    <row r="17" spans="1:26" x14ac:dyDescent="0.25">
      <c r="A17" s="9">
        <v>3</v>
      </c>
      <c r="B17" s="9" t="s">
        <v>36</v>
      </c>
      <c r="C17" s="9" t="s">
        <v>10</v>
      </c>
      <c r="D17" s="10" t="s">
        <v>38</v>
      </c>
      <c r="E17" s="10">
        <f>253/281</f>
        <v>0.90035587188612098</v>
      </c>
      <c r="F17" s="22">
        <v>7623</v>
      </c>
      <c r="G17" s="9" t="s">
        <v>12</v>
      </c>
      <c r="H17" s="10">
        <v>0.77</v>
      </c>
      <c r="I17" s="9" t="s">
        <v>13</v>
      </c>
      <c r="J17" s="10">
        <v>0.22</v>
      </c>
      <c r="K17" s="11" t="s">
        <v>17</v>
      </c>
      <c r="L17" s="20">
        <v>0.01</v>
      </c>
      <c r="M17" s="24"/>
      <c r="N17" s="23"/>
      <c r="O17" s="23"/>
      <c r="P17" s="23"/>
      <c r="Q17" s="23"/>
      <c r="R17" s="23"/>
      <c r="S17" s="9" t="s">
        <v>14</v>
      </c>
      <c r="T17" s="20">
        <v>0.01</v>
      </c>
      <c r="U17" s="26">
        <f t="shared" si="1"/>
        <v>1.01</v>
      </c>
    </row>
    <row r="18" spans="1:26" hidden="1" x14ac:dyDescent="0.25">
      <c r="A18" s="6">
        <v>3</v>
      </c>
      <c r="B18" s="6" t="s">
        <v>36</v>
      </c>
      <c r="C18" s="6" t="s">
        <v>10</v>
      </c>
      <c r="D18" s="7" t="s">
        <v>39</v>
      </c>
      <c r="E18" s="8" t="s">
        <v>40</v>
      </c>
      <c r="F18" s="22"/>
      <c r="G18" s="9" t="s">
        <v>12</v>
      </c>
      <c r="H18" s="16"/>
      <c r="I18" s="9" t="s">
        <v>13</v>
      </c>
      <c r="J18" s="16"/>
      <c r="K18" s="11" t="s">
        <v>17</v>
      </c>
      <c r="L18" s="16"/>
      <c r="M18" s="11" t="s">
        <v>96</v>
      </c>
      <c r="N18" s="16"/>
      <c r="O18" s="11" t="s">
        <v>19</v>
      </c>
      <c r="P18" s="16"/>
      <c r="Q18" s="9" t="s">
        <v>20</v>
      </c>
      <c r="R18" s="16"/>
      <c r="S18" s="9" t="s">
        <v>14</v>
      </c>
      <c r="T18" s="28"/>
      <c r="U18" s="26">
        <f t="shared" si="1"/>
        <v>0</v>
      </c>
    </row>
    <row r="19" spans="1:26" hidden="1" x14ac:dyDescent="0.25">
      <c r="A19" s="13">
        <v>2</v>
      </c>
      <c r="B19" s="13" t="s">
        <v>41</v>
      </c>
      <c r="C19" s="13" t="s">
        <v>10</v>
      </c>
      <c r="D19" s="13" t="s">
        <v>42</v>
      </c>
      <c r="E19" s="14">
        <f>218/281</f>
        <v>0.77580071174377219</v>
      </c>
      <c r="F19" s="22">
        <v>3567</v>
      </c>
      <c r="G19" s="9" t="s">
        <v>12</v>
      </c>
      <c r="H19" s="16">
        <v>0.26</v>
      </c>
      <c r="I19" s="9" t="s">
        <v>13</v>
      </c>
      <c r="J19" s="16">
        <v>0.63</v>
      </c>
      <c r="K19" s="11" t="s">
        <v>17</v>
      </c>
      <c r="L19" s="16">
        <v>0.05</v>
      </c>
      <c r="M19" s="11" t="s">
        <v>96</v>
      </c>
      <c r="N19" s="16">
        <v>0.03</v>
      </c>
      <c r="O19" s="11" t="s">
        <v>19</v>
      </c>
      <c r="P19" s="16">
        <v>0.01</v>
      </c>
      <c r="Q19" s="9" t="s">
        <v>20</v>
      </c>
      <c r="R19" s="16"/>
      <c r="S19" s="9" t="s">
        <v>14</v>
      </c>
      <c r="T19" s="7">
        <v>0.01</v>
      </c>
      <c r="U19" s="26">
        <f t="shared" si="1"/>
        <v>0.99</v>
      </c>
    </row>
    <row r="20" spans="1:26" s="31" customFormat="1" hidden="1" x14ac:dyDescent="0.25">
      <c r="A20" s="13">
        <v>2</v>
      </c>
      <c r="B20" s="13" t="s">
        <v>41</v>
      </c>
      <c r="C20" s="13" t="s">
        <v>10</v>
      </c>
      <c r="D20" s="13" t="s">
        <v>43</v>
      </c>
      <c r="E20" s="14">
        <f>174/281</f>
        <v>0.61921708185053381</v>
      </c>
      <c r="F20" s="35">
        <v>6937</v>
      </c>
      <c r="G20" s="15" t="s">
        <v>12</v>
      </c>
      <c r="H20" s="14">
        <v>0.12</v>
      </c>
      <c r="I20" s="15" t="s">
        <v>13</v>
      </c>
      <c r="J20" s="14">
        <v>0.81</v>
      </c>
      <c r="K20" s="13" t="s">
        <v>17</v>
      </c>
      <c r="L20" s="14">
        <v>0.04</v>
      </c>
      <c r="M20" s="13" t="s">
        <v>96</v>
      </c>
      <c r="N20" s="14">
        <v>0.02</v>
      </c>
      <c r="O20" s="13" t="s">
        <v>19</v>
      </c>
      <c r="P20" s="14">
        <v>0.01</v>
      </c>
      <c r="Q20" s="15" t="s">
        <v>20</v>
      </c>
      <c r="R20" s="14"/>
      <c r="S20" s="15" t="s">
        <v>14</v>
      </c>
      <c r="T20" s="14">
        <v>0.01</v>
      </c>
      <c r="U20" s="30">
        <f t="shared" si="1"/>
        <v>1.01</v>
      </c>
    </row>
    <row r="21" spans="1:26" s="31" customFormat="1" hidden="1" x14ac:dyDescent="0.25">
      <c r="A21" s="13">
        <v>2</v>
      </c>
      <c r="B21" s="13" t="s">
        <v>41</v>
      </c>
      <c r="C21" s="13" t="s">
        <v>10</v>
      </c>
      <c r="D21" s="13" t="s">
        <v>44</v>
      </c>
      <c r="E21" s="14">
        <f>164/281</f>
        <v>0.58362989323843417</v>
      </c>
      <c r="F21" s="35">
        <v>3918</v>
      </c>
      <c r="G21" s="15" t="s">
        <v>12</v>
      </c>
      <c r="H21" s="14">
        <v>0.1</v>
      </c>
      <c r="I21" s="15" t="s">
        <v>13</v>
      </c>
      <c r="J21" s="14">
        <v>0.81</v>
      </c>
      <c r="K21" s="13" t="s">
        <v>17</v>
      </c>
      <c r="L21" s="14">
        <v>0.04</v>
      </c>
      <c r="M21" s="13" t="s">
        <v>96</v>
      </c>
      <c r="N21" s="14">
        <v>0.04</v>
      </c>
      <c r="O21" s="13" t="s">
        <v>19</v>
      </c>
      <c r="P21" s="14">
        <v>0.01</v>
      </c>
      <c r="Q21" s="15" t="s">
        <v>20</v>
      </c>
      <c r="R21" s="14"/>
      <c r="S21" s="15" t="s">
        <v>14</v>
      </c>
      <c r="T21" s="14">
        <v>0.01</v>
      </c>
      <c r="U21" s="30">
        <f t="shared" si="1"/>
        <v>1.01</v>
      </c>
    </row>
    <row r="22" spans="1:26" x14ac:dyDescent="0.25">
      <c r="A22" s="9">
        <v>2</v>
      </c>
      <c r="B22" s="9" t="s">
        <v>41</v>
      </c>
      <c r="C22" s="9" t="s">
        <v>10</v>
      </c>
      <c r="D22" s="9" t="s">
        <v>45</v>
      </c>
      <c r="E22" s="12">
        <f>228/281</f>
        <v>0.81138790035587194</v>
      </c>
      <c r="F22" s="22">
        <v>3829</v>
      </c>
      <c r="G22" s="9" t="s">
        <v>12</v>
      </c>
      <c r="H22" s="12">
        <v>0.03</v>
      </c>
      <c r="I22" s="9" t="s">
        <v>13</v>
      </c>
      <c r="J22" s="10">
        <v>0.91</v>
      </c>
      <c r="K22" s="11" t="s">
        <v>17</v>
      </c>
      <c r="L22" s="20">
        <v>0.02</v>
      </c>
      <c r="M22" s="11" t="s">
        <v>96</v>
      </c>
      <c r="N22" s="12">
        <v>0.02</v>
      </c>
      <c r="O22" s="11" t="s">
        <v>19</v>
      </c>
      <c r="P22" s="12">
        <v>0.01</v>
      </c>
      <c r="Q22" s="25"/>
      <c r="R22" s="25"/>
      <c r="S22" s="9" t="s">
        <v>14</v>
      </c>
      <c r="T22" s="18">
        <v>0.01</v>
      </c>
      <c r="U22" s="26">
        <f t="shared" si="1"/>
        <v>1</v>
      </c>
    </row>
    <row r="23" spans="1:26" s="31" customFormat="1" hidden="1" x14ac:dyDescent="0.25">
      <c r="A23" s="15">
        <v>2</v>
      </c>
      <c r="B23" s="15" t="s">
        <v>41</v>
      </c>
      <c r="C23" s="15" t="s">
        <v>10</v>
      </c>
      <c r="D23" s="15" t="s">
        <v>46</v>
      </c>
      <c r="E23" s="14">
        <f>46/281</f>
        <v>0.16370106761565836</v>
      </c>
      <c r="F23" s="35">
        <v>6855</v>
      </c>
      <c r="G23" s="15" t="s">
        <v>12</v>
      </c>
      <c r="H23" s="14">
        <v>0.04</v>
      </c>
      <c r="I23" s="15" t="s">
        <v>13</v>
      </c>
      <c r="J23" s="14">
        <v>0.9</v>
      </c>
      <c r="K23" s="13" t="s">
        <v>17</v>
      </c>
      <c r="L23" s="14">
        <v>0.01</v>
      </c>
      <c r="M23" s="13" t="s">
        <v>96</v>
      </c>
      <c r="N23" s="14">
        <v>0.01</v>
      </c>
      <c r="O23" s="13" t="s">
        <v>19</v>
      </c>
      <c r="P23" s="14"/>
      <c r="Q23" s="15" t="s">
        <v>20</v>
      </c>
      <c r="R23" s="14"/>
      <c r="S23" s="15" t="s">
        <v>14</v>
      </c>
      <c r="T23" s="14">
        <v>0.01</v>
      </c>
      <c r="U23" s="30">
        <f t="shared" si="1"/>
        <v>0.97000000000000008</v>
      </c>
    </row>
    <row r="24" spans="1:26" s="31" customFormat="1" hidden="1" x14ac:dyDescent="0.25">
      <c r="A24" s="13">
        <v>1</v>
      </c>
      <c r="B24" s="13" t="s">
        <v>47</v>
      </c>
      <c r="C24" s="13" t="s">
        <v>10</v>
      </c>
      <c r="D24" s="13" t="s">
        <v>48</v>
      </c>
      <c r="E24" s="14">
        <f>148/281</f>
        <v>0.5266903914590747</v>
      </c>
      <c r="F24" s="35">
        <v>2011</v>
      </c>
      <c r="G24" s="15" t="s">
        <v>12</v>
      </c>
      <c r="H24" s="14">
        <v>0.1</v>
      </c>
      <c r="I24" s="15" t="s">
        <v>13</v>
      </c>
      <c r="J24" s="14">
        <v>0.71</v>
      </c>
      <c r="K24" s="13" t="s">
        <v>17</v>
      </c>
      <c r="L24" s="14">
        <v>0.06</v>
      </c>
      <c r="M24" s="13" t="s">
        <v>96</v>
      </c>
      <c r="N24" s="14">
        <v>0.01</v>
      </c>
      <c r="O24" s="13" t="s">
        <v>19</v>
      </c>
      <c r="P24" s="14">
        <v>0.04</v>
      </c>
      <c r="Q24" s="15" t="s">
        <v>20</v>
      </c>
      <c r="R24" s="14">
        <v>0.01</v>
      </c>
      <c r="S24" s="15" t="s">
        <v>14</v>
      </c>
      <c r="T24" s="14">
        <v>7.0000000000000007E-2</v>
      </c>
      <c r="U24" s="30">
        <f t="shared" si="1"/>
        <v>1</v>
      </c>
      <c r="Y24" s="39"/>
      <c r="Z24" s="39"/>
    </row>
    <row r="25" spans="1:26" s="31" customFormat="1" hidden="1" x14ac:dyDescent="0.25">
      <c r="A25" s="15">
        <v>2</v>
      </c>
      <c r="B25" s="15" t="s">
        <v>49</v>
      </c>
      <c r="C25" s="15" t="s">
        <v>10</v>
      </c>
      <c r="D25" s="15" t="s">
        <v>50</v>
      </c>
      <c r="E25" s="14">
        <f>114/281</f>
        <v>0.40569395017793597</v>
      </c>
      <c r="F25" s="35">
        <v>6907</v>
      </c>
      <c r="G25" s="15" t="s">
        <v>12</v>
      </c>
      <c r="H25" s="14">
        <v>7.0000000000000007E-2</v>
      </c>
      <c r="I25" s="15" t="s">
        <v>13</v>
      </c>
      <c r="J25" s="14">
        <v>0.76</v>
      </c>
      <c r="K25" s="13" t="s">
        <v>17</v>
      </c>
      <c r="L25" s="14">
        <v>0.06</v>
      </c>
      <c r="M25" s="13" t="s">
        <v>96</v>
      </c>
      <c r="N25" s="14">
        <v>0.01</v>
      </c>
      <c r="O25" s="13" t="s">
        <v>19</v>
      </c>
      <c r="P25" s="14">
        <v>0.04</v>
      </c>
      <c r="Q25" s="15" t="s">
        <v>20</v>
      </c>
      <c r="R25" s="14">
        <v>0.02</v>
      </c>
      <c r="S25" s="15" t="s">
        <v>14</v>
      </c>
      <c r="T25" s="14">
        <v>0.04</v>
      </c>
      <c r="U25" s="30">
        <f t="shared" si="1"/>
        <v>1</v>
      </c>
      <c r="Y25" s="39"/>
      <c r="Z25" s="39"/>
    </row>
    <row r="26" spans="1:26" s="31" customFormat="1" hidden="1" x14ac:dyDescent="0.25">
      <c r="A26" s="15">
        <v>2</v>
      </c>
      <c r="B26" s="15" t="s">
        <v>49</v>
      </c>
      <c r="C26" s="15" t="s">
        <v>10</v>
      </c>
      <c r="D26" s="15" t="s">
        <v>51</v>
      </c>
      <c r="E26" s="14">
        <f>56/281</f>
        <v>0.199288256227758</v>
      </c>
      <c r="F26" s="35">
        <v>4129</v>
      </c>
      <c r="G26" s="15" t="s">
        <v>12</v>
      </c>
      <c r="H26" s="14">
        <v>0.06</v>
      </c>
      <c r="I26" s="15" t="s">
        <v>13</v>
      </c>
      <c r="J26" s="14">
        <v>0.84</v>
      </c>
      <c r="K26" s="13" t="s">
        <v>17</v>
      </c>
      <c r="L26" s="14">
        <v>0.04</v>
      </c>
      <c r="M26" s="13" t="s">
        <v>96</v>
      </c>
      <c r="N26" s="14">
        <v>0.01</v>
      </c>
      <c r="O26" s="13" t="s">
        <v>19</v>
      </c>
      <c r="P26" s="14">
        <v>0.01</v>
      </c>
      <c r="Q26" s="15" t="s">
        <v>20</v>
      </c>
      <c r="R26" s="14"/>
      <c r="S26" s="15" t="s">
        <v>14</v>
      </c>
      <c r="T26" s="14">
        <v>0.03</v>
      </c>
      <c r="U26" s="30">
        <f t="shared" si="1"/>
        <v>0.99</v>
      </c>
      <c r="Y26" s="39"/>
      <c r="Z26" s="39"/>
    </row>
    <row r="27" spans="1:26" s="31" customFormat="1" hidden="1" x14ac:dyDescent="0.25">
      <c r="A27" s="15">
        <v>2</v>
      </c>
      <c r="B27" s="15" t="s">
        <v>49</v>
      </c>
      <c r="C27" s="15" t="s">
        <v>10</v>
      </c>
      <c r="D27" s="15" t="s">
        <v>52</v>
      </c>
      <c r="E27" s="14">
        <f>113/281</f>
        <v>0.40213523131672596</v>
      </c>
      <c r="F27" s="35">
        <v>3177</v>
      </c>
      <c r="G27" s="15" t="s">
        <v>12</v>
      </c>
      <c r="H27" s="14">
        <v>0.12</v>
      </c>
      <c r="I27" s="15" t="s">
        <v>13</v>
      </c>
      <c r="J27" s="14">
        <v>0.67</v>
      </c>
      <c r="K27" s="13" t="s">
        <v>17</v>
      </c>
      <c r="L27" s="14">
        <v>7.0000000000000007E-2</v>
      </c>
      <c r="M27" s="13" t="s">
        <v>96</v>
      </c>
      <c r="N27" s="14">
        <v>0.02</v>
      </c>
      <c r="O27" s="13" t="s">
        <v>19</v>
      </c>
      <c r="P27" s="14">
        <v>0.06</v>
      </c>
      <c r="Q27" s="15" t="s">
        <v>20</v>
      </c>
      <c r="R27" s="14">
        <v>0.01</v>
      </c>
      <c r="S27" s="15" t="s">
        <v>14</v>
      </c>
      <c r="T27" s="14">
        <v>0.04</v>
      </c>
      <c r="U27" s="30">
        <f t="shared" si="1"/>
        <v>0.99</v>
      </c>
      <c r="V27" s="39"/>
    </row>
    <row r="28" spans="1:26" s="1" customFormat="1" x14ac:dyDescent="0.25">
      <c r="A28" s="11">
        <v>3</v>
      </c>
      <c r="B28" s="9" t="s">
        <v>53</v>
      </c>
      <c r="C28" s="9" t="s">
        <v>10</v>
      </c>
      <c r="D28" s="10" t="s">
        <v>54</v>
      </c>
      <c r="E28" s="10">
        <f>247/281</f>
        <v>0.87900355871886116</v>
      </c>
      <c r="F28" s="22">
        <v>4242</v>
      </c>
      <c r="G28" s="9" t="s">
        <v>12</v>
      </c>
      <c r="H28" s="12">
        <v>0.17</v>
      </c>
      <c r="I28" s="9" t="s">
        <v>13</v>
      </c>
      <c r="J28" s="10">
        <v>0.73</v>
      </c>
      <c r="K28" s="11" t="s">
        <v>17</v>
      </c>
      <c r="L28" s="20">
        <v>0.04</v>
      </c>
      <c r="M28" s="11" t="s">
        <v>96</v>
      </c>
      <c r="N28" s="12">
        <v>0.03</v>
      </c>
      <c r="O28" s="11" t="s">
        <v>19</v>
      </c>
      <c r="P28" s="12">
        <v>0.01</v>
      </c>
      <c r="Q28" s="9" t="s">
        <v>20</v>
      </c>
      <c r="R28" s="18">
        <v>0.01</v>
      </c>
      <c r="S28" s="9" t="s">
        <v>14</v>
      </c>
      <c r="T28" s="18">
        <v>0.01</v>
      </c>
      <c r="U28" s="26">
        <f t="shared" si="1"/>
        <v>1</v>
      </c>
      <c r="Y28" s="2"/>
      <c r="Z28" s="2"/>
    </row>
    <row r="29" spans="1:26" s="31" customFormat="1" hidden="1" x14ac:dyDescent="0.25">
      <c r="A29" s="13">
        <v>1</v>
      </c>
      <c r="B29" s="13" t="s">
        <v>55</v>
      </c>
      <c r="C29" s="13" t="s">
        <v>10</v>
      </c>
      <c r="D29" s="13" t="s">
        <v>56</v>
      </c>
      <c r="E29" s="14">
        <f>160/281</f>
        <v>0.56939501779359436</v>
      </c>
      <c r="F29" s="35">
        <v>4601</v>
      </c>
      <c r="G29" s="15" t="s">
        <v>12</v>
      </c>
      <c r="H29" s="14">
        <v>0.4</v>
      </c>
      <c r="I29" s="15" t="s">
        <v>13</v>
      </c>
      <c r="J29" s="14">
        <v>0.52</v>
      </c>
      <c r="K29" s="13" t="s">
        <v>17</v>
      </c>
      <c r="L29" s="14">
        <v>0.02</v>
      </c>
      <c r="M29" s="13" t="s">
        <v>96</v>
      </c>
      <c r="N29" s="14">
        <v>0.01</v>
      </c>
      <c r="O29" s="13" t="s">
        <v>19</v>
      </c>
      <c r="P29" s="14">
        <v>0.01</v>
      </c>
      <c r="Q29" s="15" t="s">
        <v>20</v>
      </c>
      <c r="R29" s="14"/>
      <c r="S29" s="15" t="s">
        <v>14</v>
      </c>
      <c r="T29" s="14">
        <v>0.04</v>
      </c>
      <c r="U29" s="30">
        <f t="shared" si="1"/>
        <v>1</v>
      </c>
      <c r="Y29" s="39"/>
      <c r="Z29" s="39"/>
    </row>
    <row r="30" spans="1:26" s="31" customFormat="1" hidden="1" x14ac:dyDescent="0.25">
      <c r="A30" s="13">
        <v>1</v>
      </c>
      <c r="B30" s="13" t="s">
        <v>55</v>
      </c>
      <c r="C30" s="13" t="s">
        <v>10</v>
      </c>
      <c r="D30" s="13" t="s">
        <v>57</v>
      </c>
      <c r="E30" s="14">
        <f>160/281</f>
        <v>0.56939501779359436</v>
      </c>
      <c r="F30" s="35">
        <v>3230</v>
      </c>
      <c r="G30" s="15" t="s">
        <v>12</v>
      </c>
      <c r="H30" s="14">
        <v>0.34</v>
      </c>
      <c r="I30" s="15" t="s">
        <v>13</v>
      </c>
      <c r="J30" s="14">
        <v>0.59</v>
      </c>
      <c r="K30" s="13" t="s">
        <v>17</v>
      </c>
      <c r="L30" s="14">
        <v>0.02</v>
      </c>
      <c r="M30" s="13" t="s">
        <v>96</v>
      </c>
      <c r="N30" s="14">
        <v>0.02</v>
      </c>
      <c r="O30" s="13" t="s">
        <v>19</v>
      </c>
      <c r="P30" s="14">
        <v>0.01</v>
      </c>
      <c r="Q30" s="15" t="s">
        <v>20</v>
      </c>
      <c r="R30" s="14"/>
      <c r="S30" s="15" t="s">
        <v>14</v>
      </c>
      <c r="T30" s="14">
        <v>0.01</v>
      </c>
      <c r="U30" s="30">
        <f t="shared" si="1"/>
        <v>0.99</v>
      </c>
      <c r="Y30" s="39"/>
      <c r="Z30" s="39"/>
    </row>
    <row r="31" spans="1:26" s="31" customFormat="1" hidden="1" x14ac:dyDescent="0.25">
      <c r="A31" s="15">
        <v>1</v>
      </c>
      <c r="B31" s="15" t="s">
        <v>55</v>
      </c>
      <c r="C31" s="15" t="s">
        <v>10</v>
      </c>
      <c r="D31" s="15" t="s">
        <v>58</v>
      </c>
      <c r="E31" s="14">
        <f>100/281</f>
        <v>0.35587188612099646</v>
      </c>
      <c r="F31" s="35">
        <v>3480</v>
      </c>
      <c r="G31" s="15" t="s">
        <v>12</v>
      </c>
      <c r="H31" s="14">
        <v>0.16</v>
      </c>
      <c r="I31" s="15" t="s">
        <v>13</v>
      </c>
      <c r="J31" s="14">
        <v>0.79</v>
      </c>
      <c r="K31" s="13" t="s">
        <v>17</v>
      </c>
      <c r="L31" s="14">
        <v>0.01</v>
      </c>
      <c r="M31" s="13" t="s">
        <v>96</v>
      </c>
      <c r="N31" s="14">
        <v>0.02</v>
      </c>
      <c r="O31" s="13" t="s">
        <v>19</v>
      </c>
      <c r="P31" s="14">
        <v>0.01</v>
      </c>
      <c r="Q31" s="15" t="s">
        <v>20</v>
      </c>
      <c r="R31" s="14"/>
      <c r="S31" s="15" t="s">
        <v>14</v>
      </c>
      <c r="T31" s="14">
        <v>0.01</v>
      </c>
      <c r="U31" s="30">
        <f t="shared" si="1"/>
        <v>1</v>
      </c>
      <c r="Y31" s="39"/>
      <c r="Z31" s="39"/>
    </row>
    <row r="32" spans="1:26" s="31" customFormat="1" hidden="1" x14ac:dyDescent="0.25">
      <c r="A32" s="13">
        <v>1</v>
      </c>
      <c r="B32" s="13" t="s">
        <v>55</v>
      </c>
      <c r="C32" s="15" t="s">
        <v>10</v>
      </c>
      <c r="D32" s="15" t="s">
        <v>59</v>
      </c>
      <c r="E32" s="14">
        <f>182/281</f>
        <v>0.64768683274021355</v>
      </c>
      <c r="F32" s="35">
        <v>9778</v>
      </c>
      <c r="G32" s="15" t="s">
        <v>12</v>
      </c>
      <c r="H32" s="14">
        <v>0.16</v>
      </c>
      <c r="I32" s="15" t="s">
        <v>13</v>
      </c>
      <c r="J32" s="14">
        <v>0.78</v>
      </c>
      <c r="K32" s="13" t="s">
        <v>17</v>
      </c>
      <c r="L32" s="14">
        <v>0.03</v>
      </c>
      <c r="M32" s="13" t="s">
        <v>96</v>
      </c>
      <c r="N32" s="14">
        <v>0.02</v>
      </c>
      <c r="O32" s="13" t="s">
        <v>19</v>
      </c>
      <c r="P32" s="14"/>
      <c r="Q32" s="15" t="s">
        <v>20</v>
      </c>
      <c r="R32" s="14"/>
      <c r="S32" s="15" t="s">
        <v>14</v>
      </c>
      <c r="T32" s="14">
        <v>0.01</v>
      </c>
      <c r="U32" s="30">
        <f t="shared" si="1"/>
        <v>1</v>
      </c>
      <c r="Y32" s="39"/>
      <c r="Z32" s="39"/>
    </row>
    <row r="33" spans="1:26" s="31" customFormat="1" hidden="1" x14ac:dyDescent="0.25">
      <c r="A33" s="13">
        <v>1</v>
      </c>
      <c r="B33" s="15" t="s">
        <v>55</v>
      </c>
      <c r="C33" s="15" t="s">
        <v>10</v>
      </c>
      <c r="D33" s="15" t="s">
        <v>60</v>
      </c>
      <c r="E33" s="14">
        <f>41/281</f>
        <v>0.14590747330960854</v>
      </c>
      <c r="F33" s="35">
        <v>1602</v>
      </c>
      <c r="G33" s="15" t="s">
        <v>12</v>
      </c>
      <c r="H33" s="14">
        <v>0.09</v>
      </c>
      <c r="I33" s="15" t="s">
        <v>13</v>
      </c>
      <c r="J33" s="14">
        <v>0.85</v>
      </c>
      <c r="K33" s="13" t="s">
        <v>17</v>
      </c>
      <c r="L33" s="14">
        <v>0.03</v>
      </c>
      <c r="M33" s="13" t="s">
        <v>96</v>
      </c>
      <c r="N33" s="14">
        <v>0.01</v>
      </c>
      <c r="O33" s="13" t="s">
        <v>19</v>
      </c>
      <c r="P33" s="14">
        <v>0.01</v>
      </c>
      <c r="Q33" s="15" t="s">
        <v>20</v>
      </c>
      <c r="R33" s="14"/>
      <c r="S33" s="15" t="s">
        <v>14</v>
      </c>
      <c r="T33" s="14">
        <v>0.01</v>
      </c>
      <c r="U33" s="30">
        <f t="shared" si="1"/>
        <v>1</v>
      </c>
      <c r="Y33" s="39"/>
      <c r="Z33" s="39"/>
    </row>
    <row r="34" spans="1:26" s="31" customFormat="1" hidden="1" x14ac:dyDescent="0.25">
      <c r="A34" s="15">
        <v>1</v>
      </c>
      <c r="B34" s="15" t="s">
        <v>61</v>
      </c>
      <c r="C34" s="15" t="s">
        <v>10</v>
      </c>
      <c r="D34" s="15" t="s">
        <v>62</v>
      </c>
      <c r="E34" s="14">
        <f>90/281</f>
        <v>0.32028469750889682</v>
      </c>
      <c r="F34" s="35">
        <v>6896</v>
      </c>
      <c r="G34" s="15" t="s">
        <v>12</v>
      </c>
      <c r="H34" s="14">
        <v>0.08</v>
      </c>
      <c r="I34" s="15" t="s">
        <v>13</v>
      </c>
      <c r="J34" s="14">
        <v>0.84</v>
      </c>
      <c r="K34" s="13" t="s">
        <v>17</v>
      </c>
      <c r="L34" s="14">
        <v>0.03</v>
      </c>
      <c r="M34" s="13" t="s">
        <v>96</v>
      </c>
      <c r="N34" s="14">
        <v>0.01</v>
      </c>
      <c r="O34" s="13" t="s">
        <v>19</v>
      </c>
      <c r="P34" s="14">
        <v>0.01</v>
      </c>
      <c r="Q34" s="15" t="s">
        <v>20</v>
      </c>
      <c r="R34" s="14"/>
      <c r="S34" s="15" t="s">
        <v>14</v>
      </c>
      <c r="T34" s="14">
        <v>0.02</v>
      </c>
      <c r="U34" s="30">
        <f t="shared" si="1"/>
        <v>0.98999999999999988</v>
      </c>
      <c r="Y34" s="39"/>
      <c r="Z34" s="39"/>
    </row>
    <row r="35" spans="1:26" s="31" customFormat="1" hidden="1" x14ac:dyDescent="0.25">
      <c r="A35" s="15">
        <v>1</v>
      </c>
      <c r="B35" s="15" t="s">
        <v>61</v>
      </c>
      <c r="C35" s="15" t="s">
        <v>10</v>
      </c>
      <c r="D35" s="15" t="s">
        <v>63</v>
      </c>
      <c r="E35" s="14">
        <f>86/281</f>
        <v>0.30604982206405695</v>
      </c>
      <c r="F35" s="35">
        <v>4186</v>
      </c>
      <c r="G35" s="15" t="s">
        <v>12</v>
      </c>
      <c r="H35" s="14">
        <v>0.16</v>
      </c>
      <c r="I35" s="15" t="s">
        <v>13</v>
      </c>
      <c r="J35" s="14">
        <v>0.7</v>
      </c>
      <c r="K35" s="13" t="s">
        <v>17</v>
      </c>
      <c r="L35" s="14">
        <v>0.05</v>
      </c>
      <c r="M35" s="13" t="s">
        <v>96</v>
      </c>
      <c r="N35" s="14">
        <v>0.05</v>
      </c>
      <c r="O35" s="13" t="s">
        <v>19</v>
      </c>
      <c r="P35" s="14">
        <v>0.01</v>
      </c>
      <c r="Q35" s="15" t="s">
        <v>20</v>
      </c>
      <c r="R35" s="14">
        <v>0.01</v>
      </c>
      <c r="S35" s="15" t="s">
        <v>14</v>
      </c>
      <c r="T35" s="14">
        <v>0.03</v>
      </c>
      <c r="U35" s="30">
        <f t="shared" si="1"/>
        <v>1.01</v>
      </c>
      <c r="Y35" s="39"/>
      <c r="Z35" s="39"/>
    </row>
    <row r="36" spans="1:26" s="31" customFormat="1" hidden="1" x14ac:dyDescent="0.25">
      <c r="A36" s="13">
        <v>1</v>
      </c>
      <c r="B36" s="15" t="s">
        <v>64</v>
      </c>
      <c r="C36" s="15" t="s">
        <v>10</v>
      </c>
      <c r="D36" s="15" t="s">
        <v>65</v>
      </c>
      <c r="E36" s="14">
        <f>82/281</f>
        <v>0.29181494661921709</v>
      </c>
      <c r="F36" s="35">
        <v>6997</v>
      </c>
      <c r="G36" s="15" t="s">
        <v>12</v>
      </c>
      <c r="H36" s="14">
        <v>0.1</v>
      </c>
      <c r="I36" s="15" t="s">
        <v>13</v>
      </c>
      <c r="J36" s="14">
        <v>0.81</v>
      </c>
      <c r="K36" s="13" t="s">
        <v>17</v>
      </c>
      <c r="L36" s="14">
        <v>0.04</v>
      </c>
      <c r="M36" s="13" t="s">
        <v>96</v>
      </c>
      <c r="N36" s="14">
        <v>0.01</v>
      </c>
      <c r="O36" s="13" t="s">
        <v>19</v>
      </c>
      <c r="P36" s="14">
        <v>0.01</v>
      </c>
      <c r="Q36" s="15" t="s">
        <v>20</v>
      </c>
      <c r="R36" s="14"/>
      <c r="S36" s="15" t="s">
        <v>14</v>
      </c>
      <c r="T36" s="14">
        <v>0.02</v>
      </c>
      <c r="U36" s="30">
        <f t="shared" si="1"/>
        <v>0.9900000000000001</v>
      </c>
      <c r="Y36" s="39"/>
      <c r="Z36" s="39"/>
    </row>
    <row r="37" spans="1:26" s="31" customFormat="1" hidden="1" x14ac:dyDescent="0.25">
      <c r="A37" s="13">
        <v>3</v>
      </c>
      <c r="B37" s="13" t="s">
        <v>66</v>
      </c>
      <c r="C37" s="13" t="s">
        <v>10</v>
      </c>
      <c r="D37" s="13" t="s">
        <v>67</v>
      </c>
      <c r="E37" s="14">
        <f>185/281</f>
        <v>0.65836298932384341</v>
      </c>
      <c r="F37" s="35">
        <v>4215</v>
      </c>
      <c r="G37" s="15" t="s">
        <v>12</v>
      </c>
      <c r="H37" s="17">
        <v>0.31</v>
      </c>
      <c r="I37" s="15" t="s">
        <v>13</v>
      </c>
      <c r="J37" s="17">
        <v>0.65</v>
      </c>
      <c r="K37" s="13" t="s">
        <v>17</v>
      </c>
      <c r="L37" s="17">
        <v>0.02</v>
      </c>
      <c r="M37" s="13" t="s">
        <v>96</v>
      </c>
      <c r="N37" s="15"/>
      <c r="O37" s="13" t="s">
        <v>19</v>
      </c>
      <c r="P37" s="17">
        <v>0.01</v>
      </c>
      <c r="Q37" s="15" t="s">
        <v>20</v>
      </c>
      <c r="R37" s="15"/>
      <c r="S37" s="15" t="s">
        <v>14</v>
      </c>
      <c r="T37" s="14">
        <v>0.01</v>
      </c>
      <c r="U37" s="30">
        <f t="shared" si="1"/>
        <v>1</v>
      </c>
      <c r="V37" s="36"/>
      <c r="W37" s="36"/>
      <c r="X37" s="36"/>
      <c r="Y37" s="36"/>
      <c r="Z37" s="37"/>
    </row>
    <row r="38" spans="1:26" s="31" customFormat="1" hidden="1" x14ac:dyDescent="0.25">
      <c r="A38" s="15">
        <v>3</v>
      </c>
      <c r="B38" s="13" t="s">
        <v>66</v>
      </c>
      <c r="C38" s="13" t="s">
        <v>10</v>
      </c>
      <c r="D38" s="14" t="s">
        <v>68</v>
      </c>
      <c r="E38" s="14">
        <f>181/281</f>
        <v>0.64412811387900359</v>
      </c>
      <c r="F38" s="35">
        <v>2896</v>
      </c>
      <c r="G38" s="15" t="s">
        <v>12</v>
      </c>
      <c r="H38" s="17">
        <v>0.61</v>
      </c>
      <c r="I38" s="15" t="s">
        <v>13</v>
      </c>
      <c r="J38" s="17">
        <v>0.35</v>
      </c>
      <c r="K38" s="13" t="s">
        <v>17</v>
      </c>
      <c r="L38" s="17">
        <v>0.01</v>
      </c>
      <c r="M38" s="13" t="s">
        <v>96</v>
      </c>
      <c r="N38" s="17">
        <v>0.01</v>
      </c>
      <c r="O38" s="13" t="s">
        <v>19</v>
      </c>
      <c r="P38" s="15"/>
      <c r="Q38" s="15" t="s">
        <v>20</v>
      </c>
      <c r="R38" s="15"/>
      <c r="S38" s="15" t="s">
        <v>14</v>
      </c>
      <c r="T38" s="14">
        <v>0.01</v>
      </c>
      <c r="U38" s="30">
        <f t="shared" si="1"/>
        <v>0.99</v>
      </c>
      <c r="V38" s="37"/>
      <c r="W38" s="37"/>
      <c r="X38" s="37"/>
      <c r="Y38" s="36"/>
      <c r="Z38" s="36"/>
    </row>
    <row r="39" spans="1:26" s="1" customFormat="1" x14ac:dyDescent="0.25">
      <c r="A39" s="11">
        <v>1</v>
      </c>
      <c r="B39" s="11" t="s">
        <v>69</v>
      </c>
      <c r="C39" s="11" t="s">
        <v>10</v>
      </c>
      <c r="D39" s="12" t="s">
        <v>70</v>
      </c>
      <c r="E39" s="12">
        <f>238/281</f>
        <v>0.84697508896797158</v>
      </c>
      <c r="F39" s="22">
        <v>8916</v>
      </c>
      <c r="G39" s="9" t="s">
        <v>12</v>
      </c>
      <c r="H39" s="12">
        <v>0.16</v>
      </c>
      <c r="I39" s="9" t="s">
        <v>13</v>
      </c>
      <c r="J39" s="10">
        <v>0.79</v>
      </c>
      <c r="K39" s="11" t="s">
        <v>17</v>
      </c>
      <c r="L39" s="20">
        <v>0.02</v>
      </c>
      <c r="M39" s="11" t="s">
        <v>96</v>
      </c>
      <c r="N39" s="12">
        <v>0.01</v>
      </c>
      <c r="O39" s="11" t="s">
        <v>19</v>
      </c>
      <c r="P39" s="12">
        <v>0.01</v>
      </c>
      <c r="Q39" s="9" t="s">
        <v>20</v>
      </c>
      <c r="R39" s="12"/>
      <c r="S39" s="9" t="s">
        <v>14</v>
      </c>
      <c r="T39" s="18">
        <v>0.01</v>
      </c>
      <c r="U39" s="26">
        <f t="shared" si="1"/>
        <v>1</v>
      </c>
      <c r="V39" s="5"/>
      <c r="W39" s="5"/>
      <c r="X39" s="5"/>
      <c r="Y39" s="4"/>
      <c r="Z39" s="4"/>
    </row>
    <row r="40" spans="1:26" s="31" customFormat="1" hidden="1" x14ac:dyDescent="0.25">
      <c r="A40" s="15">
        <v>1</v>
      </c>
      <c r="B40" s="15" t="s">
        <v>69</v>
      </c>
      <c r="C40" s="15" t="s">
        <v>10</v>
      </c>
      <c r="D40" s="15" t="s">
        <v>71</v>
      </c>
      <c r="E40" s="14">
        <f>112/281</f>
        <v>0.39857651245551601</v>
      </c>
      <c r="F40" s="35">
        <v>5473</v>
      </c>
      <c r="G40" s="15" t="s">
        <v>12</v>
      </c>
      <c r="H40" s="17">
        <v>0.06</v>
      </c>
      <c r="I40" s="15" t="s">
        <v>13</v>
      </c>
      <c r="J40" s="17">
        <v>0.83</v>
      </c>
      <c r="K40" s="13" t="s">
        <v>17</v>
      </c>
      <c r="L40" s="17">
        <v>0.04</v>
      </c>
      <c r="M40" s="13" t="s">
        <v>96</v>
      </c>
      <c r="N40" s="17">
        <v>0.02</v>
      </c>
      <c r="O40" s="13" t="s">
        <v>19</v>
      </c>
      <c r="P40" s="17">
        <v>0.01</v>
      </c>
      <c r="Q40" s="15" t="s">
        <v>20</v>
      </c>
      <c r="R40" s="17"/>
      <c r="S40" s="15" t="s">
        <v>14</v>
      </c>
      <c r="T40" s="14">
        <v>0.03</v>
      </c>
      <c r="U40" s="30">
        <f t="shared" si="1"/>
        <v>0.99</v>
      </c>
      <c r="V40" s="37"/>
      <c r="W40" s="37"/>
      <c r="X40" s="37"/>
      <c r="Y40" s="36"/>
      <c r="Z40" s="36"/>
    </row>
    <row r="41" spans="1:26" s="1" customFormat="1" hidden="1" x14ac:dyDescent="0.25">
      <c r="A41" s="15">
        <v>1</v>
      </c>
      <c r="B41" s="15" t="s">
        <v>69</v>
      </c>
      <c r="C41" s="15" t="s">
        <v>10</v>
      </c>
      <c r="D41" s="15" t="s">
        <v>72</v>
      </c>
      <c r="E41" s="14">
        <f>49/281</f>
        <v>0.17437722419928825</v>
      </c>
      <c r="F41" s="22"/>
      <c r="G41" s="9" t="s">
        <v>12</v>
      </c>
      <c r="H41" s="29"/>
      <c r="I41" s="9" t="s">
        <v>13</v>
      </c>
      <c r="J41" s="29"/>
      <c r="K41" s="11" t="s">
        <v>17</v>
      </c>
      <c r="L41" s="29"/>
      <c r="M41" s="11" t="s">
        <v>96</v>
      </c>
      <c r="N41" s="29"/>
      <c r="O41" s="11" t="s">
        <v>19</v>
      </c>
      <c r="P41" s="29"/>
      <c r="Q41" s="9" t="s">
        <v>20</v>
      </c>
      <c r="R41" s="29"/>
      <c r="S41" s="9" t="s">
        <v>14</v>
      </c>
      <c r="T41" s="16"/>
      <c r="U41" s="26">
        <f t="shared" si="1"/>
        <v>0</v>
      </c>
      <c r="V41" s="5"/>
      <c r="W41" s="5"/>
      <c r="X41" s="5"/>
      <c r="Y41" s="4"/>
      <c r="Z41" s="4"/>
    </row>
    <row r="42" spans="1:26" s="1" customFormat="1" hidden="1" x14ac:dyDescent="0.25">
      <c r="A42" s="15">
        <v>1</v>
      </c>
      <c r="B42" s="15" t="s">
        <v>69</v>
      </c>
      <c r="C42" s="15" t="s">
        <v>10</v>
      </c>
      <c r="D42" s="15" t="s">
        <v>73</v>
      </c>
      <c r="E42" s="14">
        <f>122/281</f>
        <v>0.43416370106761565</v>
      </c>
      <c r="F42" s="22">
        <v>5249</v>
      </c>
      <c r="G42" s="9" t="s">
        <v>12</v>
      </c>
      <c r="H42" s="29">
        <v>0.09</v>
      </c>
      <c r="I42" s="9" t="s">
        <v>13</v>
      </c>
      <c r="J42" s="29">
        <v>0.85</v>
      </c>
      <c r="K42" s="11" t="s">
        <v>17</v>
      </c>
      <c r="L42" s="29">
        <v>0.02</v>
      </c>
      <c r="M42" s="11" t="s">
        <v>96</v>
      </c>
      <c r="N42" s="29"/>
      <c r="O42" s="11" t="s">
        <v>19</v>
      </c>
      <c r="P42" s="29">
        <v>0.01</v>
      </c>
      <c r="Q42" s="9" t="s">
        <v>20</v>
      </c>
      <c r="R42" s="29"/>
      <c r="S42" s="9" t="s">
        <v>14</v>
      </c>
      <c r="T42" s="16">
        <v>0.03</v>
      </c>
      <c r="U42" s="26">
        <f t="shared" si="1"/>
        <v>1</v>
      </c>
      <c r="V42" s="5"/>
      <c r="W42" s="5"/>
      <c r="X42" s="5"/>
      <c r="Y42" s="4"/>
      <c r="Z42" s="4"/>
    </row>
    <row r="43" spans="1:26" s="31" customFormat="1" hidden="1" x14ac:dyDescent="0.25">
      <c r="A43" s="15">
        <v>1</v>
      </c>
      <c r="B43" s="15" t="s">
        <v>69</v>
      </c>
      <c r="C43" s="15" t="s">
        <v>10</v>
      </c>
      <c r="D43" s="15" t="s">
        <v>74</v>
      </c>
      <c r="E43" s="14">
        <f>132/281</f>
        <v>0.46975088967971529</v>
      </c>
      <c r="F43" s="35">
        <v>8363</v>
      </c>
      <c r="G43" s="15" t="s">
        <v>12</v>
      </c>
      <c r="H43" s="17">
        <v>0.15</v>
      </c>
      <c r="I43" s="15" t="s">
        <v>13</v>
      </c>
      <c r="J43" s="17">
        <v>0.76</v>
      </c>
      <c r="K43" s="13" t="s">
        <v>17</v>
      </c>
      <c r="L43" s="17">
        <v>0.03</v>
      </c>
      <c r="M43" s="13" t="s">
        <v>96</v>
      </c>
      <c r="N43" s="17">
        <v>0.02</v>
      </c>
      <c r="O43" s="13" t="s">
        <v>19</v>
      </c>
      <c r="P43" s="17">
        <v>0.01</v>
      </c>
      <c r="Q43" s="15" t="s">
        <v>20</v>
      </c>
      <c r="R43" s="17"/>
      <c r="S43" s="15" t="s">
        <v>14</v>
      </c>
      <c r="T43" s="14">
        <v>0.02</v>
      </c>
      <c r="U43" s="30">
        <f t="shared" si="1"/>
        <v>0.9900000000000001</v>
      </c>
      <c r="V43" s="37"/>
      <c r="W43" s="37"/>
      <c r="X43" s="37"/>
      <c r="Y43" s="36"/>
      <c r="Z43" s="36"/>
    </row>
    <row r="44" spans="1:26" s="1" customFormat="1" x14ac:dyDescent="0.25">
      <c r="A44" s="9">
        <v>3</v>
      </c>
      <c r="B44" s="9" t="s">
        <v>75</v>
      </c>
      <c r="C44" s="9" t="s">
        <v>10</v>
      </c>
      <c r="D44" s="9" t="s">
        <v>76</v>
      </c>
      <c r="E44" s="10">
        <f>263/281</f>
        <v>0.93594306049822062</v>
      </c>
      <c r="F44" s="22">
        <v>4026</v>
      </c>
      <c r="G44" s="9" t="s">
        <v>12</v>
      </c>
      <c r="H44" s="10">
        <v>0.88</v>
      </c>
      <c r="I44" s="9" t="s">
        <v>13</v>
      </c>
      <c r="J44" s="10">
        <v>0.11</v>
      </c>
      <c r="K44" s="11" t="s">
        <v>17</v>
      </c>
      <c r="L44" s="20">
        <v>0.01</v>
      </c>
      <c r="M44" s="24"/>
      <c r="N44" s="24"/>
      <c r="O44" s="24"/>
      <c r="P44" s="24"/>
      <c r="Q44" s="24"/>
      <c r="R44" s="24"/>
      <c r="S44" s="9" t="s">
        <v>14</v>
      </c>
      <c r="T44" s="20">
        <v>0.01</v>
      </c>
      <c r="U44" s="26">
        <f t="shared" si="1"/>
        <v>1.01</v>
      </c>
      <c r="V44" s="5"/>
      <c r="W44" s="5"/>
      <c r="X44" s="5"/>
      <c r="Y44" s="4"/>
      <c r="Z44" s="4"/>
    </row>
    <row r="45" spans="1:26" s="31" customFormat="1" hidden="1" x14ac:dyDescent="0.25">
      <c r="A45" s="15">
        <v>3</v>
      </c>
      <c r="B45" s="15" t="s">
        <v>75</v>
      </c>
      <c r="C45" s="15" t="s">
        <v>10</v>
      </c>
      <c r="D45" s="15" t="s">
        <v>77</v>
      </c>
      <c r="E45" s="17">
        <f>120/281</f>
        <v>0.42704626334519574</v>
      </c>
      <c r="F45" s="35">
        <v>7032</v>
      </c>
      <c r="G45" s="15" t="s">
        <v>12</v>
      </c>
      <c r="H45" s="17">
        <v>0.21</v>
      </c>
      <c r="I45" s="15" t="s">
        <v>13</v>
      </c>
      <c r="J45" s="17">
        <v>0.74</v>
      </c>
      <c r="K45" s="13" t="s">
        <v>17</v>
      </c>
      <c r="L45" s="17">
        <v>0.02</v>
      </c>
      <c r="M45" s="13" t="s">
        <v>96</v>
      </c>
      <c r="N45" s="15"/>
      <c r="O45" s="13" t="s">
        <v>19</v>
      </c>
      <c r="P45" s="17">
        <v>0.01</v>
      </c>
      <c r="Q45" s="15" t="s">
        <v>20</v>
      </c>
      <c r="R45" s="15"/>
      <c r="S45" s="15" t="s">
        <v>14</v>
      </c>
      <c r="T45" s="14">
        <v>0.01</v>
      </c>
      <c r="U45" s="30">
        <f t="shared" si="1"/>
        <v>0.99</v>
      </c>
      <c r="V45" s="37"/>
      <c r="W45" s="37"/>
      <c r="X45" s="37"/>
      <c r="Y45" s="36"/>
      <c r="Z45" s="36"/>
    </row>
    <row r="46" spans="1:26" s="1" customFormat="1" x14ac:dyDescent="0.25">
      <c r="A46" s="9">
        <v>3</v>
      </c>
      <c r="B46" s="9" t="s">
        <v>75</v>
      </c>
      <c r="C46" s="9" t="s">
        <v>10</v>
      </c>
      <c r="D46" s="9" t="s">
        <v>78</v>
      </c>
      <c r="E46" s="10">
        <f>272/281</f>
        <v>0.96797153024911031</v>
      </c>
      <c r="F46" s="22">
        <v>8491</v>
      </c>
      <c r="G46" s="9" t="s">
        <v>12</v>
      </c>
      <c r="H46" s="10">
        <v>0.78</v>
      </c>
      <c r="I46" s="9" t="s">
        <v>13</v>
      </c>
      <c r="J46" s="10">
        <v>0.19</v>
      </c>
      <c r="K46" s="11" t="s">
        <v>17</v>
      </c>
      <c r="L46" s="20">
        <v>0.01</v>
      </c>
      <c r="M46" s="11" t="s">
        <v>96</v>
      </c>
      <c r="N46" s="12">
        <v>0.01</v>
      </c>
      <c r="O46" s="23"/>
      <c r="P46" s="23"/>
      <c r="Q46" s="23"/>
      <c r="R46" s="23"/>
      <c r="S46" s="24"/>
      <c r="T46" s="24"/>
      <c r="U46" s="26">
        <f t="shared" si="1"/>
        <v>0.99</v>
      </c>
      <c r="V46" s="5"/>
      <c r="W46" s="5"/>
      <c r="X46" s="5"/>
      <c r="Y46" s="4"/>
      <c r="Z46" s="4"/>
    </row>
    <row r="47" spans="1:26" s="1" customFormat="1" x14ac:dyDescent="0.25">
      <c r="A47" s="11">
        <v>3</v>
      </c>
      <c r="B47" s="9" t="s">
        <v>75</v>
      </c>
      <c r="C47" s="9" t="s">
        <v>10</v>
      </c>
      <c r="D47" s="9" t="s">
        <v>79</v>
      </c>
      <c r="E47" s="10">
        <f>239/281</f>
        <v>0.85053380782918153</v>
      </c>
      <c r="F47" s="22">
        <v>6630</v>
      </c>
      <c r="G47" s="9" t="s">
        <v>12</v>
      </c>
      <c r="H47" s="10">
        <v>0.43</v>
      </c>
      <c r="I47" s="9" t="s">
        <v>13</v>
      </c>
      <c r="J47" s="10">
        <v>0.51</v>
      </c>
      <c r="K47" s="11" t="s">
        <v>17</v>
      </c>
      <c r="L47" s="20">
        <v>0.02</v>
      </c>
      <c r="M47" s="9" t="s">
        <v>18</v>
      </c>
      <c r="N47" s="18">
        <v>0.02</v>
      </c>
      <c r="O47" s="12" t="s">
        <v>19</v>
      </c>
      <c r="P47" s="12">
        <v>0.01</v>
      </c>
      <c r="Q47" s="9" t="s">
        <v>20</v>
      </c>
      <c r="R47" s="12"/>
      <c r="S47" s="9" t="s">
        <v>14</v>
      </c>
      <c r="T47" s="18">
        <v>0.01</v>
      </c>
      <c r="U47" s="26">
        <f t="shared" si="1"/>
        <v>1</v>
      </c>
      <c r="V47" s="5"/>
      <c r="W47" s="5"/>
      <c r="X47" s="5"/>
      <c r="Y47" s="4"/>
      <c r="Z47" s="4"/>
    </row>
    <row r="48" spans="1:26" s="1" customFormat="1" x14ac:dyDescent="0.25">
      <c r="A48" s="9">
        <v>3</v>
      </c>
      <c r="B48" s="9" t="s">
        <v>75</v>
      </c>
      <c r="C48" s="9" t="s">
        <v>10</v>
      </c>
      <c r="D48" s="9" t="s">
        <v>80</v>
      </c>
      <c r="E48" s="10">
        <f>268/281</f>
        <v>0.9537366548042705</v>
      </c>
      <c r="F48" s="22">
        <v>8662</v>
      </c>
      <c r="G48" s="9" t="s">
        <v>12</v>
      </c>
      <c r="H48" s="10">
        <v>0.89</v>
      </c>
      <c r="I48" s="9" t="s">
        <v>13</v>
      </c>
      <c r="J48" s="10">
        <v>0.1</v>
      </c>
      <c r="K48" s="24"/>
      <c r="L48" s="24"/>
      <c r="M48" s="24"/>
      <c r="N48" s="24"/>
      <c r="O48" s="23"/>
      <c r="P48" s="23"/>
      <c r="Q48" s="23"/>
      <c r="R48" s="23"/>
      <c r="S48" s="24"/>
      <c r="T48" s="24"/>
      <c r="U48" s="26">
        <f t="shared" si="1"/>
        <v>0.99</v>
      </c>
      <c r="V48" s="5"/>
      <c r="W48" s="5"/>
      <c r="X48" s="5"/>
      <c r="Y48" s="4"/>
      <c r="Z48" s="4"/>
    </row>
    <row r="49" spans="1:26" s="1" customFormat="1" x14ac:dyDescent="0.25">
      <c r="A49" s="9">
        <v>3</v>
      </c>
      <c r="B49" s="9" t="s">
        <v>75</v>
      </c>
      <c r="C49" s="9" t="s">
        <v>10</v>
      </c>
      <c r="D49" s="9" t="s">
        <v>81</v>
      </c>
      <c r="E49" s="10">
        <f>267/281</f>
        <v>0.95017793594306055</v>
      </c>
      <c r="F49" s="22">
        <v>4808</v>
      </c>
      <c r="G49" s="9" t="s">
        <v>12</v>
      </c>
      <c r="H49" s="10">
        <v>0.79</v>
      </c>
      <c r="I49" s="9" t="s">
        <v>13</v>
      </c>
      <c r="J49" s="10">
        <v>0.1</v>
      </c>
      <c r="K49" s="11" t="s">
        <v>17</v>
      </c>
      <c r="L49" s="20">
        <v>0.01</v>
      </c>
      <c r="M49" s="9" t="s">
        <v>18</v>
      </c>
      <c r="N49" s="10">
        <v>0.09</v>
      </c>
      <c r="O49" s="23"/>
      <c r="P49" s="23"/>
      <c r="Q49" s="23"/>
      <c r="R49" s="23"/>
      <c r="S49" s="24"/>
      <c r="T49" s="24"/>
      <c r="U49" s="26">
        <f t="shared" si="1"/>
        <v>0.99</v>
      </c>
      <c r="V49" s="4"/>
      <c r="W49" s="4"/>
      <c r="X49" s="4"/>
      <c r="Y49" s="4"/>
      <c r="Z49" s="5"/>
    </row>
    <row r="50" spans="1:26" s="1" customFormat="1" x14ac:dyDescent="0.25">
      <c r="A50" s="11">
        <v>3</v>
      </c>
      <c r="B50" s="9" t="s">
        <v>75</v>
      </c>
      <c r="C50" s="9" t="s">
        <v>10</v>
      </c>
      <c r="D50" s="9" t="s">
        <v>82</v>
      </c>
      <c r="E50" s="10">
        <f>260/281</f>
        <v>0.92526690391459077</v>
      </c>
      <c r="F50" s="22">
        <v>3529</v>
      </c>
      <c r="G50" s="9" t="s">
        <v>12</v>
      </c>
      <c r="H50" s="10">
        <v>0.55000000000000004</v>
      </c>
      <c r="I50" s="9" t="s">
        <v>13</v>
      </c>
      <c r="J50" s="10">
        <v>0.41</v>
      </c>
      <c r="K50" s="11" t="s">
        <v>17</v>
      </c>
      <c r="L50" s="20">
        <v>0.01</v>
      </c>
      <c r="M50" s="9" t="s">
        <v>18</v>
      </c>
      <c r="N50" s="18">
        <v>0.02</v>
      </c>
      <c r="O50" s="23"/>
      <c r="P50" s="23"/>
      <c r="Q50" s="23"/>
      <c r="R50" s="23"/>
      <c r="S50" s="9" t="s">
        <v>14</v>
      </c>
      <c r="T50" s="18">
        <v>0.01</v>
      </c>
      <c r="U50" s="26">
        <f t="shared" si="1"/>
        <v>1</v>
      </c>
      <c r="V50" s="4"/>
      <c r="W50" s="4"/>
      <c r="X50" s="4"/>
      <c r="Y50" s="4"/>
      <c r="Z50" s="5"/>
    </row>
    <row r="51" spans="1:26" s="1" customFormat="1" x14ac:dyDescent="0.25">
      <c r="A51" s="9">
        <v>3</v>
      </c>
      <c r="B51" s="9" t="s">
        <v>75</v>
      </c>
      <c r="C51" s="9" t="s">
        <v>10</v>
      </c>
      <c r="D51" s="9" t="s">
        <v>83</v>
      </c>
      <c r="E51" s="10">
        <f>274/281</f>
        <v>0.97508896797153022</v>
      </c>
      <c r="F51" s="22">
        <v>6838</v>
      </c>
      <c r="G51" s="9" t="s">
        <v>12</v>
      </c>
      <c r="H51" s="10">
        <v>0.78</v>
      </c>
      <c r="I51" s="9" t="s">
        <v>13</v>
      </c>
      <c r="J51" s="10">
        <v>7.0000000000000007E-2</v>
      </c>
      <c r="K51" s="11" t="s">
        <v>17</v>
      </c>
      <c r="L51" s="20">
        <v>0.01</v>
      </c>
      <c r="M51" s="9" t="s">
        <v>18</v>
      </c>
      <c r="N51" s="18">
        <v>0.12</v>
      </c>
      <c r="O51" s="23"/>
      <c r="P51" s="23"/>
      <c r="Q51" s="23"/>
      <c r="R51" s="23"/>
      <c r="S51" s="9" t="s">
        <v>14</v>
      </c>
      <c r="T51" s="18">
        <v>0.02</v>
      </c>
      <c r="U51" s="26">
        <f t="shared" si="1"/>
        <v>1</v>
      </c>
      <c r="V51" s="4"/>
      <c r="W51" s="4"/>
      <c r="X51" s="4"/>
      <c r="Y51" s="4"/>
      <c r="Z51" s="5"/>
    </row>
    <row r="52" spans="1:26" s="31" customFormat="1" hidden="1" x14ac:dyDescent="0.25">
      <c r="A52" s="15">
        <v>3</v>
      </c>
      <c r="B52" s="15" t="s">
        <v>75</v>
      </c>
      <c r="C52" s="15" t="s">
        <v>10</v>
      </c>
      <c r="D52" s="15" t="s">
        <v>84</v>
      </c>
      <c r="E52" s="14">
        <f>156/281</f>
        <v>0.55516014234875444</v>
      </c>
      <c r="F52" s="35">
        <v>8091</v>
      </c>
      <c r="G52" s="15" t="s">
        <v>12</v>
      </c>
      <c r="H52" s="17">
        <v>0.5</v>
      </c>
      <c r="I52" s="15" t="s">
        <v>13</v>
      </c>
      <c r="J52" s="17">
        <v>0.45</v>
      </c>
      <c r="K52" s="13" t="s">
        <v>17</v>
      </c>
      <c r="L52" s="17">
        <v>0.02</v>
      </c>
      <c r="M52" s="13" t="s">
        <v>96</v>
      </c>
      <c r="N52" s="17">
        <v>0.02</v>
      </c>
      <c r="O52" s="13" t="s">
        <v>19</v>
      </c>
      <c r="P52" s="17"/>
      <c r="Q52" s="15" t="s">
        <v>20</v>
      </c>
      <c r="R52" s="17"/>
      <c r="S52" s="15" t="s">
        <v>14</v>
      </c>
      <c r="T52" s="14">
        <v>0.01</v>
      </c>
      <c r="U52" s="30">
        <f t="shared" si="1"/>
        <v>1</v>
      </c>
      <c r="V52" s="36"/>
      <c r="W52" s="36"/>
      <c r="X52" s="36"/>
      <c r="Y52" s="36"/>
      <c r="Z52" s="37"/>
    </row>
    <row r="53" spans="1:26" s="1" customFormat="1" hidden="1" x14ac:dyDescent="0.25">
      <c r="A53"/>
      <c r="B53"/>
      <c r="C53"/>
      <c r="D53"/>
      <c r="E53"/>
      <c r="F53" s="22">
        <f>SUBTOTAL(9,F3:F52)</f>
        <v>83187</v>
      </c>
      <c r="S53"/>
      <c r="T53"/>
    </row>
    <row r="54" spans="1:26" s="1" customFormat="1" hidden="1" x14ac:dyDescent="0.25">
      <c r="A54"/>
      <c r="B54"/>
      <c r="C54"/>
      <c r="D54" s="3" t="s">
        <v>85</v>
      </c>
      <c r="E54"/>
      <c r="F54"/>
      <c r="L54" s="2"/>
      <c r="S54"/>
      <c r="T54"/>
    </row>
    <row r="55" spans="1:26" s="1" customFormat="1" hidden="1" x14ac:dyDescent="0.25">
      <c r="A55"/>
      <c r="B55"/>
      <c r="C55"/>
      <c r="D55" s="9" t="s">
        <v>86</v>
      </c>
      <c r="E55"/>
      <c r="F55"/>
      <c r="G55" s="2"/>
      <c r="H55" s="2"/>
      <c r="I55" s="2"/>
      <c r="J55" s="2"/>
      <c r="K55" s="2"/>
      <c r="L55" s="2"/>
      <c r="M55" s="2"/>
      <c r="S55"/>
      <c r="T55"/>
    </row>
    <row r="56" spans="1:26" s="1" customFormat="1" hidden="1" x14ac:dyDescent="0.25">
      <c r="A56"/>
      <c r="B56"/>
      <c r="C56"/>
      <c r="D56" s="6" t="s">
        <v>87</v>
      </c>
      <c r="E56"/>
      <c r="F56"/>
      <c r="G56" s="2"/>
      <c r="H56" s="2"/>
      <c r="I56" s="2"/>
      <c r="J56" s="2"/>
      <c r="K56" s="2"/>
      <c r="L56" s="2"/>
      <c r="M56" s="2"/>
      <c r="S56"/>
      <c r="T56"/>
    </row>
    <row r="57" spans="1:26" s="1" customFormat="1" x14ac:dyDescent="0.25">
      <c r="A57"/>
      <c r="B57"/>
      <c r="C57"/>
      <c r="D57"/>
      <c r="E57"/>
      <c r="F57"/>
      <c r="G57" s="2"/>
      <c r="H57" s="2"/>
      <c r="I57" s="2"/>
      <c r="J57" s="2"/>
      <c r="K57" s="2"/>
      <c r="L57" s="2"/>
      <c r="M57" s="2"/>
      <c r="S57"/>
      <c r="T57"/>
    </row>
    <row r="58" spans="1:26" s="1" customFormat="1" x14ac:dyDescent="0.25">
      <c r="A58" s="40" t="s">
        <v>88</v>
      </c>
      <c r="B58"/>
      <c r="C58"/>
      <c r="D58"/>
      <c r="E58"/>
      <c r="F58"/>
      <c r="G58" s="2"/>
      <c r="H58" s="2"/>
      <c r="I58" s="2"/>
      <c r="J58" s="2"/>
      <c r="K58" s="2"/>
      <c r="L58" s="2"/>
      <c r="M58" s="2"/>
      <c r="S58"/>
      <c r="T58"/>
    </row>
    <row r="59" spans="1:26" s="1" customFormat="1" x14ac:dyDescent="0.25">
      <c r="A59"/>
      <c r="B59"/>
      <c r="C59"/>
      <c r="D59"/>
      <c r="E59"/>
      <c r="F59"/>
      <c r="G59" s="2"/>
      <c r="H59" s="2"/>
      <c r="I59" s="2"/>
      <c r="J59" s="2"/>
      <c r="K59" s="2"/>
      <c r="L59" s="2"/>
      <c r="M59" s="2"/>
      <c r="S59"/>
      <c r="T59"/>
    </row>
    <row r="60" spans="1:26" s="1" customFormat="1" x14ac:dyDescent="0.25">
      <c r="A60" s="45" t="s">
        <v>89</v>
      </c>
      <c r="B60" s="45"/>
      <c r="C60" s="45"/>
      <c r="D60" s="45"/>
      <c r="E60"/>
      <c r="F60"/>
      <c r="S60"/>
      <c r="T60"/>
    </row>
    <row r="61" spans="1:26" s="1" customFormat="1" ht="38.25" customHeight="1" x14ac:dyDescent="0.25">
      <c r="A61" s="46" t="s">
        <v>90</v>
      </c>
      <c r="B61" s="46"/>
      <c r="C61" s="46"/>
      <c r="D61" s="46"/>
      <c r="E61"/>
      <c r="F61"/>
      <c r="S61"/>
      <c r="T61"/>
    </row>
    <row r="62" spans="1:26" s="1" customFormat="1" ht="33.75" customHeight="1" x14ac:dyDescent="0.25">
      <c r="A62" s="46" t="s">
        <v>91</v>
      </c>
      <c r="B62" s="46"/>
      <c r="C62" s="46"/>
      <c r="D62" s="46"/>
      <c r="E62"/>
      <c r="F62"/>
      <c r="S62"/>
      <c r="T62"/>
    </row>
    <row r="63" spans="1:26" s="1" customFormat="1" ht="26.25" customHeight="1" x14ac:dyDescent="0.25">
      <c r="A63" s="46" t="s">
        <v>92</v>
      </c>
      <c r="B63" s="46"/>
      <c r="C63" s="46"/>
      <c r="D63" s="46"/>
      <c r="E63"/>
      <c r="F63"/>
      <c r="S63"/>
      <c r="T63"/>
    </row>
    <row r="64" spans="1:26" s="1" customFormat="1" ht="36.75" customHeight="1" x14ac:dyDescent="0.25">
      <c r="A64" s="46" t="s">
        <v>93</v>
      </c>
      <c r="B64" s="46"/>
      <c r="C64" s="46"/>
      <c r="D64" s="46"/>
      <c r="E64"/>
      <c r="F64"/>
      <c r="S64"/>
      <c r="T64"/>
    </row>
    <row r="65" spans="1:20" s="1" customFormat="1" ht="51" customHeight="1" x14ac:dyDescent="0.25">
      <c r="A65" s="46" t="s">
        <v>94</v>
      </c>
      <c r="B65" s="43"/>
      <c r="C65" s="43"/>
      <c r="D65" s="43"/>
      <c r="E65"/>
      <c r="F65"/>
      <c r="S65"/>
      <c r="T65"/>
    </row>
    <row r="66" spans="1:20" s="1" customFormat="1" x14ac:dyDescent="0.25">
      <c r="A66"/>
      <c r="B66"/>
      <c r="C66"/>
      <c r="D66"/>
      <c r="E66"/>
      <c r="F66"/>
      <c r="S66"/>
      <c r="T66"/>
    </row>
    <row r="67" spans="1:20" s="1" customFormat="1" x14ac:dyDescent="0.25">
      <c r="A67"/>
      <c r="B67"/>
      <c r="C67"/>
      <c r="D67"/>
      <c r="E67"/>
      <c r="F67"/>
      <c r="G67" s="2"/>
      <c r="H67" s="2"/>
      <c r="I67" s="2"/>
      <c r="J67" s="2"/>
      <c r="K67" s="2"/>
      <c r="L67" s="2"/>
      <c r="M67" s="2"/>
      <c r="S67"/>
      <c r="T67"/>
    </row>
    <row r="68" spans="1:20" s="1" customFormat="1" x14ac:dyDescent="0.25">
      <c r="A68" s="43" t="s">
        <v>95</v>
      </c>
      <c r="B68" s="44"/>
      <c r="C68" s="44"/>
      <c r="D68" s="44"/>
      <c r="E68"/>
      <c r="F68"/>
      <c r="G68" s="2"/>
      <c r="H68" s="2"/>
      <c r="I68" s="2"/>
      <c r="J68" s="2"/>
      <c r="K68" s="2"/>
      <c r="L68" s="2"/>
      <c r="M68" s="2"/>
      <c r="S68"/>
      <c r="T68"/>
    </row>
    <row r="69" spans="1:20" s="1" customFormat="1" x14ac:dyDescent="0.25">
      <c r="A69" s="44"/>
      <c r="B69" s="44"/>
      <c r="C69" s="44"/>
      <c r="D69" s="44"/>
      <c r="E69"/>
      <c r="F69"/>
      <c r="G69" s="2"/>
      <c r="H69" s="2"/>
      <c r="I69" s="2"/>
      <c r="J69" s="2"/>
      <c r="K69" s="2"/>
      <c r="L69" s="2"/>
      <c r="M69" s="2"/>
      <c r="S69"/>
      <c r="T69"/>
    </row>
    <row r="70" spans="1:20" s="1" customFormat="1" x14ac:dyDescent="0.25">
      <c r="A70" s="44"/>
      <c r="B70" s="44"/>
      <c r="C70" s="44"/>
      <c r="D70" s="44"/>
      <c r="E70"/>
      <c r="F70"/>
      <c r="S70"/>
      <c r="T70"/>
    </row>
    <row r="71" spans="1:20" s="1" customFormat="1" x14ac:dyDescent="0.25">
      <c r="A71" s="44"/>
      <c r="B71" s="44"/>
      <c r="C71" s="44"/>
      <c r="D71" s="44"/>
      <c r="E71"/>
      <c r="F71"/>
      <c r="S71"/>
      <c r="T71"/>
    </row>
    <row r="72" spans="1:20" s="1" customFormat="1" x14ac:dyDescent="0.25">
      <c r="A72" s="44"/>
      <c r="B72" s="44"/>
      <c r="C72" s="44"/>
      <c r="D72" s="44"/>
      <c r="E72"/>
      <c r="F72"/>
      <c r="S72"/>
      <c r="T72"/>
    </row>
    <row r="73" spans="1:20" s="1" customFormat="1" x14ac:dyDescent="0.25">
      <c r="A73" s="44"/>
      <c r="B73" s="44"/>
      <c r="C73" s="44"/>
      <c r="D73" s="44"/>
      <c r="E73"/>
      <c r="F73"/>
      <c r="S73"/>
      <c r="T73"/>
    </row>
    <row r="74" spans="1:20" s="1" customFormat="1" ht="186.75" customHeight="1" x14ac:dyDescent="0.25">
      <c r="A74" s="44"/>
      <c r="B74" s="44"/>
      <c r="C74" s="44"/>
      <c r="D74" s="44"/>
      <c r="E74"/>
      <c r="F74"/>
      <c r="S74"/>
      <c r="T74"/>
    </row>
    <row r="76" spans="1:20" x14ac:dyDescent="0.25">
      <c r="A76" s="1"/>
    </row>
  </sheetData>
  <autoFilter ref="B2:U56" xr:uid="{5E60AA57-ED04-422C-8BFF-6A836D968A52}">
    <filterColumn colId="3">
      <filters>
        <filter val="80%"/>
        <filter val="81%"/>
        <filter val="85%"/>
        <filter val="86%"/>
        <filter val="88%"/>
        <filter val="90%"/>
        <filter val="93%"/>
        <filter val="94%"/>
        <filter val="95%"/>
        <filter val="97%"/>
        <filter val="98%"/>
      </filters>
    </filterColumn>
  </autoFilter>
  <mergeCells count="7">
    <mergeCell ref="A60:D60"/>
    <mergeCell ref="A65:D65"/>
    <mergeCell ref="A68:D74"/>
    <mergeCell ref="A61:D61"/>
    <mergeCell ref="A62:D62"/>
    <mergeCell ref="A63:D63"/>
    <mergeCell ref="A64:D64"/>
  </mergeCells>
  <hyperlinks>
    <hyperlink ref="A62" r:id="rId1" display="https://fortress.wa.gov/doh/wtnibl/WTNIBL/" xr:uid="{E2785D7D-6B06-4A31-9553-93A69C78D5D4}"/>
    <hyperlink ref="A61" r:id="rId2" location=":~:text=Economically%20Disadvantaged%20Cities%20and%20Towns%20As%20of%20July,funding%20and%20qualify%20for%20a%20reduced%20local%20match." display="https://apps.ecology.wa.gov/publications/documents/2109045.pdf - :~:text=Economically%20Disadvantaged%20Cities%20and%20Towns%20As%20of%20July,funding%20and%20qualify%20for%20a%20reduced%20local%20match." xr:uid="{CE0730B3-2CDA-46AB-ACAA-5E7E35317BE9}"/>
    <hyperlink ref="A63" r:id="rId3" location="/?s_state=53&amp;s_county=&amp;s_district=&amp;s_geography=county" display="https://www.census.gov/data-tools/demo/saipe/ - /?s_state=53&amp;s_county=&amp;s_district=&amp;s_geography=county" xr:uid="{135F811D-E5A1-4B85-84F2-163B9975B032}"/>
    <hyperlink ref="A64" r:id="rId4" display="https://ofm.wa.gov/tags/social-economic-data" xr:uid="{6DE34B53-37CA-413A-9FB7-F51FE7331A13}"/>
    <hyperlink ref="A65" r:id="rId5" xr:uid="{A2B542DE-1587-48B5-84D6-EC3E918C648B}"/>
  </hyperlinks>
  <pageMargins left="0.7" right="0.7" top="0.75" bottom="0.75" header="0.3" footer="0.3"/>
  <pageSetup paperSize="9" orientation="portrait" horizontalDpi="300" verticalDpi="300"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D2467-37C0-49B0-9B98-F39CFAD51535}">
  <dimension ref="P10:T10"/>
  <sheetViews>
    <sheetView topLeftCell="A91" workbookViewId="0">
      <selection activeCell="U20" sqref="U20"/>
    </sheetView>
  </sheetViews>
  <sheetFormatPr defaultRowHeight="15" x14ac:dyDescent="0.25"/>
  <sheetData>
    <row r="10" spans="16:20" x14ac:dyDescent="0.25">
      <c r="P10" s="47" t="s">
        <v>97</v>
      </c>
      <c r="Q10" s="47"/>
      <c r="R10" s="47"/>
      <c r="S10" s="47"/>
      <c r="T10" s="47"/>
    </row>
  </sheetData>
  <mergeCells count="1">
    <mergeCell ref="P10:T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4AA8-A6B7-4D8C-896D-08B62E39680E}">
  <dimension ref="A1"/>
  <sheetViews>
    <sheetView topLeftCell="A7" workbookViewId="0">
      <selection activeCell="U17" sqref="U17"/>
    </sheetView>
  </sheetViews>
  <sheetFormatPr defaultRowHeight="15" x14ac:dyDescent="0.25"/>
  <sheetData>
    <row r="1" spans="1:1" x14ac:dyDescent="0.25">
      <c r="A1" s="1" t="s">
        <v>98</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2024-03-29T07:00:00+00:00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240008</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B8DA041E6AD244B4287ED7B15DC401" ma:contentTypeVersion="7" ma:contentTypeDescription="" ma:contentTypeScope="" ma:versionID="20558913ad351cab4dfbc7c9a5412df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7A358683-372C-4D0A-928D-899A467D9165}">
  <ds:schemaRefs>
    <ds:schemaRef ds:uri="http://schemas.microsoft.com/office/2006/metadata/properties"/>
    <ds:schemaRef ds:uri="http://schemas.microsoft.com/office/infopath/2007/PartnerControls"/>
    <ds:schemaRef ds:uri="d5cc8d43-1cbe-4f92-bb7a-9353782eab5b"/>
    <ds:schemaRef ds:uri="3eb5731f-fd80-43b3-8241-3c206fd1768d"/>
  </ds:schemaRefs>
</ds:datastoreItem>
</file>

<file path=customXml/itemProps2.xml><?xml version="1.0" encoding="utf-8"?>
<ds:datastoreItem xmlns:ds="http://schemas.openxmlformats.org/officeDocument/2006/customXml" ds:itemID="{A9754BAC-A2B3-4B6E-BD3B-D946F2E103F6}">
  <ds:schemaRefs>
    <ds:schemaRef ds:uri="http://schemas.microsoft.com/sharepoint/v3/contenttype/forms"/>
  </ds:schemaRefs>
</ds:datastoreItem>
</file>

<file path=customXml/itemProps3.xml><?xml version="1.0" encoding="utf-8"?>
<ds:datastoreItem xmlns:ds="http://schemas.openxmlformats.org/officeDocument/2006/customXml" ds:itemID="{1523C103-33E9-4341-9DA7-BD3765CF38A9}"/>
</file>

<file path=customXml/itemProps4.xml><?xml version="1.0" encoding="utf-8"?>
<ds:datastoreItem xmlns:ds="http://schemas.openxmlformats.org/officeDocument/2006/customXml" ds:itemID="{78F33E37-DA23-4EA9-986F-24242B5701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NO-2 Communities Serv.</vt:lpstr>
      <vt:lpstr>NO-2 Comm Serv._HICs</vt:lpstr>
      <vt:lpstr>NO-2 Communities_Poverty </vt:lpstr>
      <vt:lpstr>NO-2Non-English_Limited English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Ortiz, Noemi</dc:creator>
  <cp:keywords/>
  <dc:description/>
  <cp:lastModifiedBy>Barnett, Donna L. (BEL)</cp:lastModifiedBy>
  <cp:revision/>
  <dcterms:created xsi:type="dcterms:W3CDTF">2022-01-05T14:28:53Z</dcterms:created>
  <dcterms:modified xsi:type="dcterms:W3CDTF">2024-03-28T22:00:28Z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0x0101006E56B4D1795A2E4DB2F0B01679ED314A009EB8DA041E6AD244B4287ED7B15DC401</vt:lpwstr>
  </property>
  <property fmtid="{D5CDD505-2E9C-101B-9397-08002B2CF9AE}" pid="3" name="_docset_NoMedatataSyncRequired">
    <vt:lpwstr>False</vt:lpwstr>
  </property>
</Properties>
</file>