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app.xml" ContentType="application/vnd.openxmlformats-officedocument.extended-propertie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23\2023 WA ERM (2022 Review)\For Filing\Non-Confidential Supporting Workpapers\"/>
    </mc:Choice>
  </mc:AlternateContent>
  <xr:revisionPtr revIDLastSave="0" documentId="13_ncr:1_{31910258-722F-4B12-8C38-4BF745D0F156}" xr6:coauthVersionLast="47" xr6:coauthVersionMax="47" xr10:uidLastSave="{00000000-0000-0000-0000-000000000000}"/>
  <bookViews>
    <workbookView xWindow="3510" yWindow="600" windowWidth="25065" windowHeight="21000" tabRatio="715" xr2:uid="{00000000-000D-0000-FFFF-FFFF00000000}"/>
  </bookViews>
  <sheets>
    <sheet name="Rate Design" sheetId="2" r:id="rId1"/>
    <sheet name="Forecast Balance" sheetId="5" r:id="rId2"/>
    <sheet name="Forecasted Revenue 2" sheetId="12" state="hidden" r:id="rId3"/>
    <sheet name="Forecasted Revenue" sheetId="6" r:id="rId4"/>
    <sheet name="kWh Forecast" sheetId="3" r:id="rId5"/>
    <sheet name="CF WA Elec" sheetId="9" r:id="rId6"/>
    <sheet name="Summary Info" sheetId="10" r:id="rId7"/>
  </sheets>
  <externalReferences>
    <externalReference r:id="rId8"/>
    <externalReference r:id="rId9"/>
  </externalReferences>
  <definedNames>
    <definedName name="Actual">#REF!</definedName>
    <definedName name="calc_w_o">#REF!</definedName>
    <definedName name="Elec">#REF!</definedName>
    <definedName name="ElecFranchise">#REF!</definedName>
    <definedName name="exhibit">#REF!</definedName>
    <definedName name="Gas">#REF!</definedName>
    <definedName name="GasFranchise">#REF!</definedName>
    <definedName name="ine">#REF!</definedName>
    <definedName name="_xlnm.Print_Area" localSheetId="1">'Forecast Balance'!$A$5:$Z$35</definedName>
    <definedName name="_xlnm.Print_Area" localSheetId="3">'Forecasted Revenue'!$A$1:$AG$47</definedName>
    <definedName name="_xlnm.Print_Area" localSheetId="2">'Forecasted Revenue 2'!$A$1:$AG$47</definedName>
    <definedName name="_xlnm.Print_Area" localSheetId="4">'kWh Forecast'!$A$1:$AP$57</definedName>
    <definedName name="_xlnm.Print_Area" localSheetId="0">'Rate Design'!$A$1:$J$45</definedName>
    <definedName name="_xlnm.Print_Titles" localSheetId="3">'Forecasted Revenue'!$A:$C</definedName>
    <definedName name="_xlnm.Print_Titles" localSheetId="2">'Forecasted Revenue 2'!$A:$C</definedName>
    <definedName name="_xlnm.Print_Titles" localSheetId="4">'kWh Forecast'!$A:$A</definedName>
    <definedName name="PrintAll">#REF!</definedName>
    <definedName name="Recover">[1]Macro1!$A$85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0" l="1"/>
  <c r="C34" i="10" s="1"/>
  <c r="C32" i="10"/>
  <c r="D20" i="10"/>
  <c r="D4" i="10" l="1"/>
  <c r="D16" i="10" l="1"/>
  <c r="C36" i="10"/>
  <c r="C37" i="10" s="1"/>
  <c r="D5" i="10"/>
  <c r="D13" i="2" l="1"/>
  <c r="D21" i="2"/>
  <c r="D24" i="2" l="1"/>
  <c r="C16" i="10" l="1"/>
  <c r="C22" i="10"/>
  <c r="B12" i="5" l="1"/>
  <c r="D17" i="2" l="1"/>
  <c r="AG36" i="12"/>
  <c r="AF36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I33" i="12"/>
  <c r="I42" i="12" s="1"/>
  <c r="H33" i="12"/>
  <c r="H42" i="12" s="1"/>
  <c r="G33" i="12"/>
  <c r="G42" i="12" s="1"/>
  <c r="F33" i="12"/>
  <c r="F42" i="12" s="1"/>
  <c r="E33" i="12"/>
  <c r="E42" i="12" s="1"/>
  <c r="D33" i="12"/>
  <c r="D42" i="12" s="1"/>
  <c r="AG32" i="12"/>
  <c r="AG41" i="12" s="1"/>
  <c r="AF32" i="12"/>
  <c r="AF41" i="12" s="1"/>
  <c r="AB32" i="12"/>
  <c r="AB41" i="12" s="1"/>
  <c r="Y32" i="12"/>
  <c r="Y41" i="12" s="1"/>
  <c r="X32" i="12"/>
  <c r="X41" i="12" s="1"/>
  <c r="I32" i="12"/>
  <c r="I41" i="12" s="1"/>
  <c r="H32" i="12"/>
  <c r="H41" i="12" s="1"/>
  <c r="G32" i="12"/>
  <c r="G41" i="12" s="1"/>
  <c r="F32" i="12"/>
  <c r="F41" i="12" s="1"/>
  <c r="E32" i="12"/>
  <c r="E41" i="12" s="1"/>
  <c r="D32" i="12"/>
  <c r="D41" i="12" s="1"/>
  <c r="AF31" i="12"/>
  <c r="AF40" i="12" s="1"/>
  <c r="X31" i="12"/>
  <c r="X40" i="12" s="1"/>
  <c r="I31" i="12"/>
  <c r="I40" i="12" s="1"/>
  <c r="H31" i="12"/>
  <c r="H40" i="12" s="1"/>
  <c r="G31" i="12"/>
  <c r="G40" i="12" s="1"/>
  <c r="F31" i="12"/>
  <c r="F40" i="12" s="1"/>
  <c r="E31" i="12"/>
  <c r="E40" i="12" s="1"/>
  <c r="D31" i="12"/>
  <c r="D40" i="12" s="1"/>
  <c r="AE30" i="12"/>
  <c r="AE39" i="12" s="1"/>
  <c r="AD30" i="12"/>
  <c r="AD39" i="12" s="1"/>
  <c r="Z30" i="12"/>
  <c r="Z39" i="12" s="1"/>
  <c r="W30" i="12"/>
  <c r="W39" i="12" s="1"/>
  <c r="V30" i="12"/>
  <c r="V39" i="12" s="1"/>
  <c r="I30" i="12"/>
  <c r="I39" i="12" s="1"/>
  <c r="H30" i="12"/>
  <c r="H39" i="12" s="1"/>
  <c r="G30" i="12"/>
  <c r="G39" i="12" s="1"/>
  <c r="F30" i="12"/>
  <c r="F39" i="12" s="1"/>
  <c r="E30" i="12"/>
  <c r="E39" i="12" s="1"/>
  <c r="D30" i="12"/>
  <c r="D39" i="12" s="1"/>
  <c r="I29" i="12"/>
  <c r="I38" i="12" s="1"/>
  <c r="H29" i="12"/>
  <c r="H38" i="12" s="1"/>
  <c r="G29" i="12"/>
  <c r="G38" i="12" s="1"/>
  <c r="F29" i="12"/>
  <c r="F34" i="12" s="1"/>
  <c r="E29" i="12"/>
  <c r="E38" i="12" s="1"/>
  <c r="D29" i="12"/>
  <c r="D38" i="12" s="1"/>
  <c r="AF28" i="12"/>
  <c r="AC28" i="12"/>
  <c r="AB28" i="12"/>
  <c r="AB37" i="12" s="1"/>
  <c r="X28" i="12"/>
  <c r="X34" i="12" s="1"/>
  <c r="I28" i="12"/>
  <c r="I34" i="12" s="1"/>
  <c r="H28" i="12"/>
  <c r="H34" i="12" s="1"/>
  <c r="G28" i="12"/>
  <c r="G34" i="12" s="1"/>
  <c r="F28" i="12"/>
  <c r="F37" i="12" s="1"/>
  <c r="E28" i="12"/>
  <c r="E34" i="12" s="1"/>
  <c r="D28" i="12"/>
  <c r="D37" i="12" s="1"/>
  <c r="AG27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G16" i="12"/>
  <c r="D16" i="12"/>
  <c r="I15" i="12"/>
  <c r="I16" i="12" s="1"/>
  <c r="H15" i="12"/>
  <c r="H16" i="12" s="1"/>
  <c r="G15" i="12"/>
  <c r="F15" i="12"/>
  <c r="F16" i="12" s="1"/>
  <c r="E15" i="12"/>
  <c r="E16" i="12" s="1"/>
  <c r="D15" i="12"/>
  <c r="AH14" i="12"/>
  <c r="AG14" i="12"/>
  <c r="AG33" i="12" s="1"/>
  <c r="AG42" i="12" s="1"/>
  <c r="AF14" i="12"/>
  <c r="AF33" i="12" s="1"/>
  <c r="AF42" i="12" s="1"/>
  <c r="AE14" i="12"/>
  <c r="AE33" i="12" s="1"/>
  <c r="AE42" i="12" s="1"/>
  <c r="AD14" i="12"/>
  <c r="AD33" i="12" s="1"/>
  <c r="AD42" i="12" s="1"/>
  <c r="AC14" i="12"/>
  <c r="AC33" i="12" s="1"/>
  <c r="AC42" i="12" s="1"/>
  <c r="AB14" i="12"/>
  <c r="AB33" i="12" s="1"/>
  <c r="AB42" i="12" s="1"/>
  <c r="AA14" i="12"/>
  <c r="AA33" i="12" s="1"/>
  <c r="AA42" i="12" s="1"/>
  <c r="Z14" i="12"/>
  <c r="Z33" i="12" s="1"/>
  <c r="Z42" i="12" s="1"/>
  <c r="Y14" i="12"/>
  <c r="Y33" i="12" s="1"/>
  <c r="Y42" i="12" s="1"/>
  <c r="X14" i="12"/>
  <c r="X33" i="12" s="1"/>
  <c r="X42" i="12" s="1"/>
  <c r="W14" i="12"/>
  <c r="W33" i="12" s="1"/>
  <c r="W42" i="12" s="1"/>
  <c r="V14" i="12"/>
  <c r="V33" i="12" s="1"/>
  <c r="V42" i="12" s="1"/>
  <c r="U14" i="12"/>
  <c r="T14" i="12"/>
  <c r="S14" i="12"/>
  <c r="R14" i="12"/>
  <c r="Q14" i="12"/>
  <c r="P14" i="12"/>
  <c r="O14" i="12"/>
  <c r="N14" i="12"/>
  <c r="M14" i="12"/>
  <c r="L14" i="12"/>
  <c r="K14" i="12"/>
  <c r="J14" i="12"/>
  <c r="AG13" i="12"/>
  <c r="AF13" i="12"/>
  <c r="AE13" i="12"/>
  <c r="AE32" i="12" s="1"/>
  <c r="AE41" i="12" s="1"/>
  <c r="AD13" i="12"/>
  <c r="AD32" i="12" s="1"/>
  <c r="AD41" i="12" s="1"/>
  <c r="AC13" i="12"/>
  <c r="AC32" i="12" s="1"/>
  <c r="AC41" i="12" s="1"/>
  <c r="AB13" i="12"/>
  <c r="AA13" i="12"/>
  <c r="AA32" i="12" s="1"/>
  <c r="AA41" i="12" s="1"/>
  <c r="Z13" i="12"/>
  <c r="Z15" i="12" s="1"/>
  <c r="Y13" i="12"/>
  <c r="X13" i="12"/>
  <c r="W13" i="12"/>
  <c r="W32" i="12" s="1"/>
  <c r="W41" i="12" s="1"/>
  <c r="V13" i="12"/>
  <c r="V32" i="12" s="1"/>
  <c r="V41" i="12" s="1"/>
  <c r="U13" i="12"/>
  <c r="T13" i="12"/>
  <c r="S13" i="12"/>
  <c r="R13" i="12"/>
  <c r="R15" i="12" s="1"/>
  <c r="Q13" i="12"/>
  <c r="P13" i="12"/>
  <c r="O13" i="12"/>
  <c r="N13" i="12"/>
  <c r="M13" i="12"/>
  <c r="L13" i="12"/>
  <c r="K13" i="12"/>
  <c r="J13" i="12"/>
  <c r="J15" i="12" s="1"/>
  <c r="J16" i="12" s="1"/>
  <c r="AG12" i="12"/>
  <c r="AG31" i="12" s="1"/>
  <c r="AG40" i="12" s="1"/>
  <c r="AF12" i="12"/>
  <c r="AE12" i="12"/>
  <c r="AE31" i="12" s="1"/>
  <c r="AE40" i="12" s="1"/>
  <c r="AD12" i="12"/>
  <c r="AD31" i="12" s="1"/>
  <c r="AD40" i="12" s="1"/>
  <c r="AC12" i="12"/>
  <c r="AC31" i="12" s="1"/>
  <c r="AC40" i="12" s="1"/>
  <c r="AB12" i="12"/>
  <c r="AB31" i="12" s="1"/>
  <c r="AB40" i="12" s="1"/>
  <c r="AA12" i="12"/>
  <c r="AA31" i="12" s="1"/>
  <c r="AA40" i="12" s="1"/>
  <c r="Z12" i="12"/>
  <c r="Z31" i="12" s="1"/>
  <c r="Z40" i="12" s="1"/>
  <c r="Y12" i="12"/>
  <c r="Y31" i="12" s="1"/>
  <c r="Y40" i="12" s="1"/>
  <c r="X12" i="12"/>
  <c r="W12" i="12"/>
  <c r="W31" i="12" s="1"/>
  <c r="W40" i="12" s="1"/>
  <c r="V12" i="12"/>
  <c r="V31" i="12" s="1"/>
  <c r="V40" i="12" s="1"/>
  <c r="U12" i="12"/>
  <c r="T12" i="12"/>
  <c r="S12" i="12"/>
  <c r="R12" i="12"/>
  <c r="Q12" i="12"/>
  <c r="P12" i="12"/>
  <c r="O12" i="12"/>
  <c r="N12" i="12"/>
  <c r="M12" i="12"/>
  <c r="L12" i="12"/>
  <c r="K12" i="12"/>
  <c r="J12" i="12"/>
  <c r="AH12" i="12" s="1"/>
  <c r="AG11" i="12"/>
  <c r="AG30" i="12" s="1"/>
  <c r="AG39" i="12" s="1"/>
  <c r="AF11" i="12"/>
  <c r="AF30" i="12" s="1"/>
  <c r="AF39" i="12" s="1"/>
  <c r="AE11" i="12"/>
  <c r="AD11" i="12"/>
  <c r="AC11" i="12"/>
  <c r="AC30" i="12" s="1"/>
  <c r="AC39" i="12" s="1"/>
  <c r="AB11" i="12"/>
  <c r="AB30" i="12" s="1"/>
  <c r="AB39" i="12" s="1"/>
  <c r="AA11" i="12"/>
  <c r="AA30" i="12" s="1"/>
  <c r="AA39" i="12" s="1"/>
  <c r="Z11" i="12"/>
  <c r="Y11" i="12"/>
  <c r="Y30" i="12" s="1"/>
  <c r="Y39" i="12" s="1"/>
  <c r="X11" i="12"/>
  <c r="X30" i="12" s="1"/>
  <c r="X39" i="12" s="1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AH11" i="12" s="1"/>
  <c r="AG10" i="12"/>
  <c r="AG29" i="12" s="1"/>
  <c r="AG38" i="12" s="1"/>
  <c r="AF10" i="12"/>
  <c r="AF29" i="12" s="1"/>
  <c r="AF38" i="12" s="1"/>
  <c r="AE10" i="12"/>
  <c r="AE29" i="12" s="1"/>
  <c r="AE38" i="12" s="1"/>
  <c r="AD10" i="12"/>
  <c r="AD29" i="12" s="1"/>
  <c r="AD38" i="12" s="1"/>
  <c r="AC10" i="12"/>
  <c r="AC29" i="12" s="1"/>
  <c r="AC38" i="12" s="1"/>
  <c r="AB10" i="12"/>
  <c r="AB29" i="12" s="1"/>
  <c r="AB38" i="12" s="1"/>
  <c r="AA10" i="12"/>
  <c r="AA29" i="12" s="1"/>
  <c r="AA38" i="12" s="1"/>
  <c r="Z10" i="12"/>
  <c r="Z29" i="12" s="1"/>
  <c r="Z38" i="12" s="1"/>
  <c r="Y10" i="12"/>
  <c r="Y29" i="12" s="1"/>
  <c r="Y38" i="12" s="1"/>
  <c r="X10" i="12"/>
  <c r="X29" i="12" s="1"/>
  <c r="X38" i="12" s="1"/>
  <c r="W10" i="12"/>
  <c r="W29" i="12" s="1"/>
  <c r="W38" i="12" s="1"/>
  <c r="V10" i="12"/>
  <c r="V29" i="12" s="1"/>
  <c r="V38" i="12" s="1"/>
  <c r="U10" i="12"/>
  <c r="T10" i="12"/>
  <c r="S10" i="12"/>
  <c r="R10" i="12"/>
  <c r="Q10" i="12"/>
  <c r="P10" i="12"/>
  <c r="O10" i="12"/>
  <c r="N10" i="12"/>
  <c r="M10" i="12"/>
  <c r="L10" i="12"/>
  <c r="K10" i="12"/>
  <c r="J10" i="12"/>
  <c r="AG9" i="12"/>
  <c r="AG15" i="12" s="1"/>
  <c r="AF9" i="12"/>
  <c r="AF15" i="12" s="1"/>
  <c r="AE9" i="12"/>
  <c r="AE15" i="12" s="1"/>
  <c r="AD9" i="12"/>
  <c r="AD15" i="12" s="1"/>
  <c r="AC9" i="12"/>
  <c r="AC15" i="12" s="1"/>
  <c r="AB9" i="12"/>
  <c r="AB15" i="12" s="1"/>
  <c r="AA9" i="12"/>
  <c r="AA28" i="12" s="1"/>
  <c r="Z9" i="12"/>
  <c r="Z28" i="12" s="1"/>
  <c r="Y9" i="12"/>
  <c r="Y15" i="12" s="1"/>
  <c r="X9" i="12"/>
  <c r="X15" i="12" s="1"/>
  <c r="W9" i="12"/>
  <c r="W15" i="12" s="1"/>
  <c r="V9" i="12"/>
  <c r="V15" i="12" s="1"/>
  <c r="U9" i="12"/>
  <c r="U15" i="12" s="1"/>
  <c r="T9" i="12"/>
  <c r="T15" i="12" s="1"/>
  <c r="S9" i="12"/>
  <c r="R9" i="12"/>
  <c r="Q9" i="12"/>
  <c r="Q15" i="12" s="1"/>
  <c r="P9" i="12"/>
  <c r="P15" i="12" s="1"/>
  <c r="O9" i="12"/>
  <c r="O15" i="12" s="1"/>
  <c r="N9" i="12"/>
  <c r="N15" i="12" s="1"/>
  <c r="M9" i="12"/>
  <c r="M15" i="12" s="1"/>
  <c r="L9" i="12"/>
  <c r="L15" i="12" s="1"/>
  <c r="L16" i="12" s="1"/>
  <c r="K9" i="12"/>
  <c r="J9" i="12"/>
  <c r="AH9" i="12" s="1"/>
  <c r="E17" i="2"/>
  <c r="F17" i="2"/>
  <c r="H17" i="2"/>
  <c r="I17" i="2"/>
  <c r="G16" i="2"/>
  <c r="G17" i="2" s="1"/>
  <c r="C8" i="5"/>
  <c r="D8" i="5" l="1"/>
  <c r="C16" i="2"/>
  <c r="AF34" i="12"/>
  <c r="AA37" i="12"/>
  <c r="AA43" i="12" s="1"/>
  <c r="AA34" i="12"/>
  <c r="AC34" i="12"/>
  <c r="D43" i="12"/>
  <c r="Z37" i="12"/>
  <c r="Z43" i="12" s="1"/>
  <c r="AB43" i="12"/>
  <c r="AA15" i="12"/>
  <c r="E37" i="12"/>
  <c r="E43" i="12" s="1"/>
  <c r="AC37" i="12"/>
  <c r="AC43" i="12" s="1"/>
  <c r="V28" i="12"/>
  <c r="AD28" i="12"/>
  <c r="Z32" i="12"/>
  <c r="Z41" i="12" s="1"/>
  <c r="D34" i="12"/>
  <c r="AB34" i="12"/>
  <c r="S15" i="12"/>
  <c r="F38" i="12"/>
  <c r="W28" i="12"/>
  <c r="AE28" i="12"/>
  <c r="G37" i="12"/>
  <c r="G43" i="12" s="1"/>
  <c r="K15" i="12"/>
  <c r="K16" i="12" s="1"/>
  <c r="H37" i="12"/>
  <c r="H43" i="12" s="1"/>
  <c r="X37" i="12"/>
  <c r="X43" i="12" s="1"/>
  <c r="AF37" i="12"/>
  <c r="AF43" i="12" s="1"/>
  <c r="AH10" i="12"/>
  <c r="AH15" i="12" s="1"/>
  <c r="Y28" i="12"/>
  <c r="AG28" i="12"/>
  <c r="I37" i="12"/>
  <c r="I43" i="12" s="1"/>
  <c r="AH13" i="12"/>
  <c r="E8" i="5" l="1"/>
  <c r="Z34" i="12"/>
  <c r="AG34" i="12"/>
  <c r="AG37" i="12"/>
  <c r="AG43" i="12" s="1"/>
  <c r="Y34" i="12"/>
  <c r="Y37" i="12"/>
  <c r="Y43" i="12" s="1"/>
  <c r="AD34" i="12"/>
  <c r="AD37" i="12"/>
  <c r="AD43" i="12" s="1"/>
  <c r="V34" i="12"/>
  <c r="V37" i="12"/>
  <c r="V43" i="12" s="1"/>
  <c r="F43" i="12"/>
  <c r="AE34" i="12"/>
  <c r="AE37" i="12"/>
  <c r="AE43" i="12" s="1"/>
  <c r="W34" i="12"/>
  <c r="W37" i="12"/>
  <c r="W43" i="12" s="1"/>
  <c r="F8" i="5" l="1"/>
  <c r="C18" i="5"/>
  <c r="Q20" i="5"/>
  <c r="P7" i="3"/>
  <c r="Q7" i="3"/>
  <c r="R7" i="3"/>
  <c r="S7" i="3"/>
  <c r="T7" i="3"/>
  <c r="U7" i="3"/>
  <c r="V7" i="3"/>
  <c r="W7" i="3"/>
  <c r="X7" i="3"/>
  <c r="Y7" i="3"/>
  <c r="Z7" i="3"/>
  <c r="P8" i="3"/>
  <c r="Q8" i="3"/>
  <c r="R8" i="3"/>
  <c r="S8" i="3"/>
  <c r="T8" i="3"/>
  <c r="U8" i="3"/>
  <c r="V8" i="3"/>
  <c r="W8" i="3"/>
  <c r="X8" i="3"/>
  <c r="Y8" i="3"/>
  <c r="Z8" i="3"/>
  <c r="P10" i="3"/>
  <c r="Q10" i="3"/>
  <c r="R10" i="3"/>
  <c r="S10" i="3"/>
  <c r="T10" i="3"/>
  <c r="U10" i="3"/>
  <c r="V10" i="3"/>
  <c r="W10" i="3"/>
  <c r="X10" i="3"/>
  <c r="Y10" i="3"/>
  <c r="Z10" i="3"/>
  <c r="P12" i="3"/>
  <c r="Q12" i="3"/>
  <c r="R12" i="3"/>
  <c r="S12" i="3"/>
  <c r="T12" i="3"/>
  <c r="U12" i="3"/>
  <c r="V12" i="3"/>
  <c r="W12" i="3"/>
  <c r="X12" i="3"/>
  <c r="Y12" i="3"/>
  <c r="Z12" i="3"/>
  <c r="P13" i="3"/>
  <c r="Q13" i="3"/>
  <c r="R13" i="3"/>
  <c r="S13" i="3"/>
  <c r="T13" i="3"/>
  <c r="U13" i="3"/>
  <c r="V13" i="3"/>
  <c r="W13" i="3"/>
  <c r="X13" i="3"/>
  <c r="Y13" i="3"/>
  <c r="Z13" i="3"/>
  <c r="P15" i="3"/>
  <c r="Q15" i="3"/>
  <c r="R15" i="3"/>
  <c r="S15" i="3"/>
  <c r="T15" i="3"/>
  <c r="U15" i="3"/>
  <c r="V15" i="3"/>
  <c r="W15" i="3"/>
  <c r="X15" i="3"/>
  <c r="Y15" i="3"/>
  <c r="Z15" i="3"/>
  <c r="O12" i="3"/>
  <c r="O15" i="3"/>
  <c r="O13" i="3"/>
  <c r="O10" i="3"/>
  <c r="O8" i="3"/>
  <c r="O7" i="3"/>
  <c r="G8" i="5" l="1"/>
  <c r="H8" i="5" l="1"/>
  <c r="G10" i="2" l="1"/>
  <c r="Q10" i="5" l="1"/>
  <c r="C21" i="10" l="1"/>
  <c r="C23" i="10" s="1"/>
  <c r="C17" i="10" s="1"/>
  <c r="E15" i="6" l="1"/>
  <c r="H15" i="6"/>
  <c r="I15" i="6"/>
  <c r="F15" i="6"/>
  <c r="G15" i="6"/>
  <c r="D27" i="6"/>
  <c r="E27" i="6"/>
  <c r="F27" i="6"/>
  <c r="G27" i="6"/>
  <c r="H27" i="6"/>
  <c r="I27" i="6"/>
  <c r="D36" i="6"/>
  <c r="E36" i="6"/>
  <c r="F36" i="6"/>
  <c r="G36" i="6"/>
  <c r="H36" i="6"/>
  <c r="I36" i="6"/>
  <c r="D15" i="6" l="1"/>
  <c r="E3" i="10" l="1"/>
  <c r="D11" i="2" l="1"/>
  <c r="D31" i="2" s="1"/>
  <c r="D32" i="2" s="1"/>
  <c r="B25" i="5" l="1"/>
  <c r="D25" i="5" s="1"/>
  <c r="C9" i="5" l="1"/>
  <c r="D9" i="5"/>
  <c r="E9" i="5"/>
  <c r="C19" i="5"/>
  <c r="C22" i="5" s="1"/>
  <c r="F9" i="5"/>
  <c r="G9" i="5"/>
  <c r="H9" i="5"/>
  <c r="AP7" i="3"/>
  <c r="AO20" i="3"/>
  <c r="AO19" i="3"/>
  <c r="AP35" i="3"/>
  <c r="AP36" i="3"/>
  <c r="AP37" i="3"/>
  <c r="AP38" i="3"/>
  <c r="AP39" i="3"/>
  <c r="AP40" i="3"/>
  <c r="AP41" i="3"/>
  <c r="AP42" i="3"/>
  <c r="AP34" i="3"/>
  <c r="AP45" i="3" s="1"/>
  <c r="AP8" i="3"/>
  <c r="AP9" i="3"/>
  <c r="AP10" i="3"/>
  <c r="AP11" i="3"/>
  <c r="AP12" i="3"/>
  <c r="AP13" i="3"/>
  <c r="AP14" i="3"/>
  <c r="AP15" i="3"/>
  <c r="D19" i="5" l="1"/>
  <c r="D22" i="5" s="1"/>
  <c r="D18" i="5"/>
  <c r="C12" i="5"/>
  <c r="D12" i="5" s="1"/>
  <c r="D28" i="6"/>
  <c r="E28" i="6"/>
  <c r="F28" i="6"/>
  <c r="G28" i="6"/>
  <c r="H28" i="6"/>
  <c r="I28" i="6"/>
  <c r="AP48" i="3"/>
  <c r="AP49" i="3"/>
  <c r="AP50" i="3"/>
  <c r="E18" i="5" l="1"/>
  <c r="E19" i="5"/>
  <c r="E22" i="5" s="1"/>
  <c r="AP46" i="3"/>
  <c r="AP47" i="3"/>
  <c r="AP43" i="3"/>
  <c r="AP17" i="3"/>
  <c r="M36" i="6"/>
  <c r="N36" i="6"/>
  <c r="O36" i="6"/>
  <c r="P36" i="6"/>
  <c r="Q36" i="6"/>
  <c r="R36" i="6"/>
  <c r="S36" i="6"/>
  <c r="T36" i="6"/>
  <c r="U36" i="6"/>
  <c r="V36" i="6"/>
  <c r="W36" i="6"/>
  <c r="X36" i="6"/>
  <c r="Y36" i="6"/>
  <c r="Z36" i="6"/>
  <c r="AA36" i="6"/>
  <c r="AB36" i="6"/>
  <c r="AC36" i="6"/>
  <c r="AD36" i="6"/>
  <c r="AE36" i="6"/>
  <c r="AF36" i="6"/>
  <c r="AG36" i="6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R19" i="3"/>
  <c r="M9" i="6" s="1"/>
  <c r="S19" i="3"/>
  <c r="N9" i="6" s="1"/>
  <c r="T19" i="3"/>
  <c r="O9" i="6" s="1"/>
  <c r="U19" i="3"/>
  <c r="P9" i="6" s="1"/>
  <c r="V19" i="3"/>
  <c r="Q9" i="6" s="1"/>
  <c r="W19" i="3"/>
  <c r="R9" i="6" s="1"/>
  <c r="X19" i="3"/>
  <c r="S9" i="6" s="1"/>
  <c r="Y19" i="3"/>
  <c r="T9" i="6" s="1"/>
  <c r="Z19" i="3"/>
  <c r="U9" i="6" s="1"/>
  <c r="AA19" i="3"/>
  <c r="V9" i="6" s="1"/>
  <c r="AB19" i="3"/>
  <c r="W9" i="6" s="1"/>
  <c r="AC19" i="3"/>
  <c r="X9" i="6" s="1"/>
  <c r="AD19" i="3"/>
  <c r="Y9" i="6" s="1"/>
  <c r="AE19" i="3"/>
  <c r="Z9" i="6" s="1"/>
  <c r="AF19" i="3"/>
  <c r="AA9" i="6" s="1"/>
  <c r="AG19" i="3"/>
  <c r="AB9" i="6" s="1"/>
  <c r="AH19" i="3"/>
  <c r="AC9" i="6" s="1"/>
  <c r="AI19" i="3"/>
  <c r="AD9" i="6" s="1"/>
  <c r="AJ19" i="3"/>
  <c r="AE9" i="6" s="1"/>
  <c r="AK19" i="3"/>
  <c r="AF9" i="6" s="1"/>
  <c r="AL19" i="3"/>
  <c r="AG9" i="6" s="1"/>
  <c r="AM19" i="3"/>
  <c r="AN19" i="3"/>
  <c r="R20" i="3"/>
  <c r="M10" i="6" s="1"/>
  <c r="S20" i="3"/>
  <c r="N10" i="6" s="1"/>
  <c r="T20" i="3"/>
  <c r="O10" i="6" s="1"/>
  <c r="U20" i="3"/>
  <c r="P10" i="6" s="1"/>
  <c r="V20" i="3"/>
  <c r="Q10" i="6" s="1"/>
  <c r="W20" i="3"/>
  <c r="R10" i="6" s="1"/>
  <c r="X20" i="3"/>
  <c r="S10" i="6" s="1"/>
  <c r="Y20" i="3"/>
  <c r="T10" i="6" s="1"/>
  <c r="Z20" i="3"/>
  <c r="U10" i="6" s="1"/>
  <c r="AA20" i="3"/>
  <c r="V10" i="6" s="1"/>
  <c r="AB20" i="3"/>
  <c r="W10" i="6" s="1"/>
  <c r="AC20" i="3"/>
  <c r="X10" i="6" s="1"/>
  <c r="AD20" i="3"/>
  <c r="Y10" i="6" s="1"/>
  <c r="AE20" i="3"/>
  <c r="Z10" i="6" s="1"/>
  <c r="AF20" i="3"/>
  <c r="AA10" i="6" s="1"/>
  <c r="AG20" i="3"/>
  <c r="AB10" i="6" s="1"/>
  <c r="AH20" i="3"/>
  <c r="AC10" i="6" s="1"/>
  <c r="AI20" i="3"/>
  <c r="AD10" i="6" s="1"/>
  <c r="AJ20" i="3"/>
  <c r="AE10" i="6" s="1"/>
  <c r="AK20" i="3"/>
  <c r="AF10" i="6" s="1"/>
  <c r="AL20" i="3"/>
  <c r="AG10" i="6" s="1"/>
  <c r="AM20" i="3"/>
  <c r="AN20" i="3"/>
  <c r="R21" i="3"/>
  <c r="M11" i="6" s="1"/>
  <c r="S21" i="3"/>
  <c r="N11" i="6" s="1"/>
  <c r="T21" i="3"/>
  <c r="O11" i="6" s="1"/>
  <c r="U21" i="3"/>
  <c r="P11" i="6" s="1"/>
  <c r="V21" i="3"/>
  <c r="Q11" i="6" s="1"/>
  <c r="W21" i="3"/>
  <c r="R11" i="6" s="1"/>
  <c r="X21" i="3"/>
  <c r="S11" i="6" s="1"/>
  <c r="Y21" i="3"/>
  <c r="T11" i="6" s="1"/>
  <c r="Z21" i="3"/>
  <c r="U11" i="6" s="1"/>
  <c r="AA21" i="3"/>
  <c r="V11" i="6" s="1"/>
  <c r="AB21" i="3"/>
  <c r="W11" i="6" s="1"/>
  <c r="AC21" i="3"/>
  <c r="X11" i="6" s="1"/>
  <c r="AD21" i="3"/>
  <c r="Y11" i="6" s="1"/>
  <c r="AE21" i="3"/>
  <c r="Z11" i="6" s="1"/>
  <c r="AF21" i="3"/>
  <c r="AA11" i="6" s="1"/>
  <c r="AG21" i="3"/>
  <c r="AB11" i="6" s="1"/>
  <c r="AH21" i="3"/>
  <c r="AC11" i="6" s="1"/>
  <c r="AI21" i="3"/>
  <c r="AD11" i="6" s="1"/>
  <c r="AJ21" i="3"/>
  <c r="AE11" i="6" s="1"/>
  <c r="AK21" i="3"/>
  <c r="AF11" i="6" s="1"/>
  <c r="AL21" i="3"/>
  <c r="AG11" i="6" s="1"/>
  <c r="AM21" i="3"/>
  <c r="AN21" i="3"/>
  <c r="AO21" i="3"/>
  <c r="R22" i="3"/>
  <c r="M12" i="6" s="1"/>
  <c r="S22" i="3"/>
  <c r="N12" i="6" s="1"/>
  <c r="T22" i="3"/>
  <c r="O12" i="6" s="1"/>
  <c r="U22" i="3"/>
  <c r="P12" i="6" s="1"/>
  <c r="V22" i="3"/>
  <c r="Q12" i="6" s="1"/>
  <c r="W22" i="3"/>
  <c r="R12" i="6" s="1"/>
  <c r="X22" i="3"/>
  <c r="S12" i="6" s="1"/>
  <c r="Y22" i="3"/>
  <c r="T12" i="6" s="1"/>
  <c r="Z22" i="3"/>
  <c r="U12" i="6" s="1"/>
  <c r="AA22" i="3"/>
  <c r="V12" i="6" s="1"/>
  <c r="AB22" i="3"/>
  <c r="W12" i="6" s="1"/>
  <c r="AC22" i="3"/>
  <c r="X12" i="6" s="1"/>
  <c r="AD22" i="3"/>
  <c r="Y12" i="6" s="1"/>
  <c r="AE22" i="3"/>
  <c r="Z12" i="6" s="1"/>
  <c r="AF22" i="3"/>
  <c r="AA12" i="6" s="1"/>
  <c r="AG22" i="3"/>
  <c r="AB12" i="6" s="1"/>
  <c r="AH22" i="3"/>
  <c r="AC12" i="6" s="1"/>
  <c r="AI22" i="3"/>
  <c r="AD12" i="6" s="1"/>
  <c r="AJ22" i="3"/>
  <c r="AE12" i="6" s="1"/>
  <c r="AK22" i="3"/>
  <c r="AF12" i="6" s="1"/>
  <c r="AL22" i="3"/>
  <c r="AG12" i="6" s="1"/>
  <c r="AM22" i="3"/>
  <c r="AN22" i="3"/>
  <c r="AO22" i="3"/>
  <c r="R23" i="3"/>
  <c r="M13" i="6" s="1"/>
  <c r="S23" i="3"/>
  <c r="N13" i="6" s="1"/>
  <c r="T23" i="3"/>
  <c r="O13" i="6" s="1"/>
  <c r="U23" i="3"/>
  <c r="P13" i="6" s="1"/>
  <c r="V23" i="3"/>
  <c r="Q13" i="6" s="1"/>
  <c r="W23" i="3"/>
  <c r="R13" i="6" s="1"/>
  <c r="X23" i="3"/>
  <c r="S13" i="6" s="1"/>
  <c r="Y23" i="3"/>
  <c r="T13" i="6" s="1"/>
  <c r="Z23" i="3"/>
  <c r="U13" i="6" s="1"/>
  <c r="AA23" i="3"/>
  <c r="V13" i="6" s="1"/>
  <c r="AB23" i="3"/>
  <c r="W13" i="6" s="1"/>
  <c r="AC23" i="3"/>
  <c r="X13" i="6" s="1"/>
  <c r="AD23" i="3"/>
  <c r="Y13" i="6" s="1"/>
  <c r="AE23" i="3"/>
  <c r="Z13" i="6" s="1"/>
  <c r="AF23" i="3"/>
  <c r="AA13" i="6" s="1"/>
  <c r="AG23" i="3"/>
  <c r="AB13" i="6" s="1"/>
  <c r="AH23" i="3"/>
  <c r="AC13" i="6" s="1"/>
  <c r="AI23" i="3"/>
  <c r="AD13" i="6" s="1"/>
  <c r="AJ23" i="3"/>
  <c r="AE13" i="6" s="1"/>
  <c r="AK23" i="3"/>
  <c r="AF13" i="6" s="1"/>
  <c r="AL23" i="3"/>
  <c r="AG13" i="6" s="1"/>
  <c r="AM23" i="3"/>
  <c r="AN23" i="3"/>
  <c r="AO23" i="3"/>
  <c r="R24" i="3"/>
  <c r="M14" i="6" s="1"/>
  <c r="S24" i="3"/>
  <c r="N14" i="6" s="1"/>
  <c r="T24" i="3"/>
  <c r="O14" i="6" s="1"/>
  <c r="U24" i="3"/>
  <c r="P14" i="6" s="1"/>
  <c r="V24" i="3"/>
  <c r="Q14" i="6" s="1"/>
  <c r="W24" i="3"/>
  <c r="R14" i="6" s="1"/>
  <c r="X24" i="3"/>
  <c r="S14" i="6" s="1"/>
  <c r="Y24" i="3"/>
  <c r="T14" i="6" s="1"/>
  <c r="Z24" i="3"/>
  <c r="U14" i="6" s="1"/>
  <c r="AA24" i="3"/>
  <c r="V14" i="6" s="1"/>
  <c r="AB24" i="3"/>
  <c r="W14" i="6" s="1"/>
  <c r="AC24" i="3"/>
  <c r="X14" i="6" s="1"/>
  <c r="AD24" i="3"/>
  <c r="Y14" i="6" s="1"/>
  <c r="AE24" i="3"/>
  <c r="Z14" i="6" s="1"/>
  <c r="AF24" i="3"/>
  <c r="AA14" i="6" s="1"/>
  <c r="AG24" i="3"/>
  <c r="AB14" i="6" s="1"/>
  <c r="AH24" i="3"/>
  <c r="AC14" i="6" s="1"/>
  <c r="AI24" i="3"/>
  <c r="AD14" i="6" s="1"/>
  <c r="AJ24" i="3"/>
  <c r="AE14" i="6" s="1"/>
  <c r="AK24" i="3"/>
  <c r="AF14" i="6" s="1"/>
  <c r="AL24" i="3"/>
  <c r="AG14" i="6" s="1"/>
  <c r="AM24" i="3"/>
  <c r="AN24" i="3"/>
  <c r="AO24" i="3"/>
  <c r="AO25" i="3" s="1"/>
  <c r="R25" i="3"/>
  <c r="V25" i="3"/>
  <c r="AC25" i="3"/>
  <c r="AJ25" i="3"/>
  <c r="S27" i="3"/>
  <c r="T27" i="3"/>
  <c r="W27" i="3"/>
  <c r="Y2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E33" i="3"/>
  <c r="AF33" i="3"/>
  <c r="AG33" i="3"/>
  <c r="AH33" i="3"/>
  <c r="AI33" i="3"/>
  <c r="AJ33" i="3"/>
  <c r="AK33" i="3"/>
  <c r="AL33" i="3"/>
  <c r="AM33" i="3"/>
  <c r="AN33" i="3"/>
  <c r="AO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F18" i="5" l="1"/>
  <c r="F19" i="5"/>
  <c r="F22" i="5" s="1"/>
  <c r="E12" i="5"/>
  <c r="AO27" i="3"/>
  <c r="AM25" i="3"/>
  <c r="AN25" i="3"/>
  <c r="AK27" i="3"/>
  <c r="AB25" i="3"/>
  <c r="AE27" i="3"/>
  <c r="V27" i="3"/>
  <c r="AL25" i="3"/>
  <c r="AE25" i="3"/>
  <c r="Z25" i="3"/>
  <c r="T25" i="3"/>
  <c r="AH25" i="3"/>
  <c r="U25" i="3"/>
  <c r="AC27" i="3"/>
  <c r="U27" i="3"/>
  <c r="AK25" i="3"/>
  <c r="AD25" i="3"/>
  <c r="W25" i="3"/>
  <c r="S25" i="3"/>
  <c r="X27" i="3"/>
  <c r="Y25" i="3"/>
  <c r="X25" i="3"/>
  <c r="Z27" i="3"/>
  <c r="R27" i="3"/>
  <c r="AJ27" i="3"/>
  <c r="AB27" i="3"/>
  <c r="AG25" i="3"/>
  <c r="AI27" i="3"/>
  <c r="AA27" i="3"/>
  <c r="AF25" i="3"/>
  <c r="AH27" i="3"/>
  <c r="AG27" i="3"/>
  <c r="AF27" i="3"/>
  <c r="AL27" i="3"/>
  <c r="AD27" i="3"/>
  <c r="AI25" i="3"/>
  <c r="AA25" i="3"/>
  <c r="AN27" i="3"/>
  <c r="AM27" i="3"/>
  <c r="Y15" i="6"/>
  <c r="Q15" i="6"/>
  <c r="AG15" i="6"/>
  <c r="AD15" i="6"/>
  <c r="Z15" i="6"/>
  <c r="V15" i="6"/>
  <c r="R15" i="6"/>
  <c r="N15" i="6"/>
  <c r="AC15" i="6"/>
  <c r="U15" i="6"/>
  <c r="M15" i="6"/>
  <c r="AE15" i="6"/>
  <c r="AA15" i="6"/>
  <c r="W15" i="6"/>
  <c r="S15" i="6"/>
  <c r="O15" i="6"/>
  <c r="AP53" i="3"/>
  <c r="AP51" i="3"/>
  <c r="AF15" i="6"/>
  <c r="AB15" i="6"/>
  <c r="X15" i="6"/>
  <c r="T15" i="6"/>
  <c r="P15" i="6"/>
  <c r="G18" i="5" l="1"/>
  <c r="G19" i="5"/>
  <c r="G22" i="5" s="1"/>
  <c r="F12" i="5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AF27" i="6"/>
  <c r="AG27" i="6"/>
  <c r="H18" i="5" l="1"/>
  <c r="H19" i="5"/>
  <c r="H22" i="5" s="1"/>
  <c r="G12" i="5"/>
  <c r="B45" i="3"/>
  <c r="B46" i="3"/>
  <c r="B47" i="3"/>
  <c r="B48" i="3"/>
  <c r="B49" i="3"/>
  <c r="B50" i="3"/>
  <c r="H12" i="5" l="1"/>
  <c r="B51" i="3"/>
  <c r="B53" i="3"/>
  <c r="O43" i="3" l="1"/>
  <c r="K43" i="3"/>
  <c r="G43" i="3"/>
  <c r="F43" i="3"/>
  <c r="C43" i="3"/>
  <c r="D43" i="3"/>
  <c r="E43" i="3"/>
  <c r="H43" i="3"/>
  <c r="I43" i="3"/>
  <c r="J43" i="3"/>
  <c r="L43" i="3"/>
  <c r="M43" i="3"/>
  <c r="N43" i="3"/>
  <c r="P43" i="3"/>
  <c r="Q43" i="3"/>
  <c r="B43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B17" i="3"/>
  <c r="A1" i="9" l="1"/>
  <c r="E17" i="9" l="1"/>
  <c r="E19" i="9" s="1"/>
  <c r="B34" i="5" l="1"/>
  <c r="E21" i="9"/>
  <c r="E23" i="9"/>
  <c r="C36" i="6"/>
  <c r="G37" i="6" l="1"/>
  <c r="F37" i="6"/>
  <c r="D37" i="6"/>
  <c r="E37" i="6"/>
  <c r="H37" i="6"/>
  <c r="I37" i="6"/>
  <c r="B19" i="3"/>
  <c r="Q50" i="3" l="1"/>
  <c r="P50" i="3"/>
  <c r="O50" i="3"/>
  <c r="N50" i="3"/>
  <c r="M50" i="3"/>
  <c r="L50" i="3"/>
  <c r="K50" i="3"/>
  <c r="J50" i="3"/>
  <c r="I50" i="3"/>
  <c r="H50" i="3"/>
  <c r="G50" i="3"/>
  <c r="F50" i="3"/>
  <c r="Q49" i="3"/>
  <c r="P49" i="3"/>
  <c r="O49" i="3"/>
  <c r="N49" i="3"/>
  <c r="M49" i="3"/>
  <c r="L49" i="3"/>
  <c r="K49" i="3"/>
  <c r="J49" i="3"/>
  <c r="I49" i="3"/>
  <c r="H49" i="3"/>
  <c r="G49" i="3"/>
  <c r="F49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B33" i="3"/>
  <c r="Q24" i="3"/>
  <c r="L14" i="6" s="1"/>
  <c r="P24" i="3"/>
  <c r="K14" i="6" s="1"/>
  <c r="O24" i="3"/>
  <c r="J14" i="6" s="1"/>
  <c r="N24" i="3"/>
  <c r="M24" i="3"/>
  <c r="L24" i="3"/>
  <c r="K24" i="3"/>
  <c r="J24" i="3"/>
  <c r="I24" i="3"/>
  <c r="H24" i="3"/>
  <c r="G24" i="3"/>
  <c r="F24" i="3"/>
  <c r="Q23" i="3"/>
  <c r="L13" i="6" s="1"/>
  <c r="P23" i="3"/>
  <c r="K13" i="6" s="1"/>
  <c r="O23" i="3"/>
  <c r="J13" i="6" s="1"/>
  <c r="N23" i="3"/>
  <c r="M23" i="3"/>
  <c r="L23" i="3"/>
  <c r="K23" i="3"/>
  <c r="J23" i="3"/>
  <c r="I23" i="3"/>
  <c r="H23" i="3"/>
  <c r="G23" i="3"/>
  <c r="F23" i="3"/>
  <c r="Q22" i="3"/>
  <c r="L12" i="6" s="1"/>
  <c r="P22" i="3"/>
  <c r="K12" i="6" s="1"/>
  <c r="O22" i="3"/>
  <c r="J12" i="6" s="1"/>
  <c r="N22" i="3"/>
  <c r="M22" i="3"/>
  <c r="L22" i="3"/>
  <c r="K22" i="3"/>
  <c r="J22" i="3"/>
  <c r="I22" i="3"/>
  <c r="H22" i="3"/>
  <c r="G22" i="3"/>
  <c r="F22" i="3"/>
  <c r="Q21" i="3"/>
  <c r="L11" i="6" s="1"/>
  <c r="P21" i="3"/>
  <c r="K11" i="6" s="1"/>
  <c r="O21" i="3"/>
  <c r="J11" i="6" s="1"/>
  <c r="N21" i="3"/>
  <c r="M21" i="3"/>
  <c r="L21" i="3"/>
  <c r="K21" i="3"/>
  <c r="J21" i="3"/>
  <c r="I21" i="3"/>
  <c r="H21" i="3"/>
  <c r="G21" i="3"/>
  <c r="F21" i="3"/>
  <c r="Q20" i="3"/>
  <c r="L10" i="6" s="1"/>
  <c r="P20" i="3"/>
  <c r="K10" i="6" s="1"/>
  <c r="O20" i="3"/>
  <c r="J10" i="6" s="1"/>
  <c r="N20" i="3"/>
  <c r="M20" i="3"/>
  <c r="L20" i="3"/>
  <c r="K20" i="3"/>
  <c r="J20" i="3"/>
  <c r="I20" i="3"/>
  <c r="H20" i="3"/>
  <c r="G20" i="3"/>
  <c r="F20" i="3"/>
  <c r="Q19" i="3"/>
  <c r="L9" i="6" s="1"/>
  <c r="P19" i="3"/>
  <c r="O19" i="3"/>
  <c r="J9" i="6" s="1"/>
  <c r="N19" i="3"/>
  <c r="M19" i="3"/>
  <c r="L19" i="3"/>
  <c r="K19" i="3"/>
  <c r="J19" i="3"/>
  <c r="I19" i="3"/>
  <c r="H19" i="3"/>
  <c r="G19" i="3"/>
  <c r="F19" i="3"/>
  <c r="L36" i="6"/>
  <c r="K36" i="6"/>
  <c r="J36" i="6"/>
  <c r="L27" i="6"/>
  <c r="K27" i="6"/>
  <c r="J27" i="6"/>
  <c r="C29" i="2"/>
  <c r="A10" i="2"/>
  <c r="A11" i="2" s="1"/>
  <c r="A12" i="2" s="1"/>
  <c r="A13" i="2" s="1"/>
  <c r="AP19" i="3" l="1"/>
  <c r="AP23" i="3"/>
  <c r="AP21" i="3"/>
  <c r="N27" i="3"/>
  <c r="D12" i="2"/>
  <c r="D18" i="2" s="1"/>
  <c r="AP20" i="3"/>
  <c r="AP22" i="3"/>
  <c r="J27" i="3"/>
  <c r="AP24" i="3"/>
  <c r="A20" i="2"/>
  <c r="A21" i="2" s="1"/>
  <c r="A22" i="2" s="1"/>
  <c r="A23" i="2" s="1"/>
  <c r="A24" i="2" s="1"/>
  <c r="A29" i="2" s="1"/>
  <c r="A30" i="2" s="1"/>
  <c r="AH13" i="6"/>
  <c r="AH14" i="6"/>
  <c r="F27" i="3"/>
  <c r="AH11" i="6"/>
  <c r="AH12" i="6"/>
  <c r="I51" i="3"/>
  <c r="M51" i="3"/>
  <c r="Q53" i="3"/>
  <c r="F53" i="3"/>
  <c r="J53" i="3"/>
  <c r="N53" i="3"/>
  <c r="G53" i="3"/>
  <c r="K53" i="3"/>
  <c r="O53" i="3"/>
  <c r="H51" i="3"/>
  <c r="L51" i="3"/>
  <c r="P51" i="3"/>
  <c r="J25" i="3"/>
  <c r="E16" i="6" s="1"/>
  <c r="AH10" i="6"/>
  <c r="Q51" i="3"/>
  <c r="F51" i="3"/>
  <c r="J51" i="3"/>
  <c r="N51" i="3"/>
  <c r="H53" i="3"/>
  <c r="L53" i="3"/>
  <c r="P53" i="3"/>
  <c r="G51" i="3"/>
  <c r="K51" i="3"/>
  <c r="O51" i="3"/>
  <c r="I53" i="3"/>
  <c r="M53" i="3"/>
  <c r="J15" i="6"/>
  <c r="G25" i="3"/>
  <c r="K25" i="3"/>
  <c r="F16" i="6" s="1"/>
  <c r="O25" i="3"/>
  <c r="F25" i="3"/>
  <c r="H25" i="3"/>
  <c r="L25" i="3"/>
  <c r="G16" i="6" s="1"/>
  <c r="P25" i="3"/>
  <c r="K9" i="6"/>
  <c r="AH9" i="6" s="1"/>
  <c r="H27" i="3"/>
  <c r="I27" i="3"/>
  <c r="M27" i="3"/>
  <c r="Q27" i="3"/>
  <c r="N25" i="3"/>
  <c r="I16" i="6" s="1"/>
  <c r="L27" i="3"/>
  <c r="P27" i="3"/>
  <c r="I25" i="3"/>
  <c r="D16" i="6" s="1"/>
  <c r="M25" i="3"/>
  <c r="H16" i="6" s="1"/>
  <c r="Q25" i="3"/>
  <c r="G27" i="3"/>
  <c r="K27" i="3"/>
  <c r="O27" i="3"/>
  <c r="L15" i="6"/>
  <c r="D19" i="2" l="1"/>
  <c r="AP27" i="3"/>
  <c r="L16" i="6"/>
  <c r="K15" i="6"/>
  <c r="K16" i="6" s="1"/>
  <c r="J16" i="6"/>
  <c r="D24" i="3"/>
  <c r="D20" i="3"/>
  <c r="C23" i="3"/>
  <c r="B24" i="3"/>
  <c r="C20" i="3"/>
  <c r="B23" i="3"/>
  <c r="C22" i="3"/>
  <c r="E24" i="3"/>
  <c r="E21" i="3"/>
  <c r="B22" i="3"/>
  <c r="D23" i="3"/>
  <c r="B20" i="3"/>
  <c r="E22" i="3"/>
  <c r="B21" i="3"/>
  <c r="D19" i="3"/>
  <c r="D21" i="3"/>
  <c r="C24" i="3"/>
  <c r="C21" i="3"/>
  <c r="D22" i="3"/>
  <c r="E23" i="3"/>
  <c r="E20" i="3"/>
  <c r="E19" i="3"/>
  <c r="C19" i="3"/>
  <c r="K19" i="6" l="1"/>
  <c r="S19" i="6"/>
  <c r="L19" i="6"/>
  <c r="T19" i="6"/>
  <c r="O19" i="6"/>
  <c r="P19" i="6"/>
  <c r="M19" i="6"/>
  <c r="U19" i="6"/>
  <c r="N19" i="6"/>
  <c r="Q19" i="6"/>
  <c r="R19" i="6"/>
  <c r="J19" i="6"/>
  <c r="R19" i="12"/>
  <c r="R28" i="12" s="1"/>
  <c r="O19" i="12"/>
  <c r="O28" i="12" s="1"/>
  <c r="N19" i="12"/>
  <c r="N28" i="12" s="1"/>
  <c r="L19" i="12"/>
  <c r="L28" i="12" s="1"/>
  <c r="K19" i="12"/>
  <c r="K28" i="12" s="1"/>
  <c r="Q19" i="12"/>
  <c r="Q28" i="12" s="1"/>
  <c r="P19" i="12"/>
  <c r="P28" i="12" s="1"/>
  <c r="S19" i="12"/>
  <c r="S28" i="12" s="1"/>
  <c r="J19" i="12"/>
  <c r="J28" i="12" s="1"/>
  <c r="U19" i="12"/>
  <c r="U28" i="12" s="1"/>
  <c r="M19" i="12"/>
  <c r="M28" i="12" s="1"/>
  <c r="T19" i="12"/>
  <c r="T28" i="12" s="1"/>
  <c r="F12" i="2"/>
  <c r="F18" i="2" s="1"/>
  <c r="F19" i="2" s="1"/>
  <c r="E12" i="2"/>
  <c r="E18" i="2" s="1"/>
  <c r="I12" i="2"/>
  <c r="I18" i="2" s="1"/>
  <c r="I19" i="2" s="1"/>
  <c r="G12" i="2"/>
  <c r="G18" i="2" s="1"/>
  <c r="G19" i="2" s="1"/>
  <c r="H12" i="2"/>
  <c r="H18" i="2" s="1"/>
  <c r="H19" i="2" s="1"/>
  <c r="AH15" i="6"/>
  <c r="B27" i="3"/>
  <c r="E27" i="3"/>
  <c r="D27" i="3"/>
  <c r="B25" i="3"/>
  <c r="E25" i="3"/>
  <c r="C25" i="3"/>
  <c r="C27" i="3"/>
  <c r="D25" i="3"/>
  <c r="M37" i="12" l="1"/>
  <c r="N37" i="12"/>
  <c r="U37" i="12"/>
  <c r="O37" i="12"/>
  <c r="R22" i="12"/>
  <c r="R31" i="12" s="1"/>
  <c r="R40" i="12" s="1"/>
  <c r="M22" i="12"/>
  <c r="M31" i="12" s="1"/>
  <c r="M40" i="12" s="1"/>
  <c r="U22" i="12"/>
  <c r="U31" i="12" s="1"/>
  <c r="U40" i="12" s="1"/>
  <c r="K22" i="12"/>
  <c r="K31" i="12" s="1"/>
  <c r="K40" i="12" s="1"/>
  <c r="N22" i="12"/>
  <c r="N31" i="12" s="1"/>
  <c r="N40" i="12" s="1"/>
  <c r="Q22" i="12"/>
  <c r="Q31" i="12" s="1"/>
  <c r="Q40" i="12" s="1"/>
  <c r="O22" i="12"/>
  <c r="O31" i="12" s="1"/>
  <c r="O40" i="12" s="1"/>
  <c r="L22" i="12"/>
  <c r="L31" i="12" s="1"/>
  <c r="L40" i="12" s="1"/>
  <c r="S22" i="12"/>
  <c r="S31" i="12" s="1"/>
  <c r="S40" i="12" s="1"/>
  <c r="J22" i="12"/>
  <c r="J31" i="12" s="1"/>
  <c r="P22" i="12"/>
  <c r="P31" i="12" s="1"/>
  <c r="P40" i="12" s="1"/>
  <c r="T22" i="12"/>
  <c r="T31" i="12" s="1"/>
  <c r="T40" i="12" s="1"/>
  <c r="J37" i="12"/>
  <c r="AH28" i="12"/>
  <c r="R37" i="12"/>
  <c r="S37" i="12"/>
  <c r="E19" i="2"/>
  <c r="C18" i="2"/>
  <c r="P37" i="12"/>
  <c r="T23" i="12"/>
  <c r="T32" i="12" s="1"/>
  <c r="T41" i="12" s="1"/>
  <c r="M23" i="12"/>
  <c r="M32" i="12" s="1"/>
  <c r="M41" i="12" s="1"/>
  <c r="J23" i="12"/>
  <c r="J32" i="12" s="1"/>
  <c r="U23" i="12"/>
  <c r="U32" i="12" s="1"/>
  <c r="U41" i="12" s="1"/>
  <c r="L23" i="12"/>
  <c r="L32" i="12" s="1"/>
  <c r="L41" i="12" s="1"/>
  <c r="S23" i="12"/>
  <c r="S32" i="12" s="1"/>
  <c r="S41" i="12" s="1"/>
  <c r="Q23" i="12"/>
  <c r="Q32" i="12" s="1"/>
  <c r="Q41" i="12" s="1"/>
  <c r="O23" i="12"/>
  <c r="O32" i="12" s="1"/>
  <c r="O41" i="12" s="1"/>
  <c r="N23" i="12"/>
  <c r="N32" i="12" s="1"/>
  <c r="N41" i="12" s="1"/>
  <c r="K23" i="12"/>
  <c r="K32" i="12" s="1"/>
  <c r="K41" i="12" s="1"/>
  <c r="R23" i="12"/>
  <c r="R32" i="12" s="1"/>
  <c r="R41" i="12" s="1"/>
  <c r="P23" i="12"/>
  <c r="P32" i="12" s="1"/>
  <c r="P41" i="12" s="1"/>
  <c r="N21" i="12"/>
  <c r="N30" i="12" s="1"/>
  <c r="N39" i="12" s="1"/>
  <c r="K21" i="12"/>
  <c r="K30" i="12" s="1"/>
  <c r="K39" i="12" s="1"/>
  <c r="S21" i="12"/>
  <c r="S30" i="12" s="1"/>
  <c r="S39" i="12" s="1"/>
  <c r="R21" i="12"/>
  <c r="R30" i="12" s="1"/>
  <c r="R39" i="12" s="1"/>
  <c r="P21" i="12"/>
  <c r="P30" i="12" s="1"/>
  <c r="P39" i="12" s="1"/>
  <c r="J21" i="12"/>
  <c r="J30" i="12" s="1"/>
  <c r="Q21" i="12"/>
  <c r="Q30" i="12" s="1"/>
  <c r="Q39" i="12" s="1"/>
  <c r="T21" i="12"/>
  <c r="T30" i="12" s="1"/>
  <c r="T39" i="12" s="1"/>
  <c r="L21" i="12"/>
  <c r="L30" i="12" s="1"/>
  <c r="L39" i="12" s="1"/>
  <c r="O21" i="12"/>
  <c r="O30" i="12" s="1"/>
  <c r="O39" i="12" s="1"/>
  <c r="U21" i="12"/>
  <c r="U30" i="12" s="1"/>
  <c r="U39" i="12" s="1"/>
  <c r="M21" i="12"/>
  <c r="M30" i="12" s="1"/>
  <c r="M39" i="12" s="1"/>
  <c r="Q37" i="12"/>
  <c r="K37" i="12"/>
  <c r="U24" i="12"/>
  <c r="U33" i="12" s="1"/>
  <c r="U42" i="12" s="1"/>
  <c r="R24" i="12"/>
  <c r="R33" i="12" s="1"/>
  <c r="R42" i="12" s="1"/>
  <c r="J24" i="12"/>
  <c r="J33" i="12" s="1"/>
  <c r="T24" i="12"/>
  <c r="T33" i="12" s="1"/>
  <c r="T42" i="12" s="1"/>
  <c r="P24" i="12"/>
  <c r="P33" i="12" s="1"/>
  <c r="P42" i="12" s="1"/>
  <c r="N24" i="12"/>
  <c r="N33" i="12" s="1"/>
  <c r="N42" i="12" s="1"/>
  <c r="L24" i="12"/>
  <c r="L33" i="12" s="1"/>
  <c r="L42" i="12" s="1"/>
  <c r="Q24" i="12"/>
  <c r="Q33" i="12" s="1"/>
  <c r="Q42" i="12" s="1"/>
  <c r="O24" i="12"/>
  <c r="O33" i="12" s="1"/>
  <c r="O42" i="12" s="1"/>
  <c r="M24" i="12"/>
  <c r="M33" i="12" s="1"/>
  <c r="M42" i="12" s="1"/>
  <c r="K24" i="12"/>
  <c r="K33" i="12" s="1"/>
  <c r="K42" i="12" s="1"/>
  <c r="S24" i="12"/>
  <c r="S33" i="12" s="1"/>
  <c r="S42" i="12" s="1"/>
  <c r="T37" i="12"/>
  <c r="L37" i="12"/>
  <c r="C25" i="10"/>
  <c r="C12" i="2"/>
  <c r="AP25" i="3"/>
  <c r="P28" i="6"/>
  <c r="T28" i="6"/>
  <c r="X28" i="6"/>
  <c r="AB28" i="6"/>
  <c r="AF28" i="6"/>
  <c r="M28" i="6"/>
  <c r="Q28" i="6"/>
  <c r="U28" i="6"/>
  <c r="Y28" i="6"/>
  <c r="AC28" i="6"/>
  <c r="AG28" i="6"/>
  <c r="O28" i="6"/>
  <c r="W28" i="6"/>
  <c r="AE28" i="6"/>
  <c r="AA28" i="6"/>
  <c r="V28" i="6"/>
  <c r="R28" i="6"/>
  <c r="Z28" i="6"/>
  <c r="S28" i="6"/>
  <c r="N28" i="6"/>
  <c r="AD28" i="6"/>
  <c r="E11" i="2"/>
  <c r="F11" i="2"/>
  <c r="H11" i="2"/>
  <c r="G11" i="2"/>
  <c r="I11" i="2"/>
  <c r="E13" i="2" l="1"/>
  <c r="E21" i="2" s="1"/>
  <c r="E31" i="2"/>
  <c r="AH37" i="12"/>
  <c r="G13" i="2"/>
  <c r="G31" i="2"/>
  <c r="I13" i="2"/>
  <c r="I31" i="2"/>
  <c r="U20" i="12"/>
  <c r="U29" i="12" s="1"/>
  <c r="S20" i="12"/>
  <c r="S29" i="12" s="1"/>
  <c r="P20" i="12"/>
  <c r="P29" i="12" s="1"/>
  <c r="K20" i="12"/>
  <c r="K29" i="12" s="1"/>
  <c r="O20" i="12"/>
  <c r="O29" i="12" s="1"/>
  <c r="T20" i="12"/>
  <c r="T29" i="12" s="1"/>
  <c r="J20" i="12"/>
  <c r="J29" i="12" s="1"/>
  <c r="R20" i="12"/>
  <c r="R29" i="12" s="1"/>
  <c r="N20" i="12"/>
  <c r="N29" i="12" s="1"/>
  <c r="M20" i="12"/>
  <c r="M29" i="12" s="1"/>
  <c r="Q20" i="12"/>
  <c r="Q29" i="12" s="1"/>
  <c r="L20" i="12"/>
  <c r="L29" i="12" s="1"/>
  <c r="J39" i="12"/>
  <c r="AH39" i="12" s="1"/>
  <c r="AH30" i="12"/>
  <c r="J41" i="12"/>
  <c r="AH41" i="12" s="1"/>
  <c r="AH32" i="12"/>
  <c r="H13" i="2"/>
  <c r="H31" i="2"/>
  <c r="J40" i="12"/>
  <c r="AH40" i="12" s="1"/>
  <c r="AH31" i="12"/>
  <c r="F13" i="2"/>
  <c r="F31" i="2"/>
  <c r="J42" i="12"/>
  <c r="AH42" i="12" s="1"/>
  <c r="AH33" i="12"/>
  <c r="C27" i="10"/>
  <c r="G33" i="6"/>
  <c r="G42" i="6" s="1"/>
  <c r="H33" i="6"/>
  <c r="H42" i="6" s="1"/>
  <c r="I33" i="6"/>
  <c r="I42" i="6" s="1"/>
  <c r="F33" i="6"/>
  <c r="F42" i="6" s="1"/>
  <c r="D33" i="6"/>
  <c r="D42" i="6" s="1"/>
  <c r="E33" i="6"/>
  <c r="E42" i="6" s="1"/>
  <c r="N37" i="6"/>
  <c r="AE37" i="6"/>
  <c r="M37" i="6"/>
  <c r="R37" i="6"/>
  <c r="Y37" i="6"/>
  <c r="X33" i="6"/>
  <c r="X42" i="6" s="1"/>
  <c r="AB33" i="6"/>
  <c r="AB42" i="6" s="1"/>
  <c r="AF33" i="6"/>
  <c r="AF42" i="6" s="1"/>
  <c r="Y33" i="6"/>
  <c r="AC33" i="6"/>
  <c r="AC42" i="6" s="1"/>
  <c r="AG33" i="6"/>
  <c r="AG42" i="6" s="1"/>
  <c r="W33" i="6"/>
  <c r="W42" i="6" s="1"/>
  <c r="AE33" i="6"/>
  <c r="AE42" i="6" s="1"/>
  <c r="AA33" i="6"/>
  <c r="AA42" i="6" s="1"/>
  <c r="AD33" i="6"/>
  <c r="AD42" i="6" s="1"/>
  <c r="Z33" i="6"/>
  <c r="Z42" i="6" s="1"/>
  <c r="V33" i="6"/>
  <c r="V42" i="6" s="1"/>
  <c r="S37" i="6"/>
  <c r="V37" i="6"/>
  <c r="O37" i="6"/>
  <c r="U37" i="6"/>
  <c r="AF37" i="6"/>
  <c r="P37" i="6"/>
  <c r="Z37" i="6"/>
  <c r="AC37" i="6"/>
  <c r="X37" i="6"/>
  <c r="W37" i="6"/>
  <c r="T37" i="6"/>
  <c r="AD37" i="6"/>
  <c r="AA37" i="6"/>
  <c r="AG37" i="6"/>
  <c r="Q37" i="6"/>
  <c r="AB37" i="6"/>
  <c r="C10" i="2"/>
  <c r="M21" i="6" l="1"/>
  <c r="M30" i="6" s="1"/>
  <c r="U21" i="6"/>
  <c r="U30" i="6" s="1"/>
  <c r="U39" i="6" s="1"/>
  <c r="N21" i="6"/>
  <c r="N30" i="6" s="1"/>
  <c r="N39" i="6" s="1"/>
  <c r="O21" i="6"/>
  <c r="O30" i="6" s="1"/>
  <c r="O39" i="6" s="1"/>
  <c r="P21" i="6"/>
  <c r="P30" i="6" s="1"/>
  <c r="P39" i="6" s="1"/>
  <c r="Q21" i="6"/>
  <c r="Q30" i="6" s="1"/>
  <c r="Q39" i="6" s="1"/>
  <c r="J21" i="6"/>
  <c r="J30" i="6" s="1"/>
  <c r="J39" i="6" s="1"/>
  <c r="K21" i="6"/>
  <c r="K30" i="6" s="1"/>
  <c r="K39" i="6" s="1"/>
  <c r="S21" i="6"/>
  <c r="S30" i="6" s="1"/>
  <c r="S39" i="6" s="1"/>
  <c r="L21" i="6"/>
  <c r="L30" i="6" s="1"/>
  <c r="L39" i="6" s="1"/>
  <c r="T21" i="6"/>
  <c r="T30" i="6" s="1"/>
  <c r="T39" i="6" s="1"/>
  <c r="R21" i="6"/>
  <c r="R30" i="6" s="1"/>
  <c r="R39" i="6" s="1"/>
  <c r="F21" i="2"/>
  <c r="F23" i="2" s="1"/>
  <c r="F24" i="2" s="1"/>
  <c r="F30" i="2" s="1"/>
  <c r="I5" i="10" s="1"/>
  <c r="M38" i="12"/>
  <c r="M43" i="12" s="1"/>
  <c r="L17" i="5" s="1"/>
  <c r="M34" i="12"/>
  <c r="S38" i="12"/>
  <c r="S43" i="12" s="1"/>
  <c r="R17" i="5" s="1"/>
  <c r="S34" i="12"/>
  <c r="R22" i="6"/>
  <c r="R31" i="6" s="1"/>
  <c r="R40" i="6" s="1"/>
  <c r="K22" i="6"/>
  <c r="K31" i="6" s="1"/>
  <c r="K40" i="6" s="1"/>
  <c r="S22" i="6"/>
  <c r="S31" i="6" s="1"/>
  <c r="S40" i="6" s="1"/>
  <c r="J22" i="6"/>
  <c r="J31" i="6" s="1"/>
  <c r="J40" i="6" s="1"/>
  <c r="L22" i="6"/>
  <c r="L31" i="6" s="1"/>
  <c r="L40" i="6" s="1"/>
  <c r="T22" i="6"/>
  <c r="T31" i="6" s="1"/>
  <c r="T40" i="6" s="1"/>
  <c r="M22" i="6"/>
  <c r="M31" i="6" s="1"/>
  <c r="U22" i="6"/>
  <c r="U31" i="6" s="1"/>
  <c r="U40" i="6" s="1"/>
  <c r="N22" i="6"/>
  <c r="N31" i="6" s="1"/>
  <c r="N40" i="6" s="1"/>
  <c r="O22" i="6"/>
  <c r="O31" i="6" s="1"/>
  <c r="O40" i="6" s="1"/>
  <c r="P22" i="6"/>
  <c r="P31" i="6" s="1"/>
  <c r="P40" i="6" s="1"/>
  <c r="Q22" i="6"/>
  <c r="Q31" i="6" s="1"/>
  <c r="Q40" i="6" s="1"/>
  <c r="G21" i="2"/>
  <c r="G23" i="2" s="1"/>
  <c r="G24" i="2" s="1"/>
  <c r="N38" i="12"/>
  <c r="N43" i="12" s="1"/>
  <c r="M17" i="5" s="1"/>
  <c r="N34" i="12"/>
  <c r="U38" i="12"/>
  <c r="U43" i="12" s="1"/>
  <c r="T17" i="5" s="1"/>
  <c r="U34" i="12"/>
  <c r="R38" i="12"/>
  <c r="R43" i="12" s="1"/>
  <c r="Q17" i="5" s="1"/>
  <c r="R34" i="12"/>
  <c r="J38" i="12"/>
  <c r="AH29" i="12"/>
  <c r="J34" i="12"/>
  <c r="T38" i="12"/>
  <c r="T43" i="12" s="1"/>
  <c r="S17" i="5" s="1"/>
  <c r="T34" i="12"/>
  <c r="P38" i="12"/>
  <c r="P43" i="12" s="1"/>
  <c r="O17" i="5" s="1"/>
  <c r="P34" i="12"/>
  <c r="O38" i="12"/>
  <c r="O43" i="12" s="1"/>
  <c r="N17" i="5" s="1"/>
  <c r="O34" i="12"/>
  <c r="L24" i="6"/>
  <c r="L33" i="6" s="1"/>
  <c r="L42" i="6" s="1"/>
  <c r="T24" i="6"/>
  <c r="T33" i="6" s="1"/>
  <c r="T42" i="6" s="1"/>
  <c r="M24" i="6"/>
  <c r="M33" i="6" s="1"/>
  <c r="M42" i="6" s="1"/>
  <c r="U24" i="6"/>
  <c r="U33" i="6" s="1"/>
  <c r="U42" i="6" s="1"/>
  <c r="Q24" i="6"/>
  <c r="Q33" i="6" s="1"/>
  <c r="Q42" i="6" s="1"/>
  <c r="N24" i="6"/>
  <c r="N33" i="6" s="1"/>
  <c r="N42" i="6" s="1"/>
  <c r="J24" i="6"/>
  <c r="J33" i="6" s="1"/>
  <c r="J42" i="6" s="1"/>
  <c r="O24" i="6"/>
  <c r="O33" i="6" s="1"/>
  <c r="O42" i="6" s="1"/>
  <c r="P24" i="6"/>
  <c r="P33" i="6" s="1"/>
  <c r="P42" i="6" s="1"/>
  <c r="R24" i="6"/>
  <c r="R33" i="6" s="1"/>
  <c r="R42" i="6" s="1"/>
  <c r="K24" i="6"/>
  <c r="K33" i="6" s="1"/>
  <c r="K42" i="6" s="1"/>
  <c r="S24" i="6"/>
  <c r="S33" i="6" s="1"/>
  <c r="S42" i="6" s="1"/>
  <c r="I21" i="2"/>
  <c r="I23" i="2" s="1"/>
  <c r="I24" i="2" s="1"/>
  <c r="I30" i="2" s="1"/>
  <c r="I8" i="10" s="1"/>
  <c r="Q38" i="12"/>
  <c r="Q43" i="12" s="1"/>
  <c r="P17" i="5" s="1"/>
  <c r="Q34" i="12"/>
  <c r="O23" i="6"/>
  <c r="O32" i="6" s="1"/>
  <c r="O41" i="6" s="1"/>
  <c r="L23" i="6"/>
  <c r="L32" i="6" s="1"/>
  <c r="L41" i="6" s="1"/>
  <c r="P23" i="6"/>
  <c r="P32" i="6" s="1"/>
  <c r="P41" i="6" s="1"/>
  <c r="Q23" i="6"/>
  <c r="Q32" i="6" s="1"/>
  <c r="Q41" i="6" s="1"/>
  <c r="R23" i="6"/>
  <c r="R32" i="6" s="1"/>
  <c r="R41" i="6" s="1"/>
  <c r="J23" i="6"/>
  <c r="J32" i="6" s="1"/>
  <c r="J41" i="6" s="1"/>
  <c r="K23" i="6"/>
  <c r="K32" i="6" s="1"/>
  <c r="K41" i="6" s="1"/>
  <c r="S23" i="6"/>
  <c r="S32" i="6" s="1"/>
  <c r="S41" i="6" s="1"/>
  <c r="T23" i="6"/>
  <c r="T32" i="6" s="1"/>
  <c r="T41" i="6" s="1"/>
  <c r="M23" i="6"/>
  <c r="M32" i="6" s="1"/>
  <c r="U23" i="6"/>
  <c r="U32" i="6" s="1"/>
  <c r="U41" i="6" s="1"/>
  <c r="N23" i="6"/>
  <c r="N32" i="6" s="1"/>
  <c r="N41" i="6" s="1"/>
  <c r="H21" i="2"/>
  <c r="H23" i="2" s="1"/>
  <c r="H24" i="2" s="1"/>
  <c r="H30" i="2" s="1"/>
  <c r="I7" i="10" s="1"/>
  <c r="L38" i="12"/>
  <c r="L43" i="12" s="1"/>
  <c r="K17" i="5" s="1"/>
  <c r="L34" i="12"/>
  <c r="K38" i="12"/>
  <c r="K43" i="12" s="1"/>
  <c r="J17" i="5" s="1"/>
  <c r="K34" i="12"/>
  <c r="P20" i="6"/>
  <c r="P29" i="6" s="1"/>
  <c r="Q20" i="6"/>
  <c r="Q29" i="6" s="1"/>
  <c r="R20" i="6"/>
  <c r="R29" i="6" s="1"/>
  <c r="K20" i="6"/>
  <c r="K29" i="6" s="1"/>
  <c r="K38" i="6" s="1"/>
  <c r="S20" i="6"/>
  <c r="S29" i="6" s="1"/>
  <c r="L20" i="6"/>
  <c r="L29" i="6" s="1"/>
  <c r="L38" i="6" s="1"/>
  <c r="T20" i="6"/>
  <c r="T29" i="6" s="1"/>
  <c r="M20" i="6"/>
  <c r="M29" i="6" s="1"/>
  <c r="U20" i="6"/>
  <c r="U29" i="6" s="1"/>
  <c r="N20" i="6"/>
  <c r="N29" i="6" s="1"/>
  <c r="J20" i="6"/>
  <c r="J29" i="6" s="1"/>
  <c r="J38" i="6" s="1"/>
  <c r="O20" i="6"/>
  <c r="O29" i="6" s="1"/>
  <c r="H32" i="6"/>
  <c r="H41" i="6" s="1"/>
  <c r="I32" i="6"/>
  <c r="I41" i="6" s="1"/>
  <c r="D32" i="6"/>
  <c r="D41" i="6" s="1"/>
  <c r="E32" i="6"/>
  <c r="E41" i="6" s="1"/>
  <c r="F32" i="6"/>
  <c r="F41" i="6" s="1"/>
  <c r="G32" i="6"/>
  <c r="G41" i="6" s="1"/>
  <c r="I31" i="6"/>
  <c r="I40" i="6" s="1"/>
  <c r="D31" i="6"/>
  <c r="D40" i="6" s="1"/>
  <c r="E31" i="6"/>
  <c r="E40" i="6" s="1"/>
  <c r="F31" i="6"/>
  <c r="F40" i="6" s="1"/>
  <c r="G31" i="6"/>
  <c r="G40" i="6" s="1"/>
  <c r="H31" i="6"/>
  <c r="H40" i="6" s="1"/>
  <c r="D29" i="6"/>
  <c r="E29" i="6"/>
  <c r="F29" i="6"/>
  <c r="G29" i="6"/>
  <c r="H29" i="6"/>
  <c r="I29" i="6"/>
  <c r="D30" i="6"/>
  <c r="D39" i="6" s="1"/>
  <c r="E30" i="6"/>
  <c r="E39" i="6" s="1"/>
  <c r="F30" i="6"/>
  <c r="F39" i="6" s="1"/>
  <c r="G30" i="6"/>
  <c r="G39" i="6" s="1"/>
  <c r="H30" i="6"/>
  <c r="H39" i="6" s="1"/>
  <c r="I30" i="6"/>
  <c r="I39" i="6" s="1"/>
  <c r="Y42" i="6"/>
  <c r="X32" i="6"/>
  <c r="X41" i="6" s="1"/>
  <c r="AB32" i="6"/>
  <c r="AB41" i="6" s="1"/>
  <c r="AF32" i="6"/>
  <c r="AF41" i="6" s="1"/>
  <c r="Y32" i="6"/>
  <c r="AC32" i="6"/>
  <c r="AC41" i="6" s="1"/>
  <c r="AG32" i="6"/>
  <c r="AG41" i="6" s="1"/>
  <c r="W32" i="6"/>
  <c r="W41" i="6" s="1"/>
  <c r="AE32" i="6"/>
  <c r="AE41" i="6" s="1"/>
  <c r="V32" i="6"/>
  <c r="V41" i="6" s="1"/>
  <c r="Z32" i="6"/>
  <c r="Z41" i="6" s="1"/>
  <c r="AA32" i="6"/>
  <c r="AA41" i="6" s="1"/>
  <c r="AD32" i="6"/>
  <c r="AD41" i="6" s="1"/>
  <c r="X30" i="6"/>
  <c r="X39" i="6" s="1"/>
  <c r="AB30" i="6"/>
  <c r="AB39" i="6" s="1"/>
  <c r="AF30" i="6"/>
  <c r="AF39" i="6" s="1"/>
  <c r="Y30" i="6"/>
  <c r="AC30" i="6"/>
  <c r="AC39" i="6" s="1"/>
  <c r="AG30" i="6"/>
  <c r="AG39" i="6" s="1"/>
  <c r="W30" i="6"/>
  <c r="W39" i="6" s="1"/>
  <c r="AE30" i="6"/>
  <c r="AE39" i="6" s="1"/>
  <c r="AD30" i="6"/>
  <c r="AD39" i="6" s="1"/>
  <c r="Z30" i="6"/>
  <c r="Z39" i="6" s="1"/>
  <c r="AA30" i="6"/>
  <c r="AA39" i="6" s="1"/>
  <c r="V30" i="6"/>
  <c r="V39" i="6" s="1"/>
  <c r="X29" i="6"/>
  <c r="AB29" i="6"/>
  <c r="AF29" i="6"/>
  <c r="Y29" i="6"/>
  <c r="AC29" i="6"/>
  <c r="AG29" i="6"/>
  <c r="W29" i="6"/>
  <c r="AE29" i="6"/>
  <c r="AD29" i="6"/>
  <c r="Z29" i="6"/>
  <c r="AA29" i="6"/>
  <c r="V29" i="6"/>
  <c r="X31" i="6"/>
  <c r="X40" i="6" s="1"/>
  <c r="AB31" i="6"/>
  <c r="AB40" i="6" s="1"/>
  <c r="AF31" i="6"/>
  <c r="AF40" i="6" s="1"/>
  <c r="Y31" i="6"/>
  <c r="AC31" i="6"/>
  <c r="AC40" i="6" s="1"/>
  <c r="AG31" i="6"/>
  <c r="AG40" i="6" s="1"/>
  <c r="W31" i="6"/>
  <c r="W40" i="6" s="1"/>
  <c r="AE31" i="6"/>
  <c r="AE40" i="6" s="1"/>
  <c r="AA31" i="6"/>
  <c r="AA40" i="6" s="1"/>
  <c r="AD31" i="6"/>
  <c r="AD40" i="6" s="1"/>
  <c r="Z31" i="6"/>
  <c r="Z40" i="6" s="1"/>
  <c r="V31" i="6"/>
  <c r="V40" i="6" s="1"/>
  <c r="E23" i="2"/>
  <c r="E24" i="2" s="1"/>
  <c r="E30" i="2" s="1"/>
  <c r="I4" i="10" s="1"/>
  <c r="G30" i="2" l="1"/>
  <c r="I6" i="10" s="1"/>
  <c r="V17" i="5"/>
  <c r="Y17" i="5" s="1"/>
  <c r="AH34" i="12"/>
  <c r="AH38" i="12"/>
  <c r="AH43" i="12" s="1"/>
  <c r="J43" i="12"/>
  <c r="I17" i="5" s="1"/>
  <c r="AH33" i="6"/>
  <c r="G34" i="6"/>
  <c r="G38" i="6"/>
  <c r="G43" i="6" s="1"/>
  <c r="F34" i="6"/>
  <c r="F38" i="6"/>
  <c r="F43" i="6" s="1"/>
  <c r="H34" i="6"/>
  <c r="H38" i="6"/>
  <c r="H43" i="6" s="1"/>
  <c r="E34" i="6"/>
  <c r="E38" i="6"/>
  <c r="E43" i="6" s="1"/>
  <c r="D34" i="6"/>
  <c r="D38" i="6"/>
  <c r="D43" i="6" s="1"/>
  <c r="I34" i="6"/>
  <c r="I38" i="6"/>
  <c r="I43" i="6" s="1"/>
  <c r="AH29" i="6"/>
  <c r="AH32" i="6"/>
  <c r="AH42" i="6"/>
  <c r="AH30" i="6"/>
  <c r="AH31" i="6"/>
  <c r="Y40" i="6"/>
  <c r="Y39" i="6"/>
  <c r="Y41" i="6"/>
  <c r="M40" i="6"/>
  <c r="M39" i="6"/>
  <c r="M41" i="6"/>
  <c r="Z38" i="6"/>
  <c r="Z43" i="6" s="1"/>
  <c r="Z34" i="6"/>
  <c r="O38" i="6"/>
  <c r="O43" i="6" s="1"/>
  <c r="N7" i="5" s="1"/>
  <c r="O34" i="6"/>
  <c r="AF38" i="6"/>
  <c r="AF43" i="6" s="1"/>
  <c r="AF34" i="6"/>
  <c r="R38" i="6"/>
  <c r="R43" i="6" s="1"/>
  <c r="Q7" i="5" s="1"/>
  <c r="R34" i="6"/>
  <c r="AG38" i="6"/>
  <c r="AG43" i="6" s="1"/>
  <c r="AG34" i="6"/>
  <c r="AB38" i="6"/>
  <c r="AB43" i="6" s="1"/>
  <c r="AB34" i="6"/>
  <c r="AA38" i="6"/>
  <c r="AA43" i="6" s="1"/>
  <c r="AA34" i="6"/>
  <c r="AD38" i="6"/>
  <c r="AD43" i="6" s="1"/>
  <c r="AD34" i="6"/>
  <c r="AE38" i="6"/>
  <c r="AE43" i="6" s="1"/>
  <c r="AE34" i="6"/>
  <c r="AC38" i="6"/>
  <c r="AC43" i="6" s="1"/>
  <c r="AC34" i="6"/>
  <c r="M38" i="6"/>
  <c r="M34" i="6"/>
  <c r="X38" i="6"/>
  <c r="X43" i="6" s="1"/>
  <c r="X34" i="6"/>
  <c r="U38" i="6"/>
  <c r="U43" i="6" s="1"/>
  <c r="T7" i="5" s="1"/>
  <c r="U34" i="6"/>
  <c r="P38" i="6"/>
  <c r="P43" i="6" s="1"/>
  <c r="O7" i="5" s="1"/>
  <c r="P34" i="6"/>
  <c r="V38" i="6"/>
  <c r="V43" i="6" s="1"/>
  <c r="V34" i="6"/>
  <c r="S38" i="6"/>
  <c r="S43" i="6" s="1"/>
  <c r="R7" i="5" s="1"/>
  <c r="S34" i="6"/>
  <c r="Q38" i="6"/>
  <c r="Q43" i="6" s="1"/>
  <c r="P7" i="5" s="1"/>
  <c r="Q34" i="6"/>
  <c r="N38" i="6"/>
  <c r="N43" i="6" s="1"/>
  <c r="M7" i="5" s="1"/>
  <c r="N34" i="6"/>
  <c r="W38" i="6"/>
  <c r="W43" i="6" s="1"/>
  <c r="W34" i="6"/>
  <c r="Y38" i="6"/>
  <c r="Y34" i="6"/>
  <c r="T38" i="6"/>
  <c r="T43" i="6" s="1"/>
  <c r="S7" i="5" s="1"/>
  <c r="T34" i="6"/>
  <c r="K28" i="6"/>
  <c r="J28" i="6"/>
  <c r="L28" i="6"/>
  <c r="D23" i="2"/>
  <c r="C24" i="2" s="1"/>
  <c r="B30" i="5" l="1"/>
  <c r="C30" i="5" s="1"/>
  <c r="I18" i="5"/>
  <c r="I19" i="5"/>
  <c r="I22" i="5" s="1"/>
  <c r="AH40" i="6"/>
  <c r="AH41" i="6"/>
  <c r="AH28" i="6"/>
  <c r="AH38" i="6"/>
  <c r="AH39" i="6"/>
  <c r="Y43" i="6"/>
  <c r="M43" i="6"/>
  <c r="L7" i="5" s="1"/>
  <c r="K37" i="6"/>
  <c r="K43" i="6" s="1"/>
  <c r="J7" i="5" s="1"/>
  <c r="K34" i="6"/>
  <c r="L37" i="6"/>
  <c r="L43" i="6" s="1"/>
  <c r="K7" i="5" s="1"/>
  <c r="L34" i="6"/>
  <c r="J37" i="6"/>
  <c r="J43" i="6" s="1"/>
  <c r="I7" i="5" s="1"/>
  <c r="I9" i="5" s="1"/>
  <c r="J34" i="6"/>
  <c r="B29" i="5" l="1"/>
  <c r="I12" i="5"/>
  <c r="V7" i="5"/>
  <c r="J19" i="5"/>
  <c r="J22" i="5" s="1"/>
  <c r="J18" i="5"/>
  <c r="I8" i="5"/>
  <c r="J9" i="5" s="1"/>
  <c r="E4" i="10"/>
  <c r="D30" i="2"/>
  <c r="I3" i="10" s="1"/>
  <c r="AH37" i="6"/>
  <c r="AH34" i="6"/>
  <c r="K19" i="5" l="1"/>
  <c r="K22" i="5" s="1"/>
  <c r="K18" i="5"/>
  <c r="J8" i="5"/>
  <c r="K9" i="5" s="1"/>
  <c r="J12" i="5"/>
  <c r="D6" i="10"/>
  <c r="E5" i="10"/>
  <c r="C30" i="2"/>
  <c r="I9" i="10" s="1"/>
  <c r="AH43" i="6"/>
  <c r="L18" i="5" l="1"/>
  <c r="L19" i="5"/>
  <c r="L22" i="5" s="1"/>
  <c r="K8" i="5"/>
  <c r="L9" i="5" s="1"/>
  <c r="C29" i="5"/>
  <c r="B32" i="5"/>
  <c r="E6" i="10"/>
  <c r="E49" i="3"/>
  <c r="D50" i="3"/>
  <c r="C50" i="3"/>
  <c r="D49" i="3"/>
  <c r="E50" i="3"/>
  <c r="C49" i="3"/>
  <c r="K12" i="5" l="1"/>
  <c r="B35" i="5"/>
  <c r="C31" i="2"/>
  <c r="M18" i="5"/>
  <c r="M19" i="5"/>
  <c r="M22" i="5" s="1"/>
  <c r="E51" i="3"/>
  <c r="C32" i="5"/>
  <c r="Y7" i="5"/>
  <c r="D53" i="3"/>
  <c r="C53" i="3"/>
  <c r="C51" i="3"/>
  <c r="D51" i="3"/>
  <c r="E53" i="3"/>
  <c r="L8" i="5" l="1"/>
  <c r="M9" i="5" s="1"/>
  <c r="N18" i="5"/>
  <c r="N19" i="5"/>
  <c r="N22" i="5" s="1"/>
  <c r="C32" i="2"/>
  <c r="I19" i="10" s="1"/>
  <c r="H32" i="2"/>
  <c r="I17" i="10" s="1"/>
  <c r="J17" i="10"/>
  <c r="J18" i="10"/>
  <c r="I32" i="2"/>
  <c r="I18" i="10" s="1"/>
  <c r="J13" i="10"/>
  <c r="I13" i="10"/>
  <c r="F32" i="2"/>
  <c r="I15" i="10" s="1"/>
  <c r="J15" i="10"/>
  <c r="G32" i="2"/>
  <c r="I16" i="10" s="1"/>
  <c r="J16" i="10"/>
  <c r="E32" i="2"/>
  <c r="I14" i="10" s="1"/>
  <c r="J14" i="10"/>
  <c r="L12" i="5"/>
  <c r="O18" i="5" l="1"/>
  <c r="O19" i="5"/>
  <c r="O22" i="5" s="1"/>
  <c r="M12" i="5"/>
  <c r="M8" i="5"/>
  <c r="N9" i="5" s="1"/>
  <c r="J19" i="10"/>
  <c r="P18" i="5" l="1"/>
  <c r="P19" i="5"/>
  <c r="P22" i="5" s="1"/>
  <c r="N12" i="5"/>
  <c r="O9" i="5" s="1"/>
  <c r="N8" i="5"/>
  <c r="Q19" i="5" l="1"/>
  <c r="Q18" i="5"/>
  <c r="O8" i="5"/>
  <c r="P9" i="5" s="1"/>
  <c r="O12" i="5"/>
  <c r="Q22" i="5" l="1"/>
  <c r="P8" i="5"/>
  <c r="Q9" i="5" s="1"/>
  <c r="P12" i="5"/>
  <c r="R19" i="5" l="1"/>
  <c r="R22" i="5" s="1"/>
  <c r="R18" i="5"/>
  <c r="Q8" i="5"/>
  <c r="Q12" i="5" l="1"/>
  <c r="R9" i="5"/>
  <c r="S19" i="5"/>
  <c r="S22" i="5" s="1"/>
  <c r="S18" i="5"/>
  <c r="T19" i="5" s="1"/>
  <c r="R12" i="5" l="1"/>
  <c r="R8" i="5"/>
  <c r="S9" i="5" s="1"/>
  <c r="S8" i="5"/>
  <c r="T9" i="5" s="1"/>
  <c r="S12" i="5"/>
  <c r="T22" i="5"/>
  <c r="T18" i="5"/>
  <c r="V9" i="5" l="1"/>
  <c r="T8" i="5"/>
  <c r="T12" i="5" l="1"/>
  <c r="V12" i="5" l="1"/>
  <c r="W12" i="5" l="1"/>
  <c r="V19" i="5" l="1"/>
  <c r="Y9" i="5"/>
  <c r="Y19" i="5" l="1"/>
  <c r="V22" i="5"/>
  <c r="W22" i="5" s="1"/>
</calcChain>
</file>

<file path=xl/sharedStrings.xml><?xml version="1.0" encoding="utf-8"?>
<sst xmlns="http://schemas.openxmlformats.org/spreadsheetml/2006/main" count="327" uniqueCount="174">
  <si>
    <t>Total</t>
  </si>
  <si>
    <t xml:space="preserve"> </t>
  </si>
  <si>
    <t>RESIDENTIAL</t>
  </si>
  <si>
    <t xml:space="preserve">GENERAL SVC. </t>
  </si>
  <si>
    <t>LG. GEN. SVC.</t>
  </si>
  <si>
    <t>EX LG GEN SVC</t>
  </si>
  <si>
    <t>PUMPING</t>
  </si>
  <si>
    <t>ST &amp; AREA LTG</t>
  </si>
  <si>
    <t>DESCRIPTION</t>
  </si>
  <si>
    <t>TOTAL</t>
  </si>
  <si>
    <t>SCH. 11,12</t>
  </si>
  <si>
    <t>SCH. 21,22</t>
  </si>
  <si>
    <t>SCHEDULE 25</t>
  </si>
  <si>
    <t>SCH. 30, 31, 32</t>
  </si>
  <si>
    <t>SCH. 41-48</t>
  </si>
  <si>
    <t>Line No.</t>
  </si>
  <si>
    <t>A</t>
  </si>
  <si>
    <t>B</t>
  </si>
  <si>
    <t>C</t>
  </si>
  <si>
    <t>D</t>
  </si>
  <si>
    <t xml:space="preserve">E </t>
  </si>
  <si>
    <t>F</t>
  </si>
  <si>
    <t>H</t>
  </si>
  <si>
    <t>I</t>
  </si>
  <si>
    <t>Generation Allocated</t>
  </si>
  <si>
    <t>Total Generation Percentage</t>
  </si>
  <si>
    <t>(1)</t>
  </si>
  <si>
    <t>(2)</t>
  </si>
  <si>
    <t>Cents Per kWh Rate</t>
  </si>
  <si>
    <t>Proposed Cents per kWh Rate</t>
  </si>
  <si>
    <t>Present Cents per kWh Rate</t>
  </si>
  <si>
    <t>Difference in Rate</t>
  </si>
  <si>
    <t>Change in Revenue</t>
  </si>
  <si>
    <t>WA001</t>
  </si>
  <si>
    <t>WA011</t>
  </si>
  <si>
    <t>WA012</t>
  </si>
  <si>
    <t>WA021</t>
  </si>
  <si>
    <t>WA022</t>
  </si>
  <si>
    <t>WA025</t>
  </si>
  <si>
    <t>WA031</t>
  </si>
  <si>
    <t>WA032</t>
  </si>
  <si>
    <t>WA04X</t>
  </si>
  <si>
    <t>WA011/012</t>
  </si>
  <si>
    <t>WA021/022</t>
  </si>
  <si>
    <t>WA031/032</t>
  </si>
  <si>
    <t>Load</t>
  </si>
  <si>
    <t>Bills</t>
  </si>
  <si>
    <t>REVENUE CONVERSION FACTOR</t>
  </si>
  <si>
    <t>Expense:</t>
  </si>
  <si>
    <t xml:space="preserve">    Total Expense</t>
  </si>
  <si>
    <t>Net Operating Income Before FIT</t>
  </si>
  <si>
    <t>Residential Bill Percentage Change</t>
  </si>
  <si>
    <t>End December</t>
  </si>
  <si>
    <t>End January</t>
  </si>
  <si>
    <t>Forecasted Usage</t>
  </si>
  <si>
    <t>Residential Schedule 001</t>
  </si>
  <si>
    <t>General Svc Schedule 011/012</t>
  </si>
  <si>
    <t>Large Gen Svc Schedule 021/022</t>
  </si>
  <si>
    <t>Extra Large Gen Schedule 25</t>
  </si>
  <si>
    <t>Pumping Schedule 31/32</t>
  </si>
  <si>
    <t>Street and Area Lights</t>
  </si>
  <si>
    <t>Total Forecasted Usage</t>
  </si>
  <si>
    <t>Interest</t>
  </si>
  <si>
    <t>Cumulative Balance (Before Interest)</t>
  </si>
  <si>
    <t>Compound</t>
  </si>
  <si>
    <t>Present Bill</t>
  </si>
  <si>
    <t>Basic Charge</t>
  </si>
  <si>
    <t>1st 800 kWhs</t>
  </si>
  <si>
    <t>Next 700 kWhs</t>
  </si>
  <si>
    <t>(Calendar Energy Usage by Rate Scheduled)</t>
  </si>
  <si>
    <t>(Total Customers by Rate Schedule)</t>
  </si>
  <si>
    <t>(Formulas from kWh Forecast)</t>
  </si>
  <si>
    <t>CALCULATION OF CONVERSION FACTOR:  WASHINGTON ELECTRIC</t>
  </si>
  <si>
    <t>Revenue:</t>
  </si>
  <si>
    <t xml:space="preserve">  Uncollectibles  (1)</t>
  </si>
  <si>
    <t xml:space="preserve">  Commission Fees  (2)</t>
  </si>
  <si>
    <t xml:space="preserve">  Washington Excise Tax  (3)</t>
  </si>
  <si>
    <t xml:space="preserve">  Federal Income Tax @</t>
  </si>
  <si>
    <t>check</t>
  </si>
  <si>
    <t>Proposed Bill after Rate Adjustment</t>
  </si>
  <si>
    <t>E02 Generation Allocator</t>
  </si>
  <si>
    <t>SCHEDULE 1, 2</t>
  </si>
  <si>
    <t>WA001/WA002</t>
  </si>
  <si>
    <t>Residential Schedule 001/002</t>
  </si>
  <si>
    <t>First 800 Kwh/Month</t>
  </si>
  <si>
    <t>Next 700 Kwh/Month</t>
  </si>
  <si>
    <t>Over 1, 500 Kwh/Month</t>
  </si>
  <si>
    <t>Schedule No.</t>
  </si>
  <si>
    <t>1/2</t>
  </si>
  <si>
    <t>11/12</t>
  </si>
  <si>
    <t>21/22</t>
  </si>
  <si>
    <t>31/32</t>
  </si>
  <si>
    <t>Rate Schedule</t>
  </si>
  <si>
    <t>Residential</t>
  </si>
  <si>
    <t>General Service Schedule</t>
  </si>
  <si>
    <t>Large General Service Schedule</t>
  </si>
  <si>
    <t>Pumping Service Schedule</t>
  </si>
  <si>
    <t>Ext. Lg General Service Schedule</t>
  </si>
  <si>
    <t>41-48</t>
  </si>
  <si>
    <t>Street and Area Lights Schedule</t>
  </si>
  <si>
    <t>Overall</t>
  </si>
  <si>
    <t>Monthly Rate</t>
  </si>
  <si>
    <t>Tax Rate</t>
  </si>
  <si>
    <t>Monthly After Tax Rate</t>
  </si>
  <si>
    <t>Amortization Amount</t>
  </si>
  <si>
    <t>ERM Revenue Balance (Income Statement)</t>
  </si>
  <si>
    <t>July</t>
  </si>
  <si>
    <t>May</t>
  </si>
  <si>
    <t>June</t>
  </si>
  <si>
    <t>ERM Revenue Amortization Rates</t>
  </si>
  <si>
    <t>Gross ERM Revenue Amortization Credit</t>
  </si>
  <si>
    <t xml:space="preserve">Net ERM Revenue Amortization Credit </t>
  </si>
  <si>
    <t>Total Load</t>
  </si>
  <si>
    <t>April</t>
  </si>
  <si>
    <t>March</t>
  </si>
  <si>
    <t>February</t>
  </si>
  <si>
    <t>January</t>
  </si>
  <si>
    <t>December</t>
  </si>
  <si>
    <t>November</t>
  </si>
  <si>
    <t>October</t>
  </si>
  <si>
    <t>September</t>
  </si>
  <si>
    <t>August</t>
  </si>
  <si>
    <t>Line</t>
  </si>
  <si>
    <t>No.</t>
  </si>
  <si>
    <t>Revenue Conversion Factor</t>
  </si>
  <si>
    <t>Total to Revover</t>
  </si>
  <si>
    <t>Washington Energy Recovery Mechanism</t>
  </si>
  <si>
    <t>Forecast Amortization and Balance</t>
  </si>
  <si>
    <t>KwH Forecast</t>
  </si>
  <si>
    <t>25</t>
  </si>
  <si>
    <t>ERM Only</t>
  </si>
  <si>
    <t>ERM</t>
  </si>
  <si>
    <t>Present Annual Billed Revenue</t>
  </si>
  <si>
    <t>Revenue</t>
  </si>
  <si>
    <t xml:space="preserve">Schedule 93 </t>
  </si>
  <si>
    <t>TWELVE MONTHS ENDED SEPTEMBER 30, 2021</t>
  </si>
  <si>
    <t>Approved in UE-220053</t>
  </si>
  <si>
    <t>UE-220053 Cost of Service Study</t>
  </si>
  <si>
    <t>Amortization</t>
  </si>
  <si>
    <t>Other ERM Adjustments</t>
  </si>
  <si>
    <t>Actual Cost of Debt as of 12.31.2022</t>
  </si>
  <si>
    <t>WA_1</t>
  </si>
  <si>
    <t>WA_2</t>
  </si>
  <si>
    <t>WA_11</t>
  </si>
  <si>
    <t>WA_12</t>
  </si>
  <si>
    <t>WA_13</t>
  </si>
  <si>
    <t>WA_21</t>
  </si>
  <si>
    <t>WA_22</t>
  </si>
  <si>
    <t>WA_23</t>
  </si>
  <si>
    <t>WA_25</t>
  </si>
  <si>
    <t>WA_31</t>
  </si>
  <si>
    <t>WA_32</t>
  </si>
  <si>
    <t>WA_4X</t>
  </si>
  <si>
    <t>WA_25P</t>
  </si>
  <si>
    <t>Annual Load</t>
  </si>
  <si>
    <t xml:space="preserve">Surcharge Amount </t>
  </si>
  <si>
    <t xml:space="preserve">Rebate Amount </t>
  </si>
  <si>
    <t xml:space="preserve">ERM Allocation </t>
  </si>
  <si>
    <t>Annual Surcharge</t>
  </si>
  <si>
    <t xml:space="preserve">Total Billed Percentage Change </t>
  </si>
  <si>
    <t>Amortization Period: July 2023 - June 2024</t>
  </si>
  <si>
    <t>SCHEDULE 25/Sp Ct</t>
  </si>
  <si>
    <t>July 1, 2023 through June 30, 2024 Forecasted Loads (input)</t>
  </si>
  <si>
    <t>Proposed Change</t>
  </si>
  <si>
    <t xml:space="preserve">Change in Billed Revenue </t>
  </si>
  <si>
    <t>Change % Billed Revenue (1-Year)</t>
  </si>
  <si>
    <t>Change $ Billed Revenue (1-Year)</t>
  </si>
  <si>
    <t>Residential Bill Impact (932 kWh's)</t>
  </si>
  <si>
    <t>Bill at 932 kWhs</t>
  </si>
  <si>
    <t>Plus Bill Impact</t>
  </si>
  <si>
    <t>25/Sp Ct</t>
  </si>
  <si>
    <t>Current Billing Rate</t>
  </si>
  <si>
    <t>Proposed Billing Rate</t>
  </si>
  <si>
    <t xml:space="preserve">Electric Service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</si>
</sst>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0_);_(&quot;$&quot;* \(#,##0.00000\);_(&quot;$&quot;* &quot;-&quot;??_);_(@_)"/>
    <numFmt numFmtId="166" formatCode="_(* #,##0_);_(* \(#,##0\);_(* &quot;-&quot;??_);_(@_)"/>
    <numFmt numFmtId="167" formatCode="mmm\ yy"/>
    <numFmt numFmtId="168" formatCode="0.000000"/>
    <numFmt numFmtId="169" formatCode="0.0%"/>
    <numFmt numFmtId="170" formatCode="0.00000"/>
    <numFmt numFmtId="171" formatCode="0.000%"/>
    <numFmt numFmtId="172" formatCode="0.00000%"/>
    <numFmt numFmtId="173" formatCode="_(&quot;$&quot;* #,##0.0_);_(&quot;$&quot;* \(#,##0.0\);_(&quot;$&quot;* &quot;-&quot;??_);_(@_)"/>
    <numFmt numFmtId="174" formatCode="_(&quot;$&quot;* #,##0.0000_);_(&quot;$&quot;* \(#,##0.0000\);_(&quot;$&quot;* &quot;-&quot;??_);_(@_)"/>
  </numFmts>
  <fonts count="3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rgb="FF0000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197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1" xfId="0" applyFont="1" applyFill="1" applyBorder="1"/>
    <xf numFmtId="0" fontId="6" fillId="0" borderId="2" xfId="0" applyFont="1" applyFill="1" applyBorder="1"/>
    <xf numFmtId="0" fontId="6" fillId="0" borderId="3" xfId="0" applyFont="1" applyFill="1" applyBorder="1"/>
    <xf numFmtId="0" fontId="6" fillId="0" borderId="5" xfId="0" applyFont="1" applyFill="1" applyBorder="1"/>
    <xf numFmtId="0" fontId="6" fillId="0" borderId="0" xfId="0" applyFont="1" applyFill="1" applyBorder="1"/>
    <xf numFmtId="0" fontId="6" fillId="0" borderId="6" xfId="4" applyFont="1" applyFill="1" applyBorder="1" applyAlignment="1">
      <alignment horizontal="center"/>
    </xf>
    <xf numFmtId="0" fontId="6" fillId="0" borderId="8" xfId="4" applyFont="1" applyFill="1" applyBorder="1" applyAlignment="1">
      <alignment horizontal="center"/>
    </xf>
    <xf numFmtId="0" fontId="6" fillId="0" borderId="9" xfId="4" applyFont="1" applyFill="1" applyBorder="1" applyAlignment="1">
      <alignment horizontal="center"/>
    </xf>
    <xf numFmtId="0" fontId="6" fillId="0" borderId="12" xfId="4" applyFont="1" applyFill="1" applyBorder="1" applyAlignment="1">
      <alignment horizontal="center" wrapText="1"/>
    </xf>
    <xf numFmtId="0" fontId="6" fillId="0" borderId="13" xfId="4" applyFont="1" applyFill="1" applyBorder="1" applyAlignment="1">
      <alignment horizontal="center"/>
    </xf>
    <xf numFmtId="0" fontId="6" fillId="0" borderId="14" xfId="4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7" fillId="0" borderId="0" xfId="0" applyFont="1" applyFill="1" applyBorder="1"/>
    <xf numFmtId="10" fontId="6" fillId="0" borderId="6" xfId="0" applyNumberFormat="1" applyFont="1" applyFill="1" applyBorder="1"/>
    <xf numFmtId="164" fontId="8" fillId="0" borderId="15" xfId="2" applyNumberFormat="1" applyFont="1" applyFill="1" applyBorder="1"/>
    <xf numFmtId="37" fontId="6" fillId="0" borderId="6" xfId="5" applyNumberFormat="1" applyFont="1" applyFill="1" applyBorder="1"/>
    <xf numFmtId="0" fontId="6" fillId="0" borderId="6" xfId="0" applyFont="1" applyFill="1" applyBorder="1"/>
    <xf numFmtId="0" fontId="6" fillId="0" borderId="0" xfId="0" applyFont="1" applyFill="1"/>
    <xf numFmtId="165" fontId="6" fillId="0" borderId="6" xfId="0" applyNumberFormat="1" applyFont="1" applyFill="1" applyBorder="1"/>
    <xf numFmtId="164" fontId="6" fillId="0" borderId="10" xfId="0" applyNumberFormat="1" applyFont="1" applyFill="1" applyBorder="1"/>
    <xf numFmtId="164" fontId="6" fillId="0" borderId="9" xfId="0" applyNumberFormat="1" applyFont="1" applyFill="1" applyBorder="1"/>
    <xf numFmtId="44" fontId="2" fillId="0" borderId="0" xfId="2" applyFont="1"/>
    <xf numFmtId="49" fontId="5" fillId="0" borderId="0" xfId="0" applyNumberFormat="1" applyFont="1" applyBorder="1" applyAlignment="1">
      <alignment horizontal="center"/>
    </xf>
    <xf numFmtId="37" fontId="2" fillId="0" borderId="0" xfId="0" applyNumberFormat="1" applyFont="1"/>
    <xf numFmtId="0" fontId="8" fillId="0" borderId="0" xfId="0" applyFont="1"/>
    <xf numFmtId="17" fontId="2" fillId="0" borderId="0" xfId="0" applyNumberFormat="1" applyFont="1" applyAlignment="1">
      <alignment horizontal="center"/>
    </xf>
    <xf numFmtId="166" fontId="2" fillId="0" borderId="0" xfId="0" applyNumberFormat="1" applyFont="1" applyFill="1"/>
    <xf numFmtId="166" fontId="2" fillId="0" borderId="2" xfId="0" applyNumberFormat="1" applyFont="1" applyBorder="1"/>
    <xf numFmtId="166" fontId="2" fillId="0" borderId="0" xfId="0" applyNumberFormat="1" applyFont="1"/>
    <xf numFmtId="170" fontId="2" fillId="0" borderId="0" xfId="0" applyNumberFormat="1" applyFont="1"/>
    <xf numFmtId="10" fontId="2" fillId="0" borderId="0" xfId="0" applyNumberFormat="1" applyFont="1"/>
    <xf numFmtId="164" fontId="2" fillId="0" borderId="0" xfId="2" applyNumberFormat="1" applyFont="1"/>
    <xf numFmtId="164" fontId="2" fillId="0" borderId="0" xfId="0" applyNumberFormat="1" applyFont="1"/>
    <xf numFmtId="164" fontId="2" fillId="0" borderId="8" xfId="2" applyNumberFormat="1" applyFont="1" applyBorder="1"/>
    <xf numFmtId="0" fontId="2" fillId="0" borderId="0" xfId="0" applyFont="1" applyFill="1"/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/>
    <xf numFmtId="164" fontId="6" fillId="0" borderId="6" xfId="2" applyNumberFormat="1" applyFont="1" applyFill="1" applyBorder="1"/>
    <xf numFmtId="164" fontId="12" fillId="0" borderId="0" xfId="2" applyNumberFormat="1" applyFont="1" applyFill="1"/>
    <xf numFmtId="164" fontId="12" fillId="0" borderId="0" xfId="0" applyNumberFormat="1" applyFont="1" applyFill="1" applyBorder="1"/>
    <xf numFmtId="164" fontId="12" fillId="0" borderId="0" xfId="0" applyNumberFormat="1" applyFont="1" applyFill="1"/>
    <xf numFmtId="0" fontId="12" fillId="0" borderId="0" xfId="0" applyFont="1" applyFill="1"/>
    <xf numFmtId="0" fontId="1" fillId="0" borderId="0" xfId="0" applyFont="1"/>
    <xf numFmtId="167" fontId="9" fillId="0" borderId="0" xfId="0" applyNumberFormat="1" applyFont="1" applyAlignment="1">
      <alignment readingOrder="1"/>
    </xf>
    <xf numFmtId="0" fontId="6" fillId="0" borderId="0" xfId="0" applyFont="1" applyAlignment="1">
      <alignment horizontal="left" indent="1" readingOrder="1"/>
    </xf>
    <xf numFmtId="0" fontId="6" fillId="0" borderId="0" xfId="0" applyFont="1" applyFill="1" applyAlignment="1">
      <alignment horizontal="left" indent="1" readingOrder="1"/>
    </xf>
    <xf numFmtId="0" fontId="6" fillId="0" borderId="0" xfId="0" applyFont="1" applyBorder="1" applyAlignment="1">
      <alignment horizontal="left" indent="1" readingOrder="1"/>
    </xf>
    <xf numFmtId="0" fontId="6" fillId="0" borderId="0" xfId="0" applyFont="1" applyFill="1" applyBorder="1" applyAlignment="1">
      <alignment horizontal="left" indent="1" readingOrder="1"/>
    </xf>
    <xf numFmtId="0" fontId="6" fillId="0" borderId="0" xfId="0" applyFont="1"/>
    <xf numFmtId="166" fontId="1" fillId="0" borderId="0" xfId="0" applyNumberFormat="1" applyFont="1"/>
    <xf numFmtId="166" fontId="6" fillId="0" borderId="0" xfId="0" applyNumberFormat="1" applyFont="1"/>
    <xf numFmtId="168" fontId="9" fillId="0" borderId="0" xfId="5" applyNumberFormat="1" applyFont="1"/>
    <xf numFmtId="14" fontId="9" fillId="0" borderId="0" xfId="5" applyNumberFormat="1" applyFont="1"/>
    <xf numFmtId="0" fontId="9" fillId="0" borderId="0" xfId="5" applyFont="1"/>
    <xf numFmtId="168" fontId="9" fillId="0" borderId="0" xfId="5" applyNumberFormat="1" applyFont="1" applyAlignment="1">
      <alignment horizontal="right"/>
    </xf>
    <xf numFmtId="168" fontId="6" fillId="0" borderId="0" xfId="5" applyNumberFormat="1" applyFont="1"/>
    <xf numFmtId="0" fontId="6" fillId="0" borderId="0" xfId="5" applyFont="1"/>
    <xf numFmtId="168" fontId="6" fillId="0" borderId="13" xfId="5" applyNumberFormat="1" applyFont="1" applyBorder="1"/>
    <xf numFmtId="0" fontId="15" fillId="0" borderId="0" xfId="5" applyFont="1"/>
    <xf numFmtId="4" fontId="16" fillId="0" borderId="0" xfId="5" applyNumberFormat="1" applyFont="1" applyAlignment="1">
      <alignment horizontal="left"/>
    </xf>
    <xf numFmtId="44" fontId="6" fillId="0" borderId="0" xfId="2" applyFont="1"/>
    <xf numFmtId="165" fontId="2" fillId="0" borderId="0" xfId="2" applyNumberFormat="1" applyFont="1"/>
    <xf numFmtId="165" fontId="6" fillId="0" borderId="0" xfId="2" applyNumberFormat="1" applyFont="1"/>
    <xf numFmtId="0" fontId="11" fillId="0" borderId="0" xfId="0" applyFont="1"/>
    <xf numFmtId="0" fontId="11" fillId="0" borderId="0" xfId="5" applyFont="1"/>
    <xf numFmtId="0" fontId="17" fillId="0" borderId="0" xfId="0" applyFont="1"/>
    <xf numFmtId="0" fontId="17" fillId="0" borderId="0" xfId="5" applyFont="1"/>
    <xf numFmtId="166" fontId="10" fillId="0" borderId="0" xfId="1" applyNumberFormat="1" applyFont="1" applyFill="1" applyAlignment="1">
      <alignment readingOrder="1"/>
    </xf>
    <xf numFmtId="166" fontId="10" fillId="0" borderId="0" xfId="1" applyNumberFormat="1" applyFont="1" applyFill="1"/>
    <xf numFmtId="3" fontId="10" fillId="0" borderId="0" xfId="4" applyNumberFormat="1" applyFont="1" applyFill="1"/>
    <xf numFmtId="165" fontId="9" fillId="0" borderId="14" xfId="2" applyNumberFormat="1" applyFont="1" applyFill="1" applyBorder="1"/>
    <xf numFmtId="165" fontId="10" fillId="0" borderId="6" xfId="0" applyNumberFormat="1" applyFont="1" applyFill="1" applyBorder="1"/>
    <xf numFmtId="0" fontId="2" fillId="0" borderId="0" xfId="0" applyFont="1" applyAlignment="1">
      <alignment wrapText="1"/>
    </xf>
    <xf numFmtId="10" fontId="6" fillId="0" borderId="0" xfId="5" applyNumberFormat="1" applyFont="1" applyFill="1"/>
    <xf numFmtId="10" fontId="6" fillId="0" borderId="6" xfId="3" applyNumberFormat="1" applyFont="1" applyFill="1" applyBorder="1"/>
    <xf numFmtId="164" fontId="12" fillId="0" borderId="0" xfId="2" applyNumberFormat="1" applyFont="1" applyFill="1" applyBorder="1"/>
    <xf numFmtId="164" fontId="12" fillId="0" borderId="8" xfId="2" applyNumberFormat="1" applyFont="1" applyFill="1" applyBorder="1"/>
    <xf numFmtId="0" fontId="18" fillId="0" borderId="0" xfId="0" applyFont="1" applyFill="1" applyAlignment="1">
      <alignment horizontal="center"/>
    </xf>
    <xf numFmtId="0" fontId="12" fillId="0" borderId="0" xfId="0" applyFont="1" applyFill="1" applyBorder="1"/>
    <xf numFmtId="0" fontId="12" fillId="0" borderId="14" xfId="0" applyFont="1" applyFill="1" applyBorder="1" applyAlignment="1">
      <alignment wrapText="1"/>
    </xf>
    <xf numFmtId="171" fontId="14" fillId="0" borderId="14" xfId="3" applyNumberFormat="1" applyFont="1" applyFill="1" applyBorder="1"/>
    <xf numFmtId="172" fontId="12" fillId="0" borderId="14" xfId="3" applyNumberFormat="1" applyFont="1" applyFill="1" applyBorder="1"/>
    <xf numFmtId="0" fontId="13" fillId="0" borderId="0" xfId="0" applyFont="1" applyFill="1"/>
    <xf numFmtId="0" fontId="12" fillId="0" borderId="0" xfId="0" applyFont="1" applyFill="1" applyAlignment="1">
      <alignment horizontal="right"/>
    </xf>
    <xf numFmtId="164" fontId="12" fillId="0" borderId="0" xfId="2" applyNumberFormat="1" applyFont="1" applyFill="1" applyAlignment="1">
      <alignment horizontal="right"/>
    </xf>
    <xf numFmtId="0" fontId="19" fillId="0" borderId="0" xfId="0" applyFont="1" applyFill="1"/>
    <xf numFmtId="173" fontId="12" fillId="0" borderId="0" xfId="2" applyNumberFormat="1" applyFont="1" applyFill="1"/>
    <xf numFmtId="44" fontId="12" fillId="0" borderId="0" xfId="2" applyFont="1" applyFill="1"/>
    <xf numFmtId="0" fontId="20" fillId="0" borderId="0" xfId="0" applyFont="1" applyFill="1"/>
    <xf numFmtId="165" fontId="12" fillId="0" borderId="0" xfId="2" applyNumberFormat="1" applyFont="1" applyFill="1"/>
    <xf numFmtId="166" fontId="10" fillId="0" borderId="0" xfId="1" applyNumberFormat="1" applyFont="1"/>
    <xf numFmtId="0" fontId="12" fillId="0" borderId="8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10" xfId="0" applyFont="1" applyBorder="1"/>
    <xf numFmtId="0" fontId="6" fillId="0" borderId="3" xfId="4" applyFont="1" applyFill="1" applyBorder="1" applyAlignment="1">
      <alignment horizontal="center"/>
    </xf>
    <xf numFmtId="0" fontId="12" fillId="0" borderId="8" xfId="0" applyNumberFormat="1" applyFont="1" applyFill="1" applyBorder="1"/>
    <xf numFmtId="0" fontId="12" fillId="0" borderId="0" xfId="0" applyFont="1" applyFill="1" applyBorder="1" applyAlignment="1">
      <alignment horizontal="center"/>
    </xf>
    <xf numFmtId="0" fontId="18" fillId="0" borderId="0" xfId="0" applyFont="1" applyFill="1"/>
    <xf numFmtId="0" fontId="2" fillId="0" borderId="2" xfId="0" applyFont="1" applyBorder="1"/>
    <xf numFmtId="0" fontId="6" fillId="0" borderId="8" xfId="0" applyFont="1" applyFill="1" applyBorder="1"/>
    <xf numFmtId="169" fontId="2" fillId="0" borderId="9" xfId="3" applyNumberFormat="1" applyFont="1" applyBorder="1"/>
    <xf numFmtId="169" fontId="2" fillId="0" borderId="0" xfId="3" applyNumberFormat="1" applyFont="1" applyBorder="1"/>
    <xf numFmtId="0" fontId="6" fillId="0" borderId="0" xfId="4" applyFont="1" applyFill="1" applyBorder="1" applyAlignment="1">
      <alignment horizontal="center"/>
    </xf>
    <xf numFmtId="0" fontId="2" fillId="0" borderId="1" xfId="0" applyFont="1" applyBorder="1"/>
    <xf numFmtId="0" fontId="6" fillId="0" borderId="0" xfId="4" applyFont="1" applyFill="1" applyBorder="1" applyAlignment="1">
      <alignment horizontal="center" vertical="center"/>
    </xf>
    <xf numFmtId="169" fontId="2" fillId="0" borderId="11" xfId="3" applyNumberFormat="1" applyFont="1" applyBorder="1"/>
    <xf numFmtId="164" fontId="12" fillId="0" borderId="8" xfId="0" applyNumberFormat="1" applyFont="1" applyFill="1" applyBorder="1"/>
    <xf numFmtId="0" fontId="6" fillId="0" borderId="1" xfId="4" applyFont="1" applyFill="1" applyBorder="1" applyAlignment="1">
      <alignment horizontal="center"/>
    </xf>
    <xf numFmtId="0" fontId="6" fillId="0" borderId="5" xfId="4" applyFont="1" applyFill="1" applyBorder="1" applyAlignment="1">
      <alignment horizontal="center"/>
    </xf>
    <xf numFmtId="0" fontId="21" fillId="2" borderId="10" xfId="0" applyFont="1" applyFill="1" applyBorder="1"/>
    <xf numFmtId="0" fontId="21" fillId="0" borderId="1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0" xfId="0" applyFont="1"/>
    <xf numFmtId="0" fontId="21" fillId="0" borderId="2" xfId="0" applyFont="1" applyBorder="1" applyAlignment="1">
      <alignment horizontal="center" vertical="center"/>
    </xf>
    <xf numFmtId="0" fontId="23" fillId="0" borderId="0" xfId="0" applyFont="1"/>
    <xf numFmtId="16" fontId="21" fillId="0" borderId="5" xfId="0" quotePrefix="1" applyNumberFormat="1" applyFont="1" applyBorder="1" applyAlignment="1">
      <alignment horizontal="center"/>
    </xf>
    <xf numFmtId="0" fontId="21" fillId="0" borderId="0" xfId="0" applyFont="1" applyBorder="1"/>
    <xf numFmtId="169" fontId="21" fillId="0" borderId="7" xfId="0" applyNumberFormat="1" applyFont="1" applyBorder="1"/>
    <xf numFmtId="0" fontId="21" fillId="0" borderId="5" xfId="0" quotePrefix="1" applyFont="1" applyBorder="1" applyAlignment="1">
      <alignment horizontal="center"/>
    </xf>
    <xf numFmtId="0" fontId="21" fillId="0" borderId="10" xfId="0" applyFont="1" applyBorder="1"/>
    <xf numFmtId="0" fontId="22" fillId="0" borderId="8" xfId="0" applyFont="1" applyBorder="1"/>
    <xf numFmtId="169" fontId="22" fillId="0" borderId="11" xfId="0" applyNumberFormat="1" applyFont="1" applyBorder="1"/>
    <xf numFmtId="0" fontId="24" fillId="0" borderId="1" xfId="0" applyFont="1" applyBorder="1"/>
    <xf numFmtId="0" fontId="23" fillId="0" borderId="4" xfId="0" applyFont="1" applyBorder="1"/>
    <xf numFmtId="0" fontId="25" fillId="0" borderId="5" xfId="0" applyFont="1" applyBorder="1"/>
    <xf numFmtId="165" fontId="25" fillId="0" borderId="7" xfId="2" applyNumberFormat="1" applyFont="1" applyBorder="1"/>
    <xf numFmtId="169" fontId="25" fillId="0" borderId="7" xfId="3" applyNumberFormat="1" applyFont="1" applyBorder="1"/>
    <xf numFmtId="0" fontId="25" fillId="0" borderId="7" xfId="0" applyFont="1" applyBorder="1"/>
    <xf numFmtId="0" fontId="26" fillId="0" borderId="5" xfId="0" applyFont="1" applyBorder="1"/>
    <xf numFmtId="44" fontId="25" fillId="0" borderId="7" xfId="2" applyFont="1" applyBorder="1"/>
    <xf numFmtId="44" fontId="25" fillId="0" borderId="7" xfId="0" applyNumberFormat="1" applyFont="1" applyFill="1" applyBorder="1"/>
    <xf numFmtId="0" fontId="25" fillId="0" borderId="10" xfId="0" applyFont="1" applyBorder="1"/>
    <xf numFmtId="44" fontId="25" fillId="0" borderId="11" xfId="0" applyNumberFormat="1" applyFont="1" applyBorder="1"/>
    <xf numFmtId="0" fontId="25" fillId="0" borderId="0" xfId="0" applyFont="1"/>
    <xf numFmtId="164" fontId="25" fillId="2" borderId="7" xfId="2" applyNumberFormat="1" applyFont="1" applyFill="1" applyBorder="1"/>
    <xf numFmtId="0" fontId="21" fillId="2" borderId="14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/>
    </xf>
    <xf numFmtId="0" fontId="21" fillId="2" borderId="14" xfId="0" applyFont="1" applyFill="1" applyBorder="1"/>
    <xf numFmtId="0" fontId="22" fillId="2" borderId="14" xfId="0" applyFont="1" applyFill="1" applyBorder="1"/>
    <xf numFmtId="169" fontId="22" fillId="2" borderId="14" xfId="0" applyNumberFormat="1" applyFont="1" applyFill="1" applyBorder="1"/>
    <xf numFmtId="16" fontId="21" fillId="2" borderId="6" xfId="0" quotePrefix="1" applyNumberFormat="1" applyFont="1" applyFill="1" applyBorder="1" applyAlignment="1">
      <alignment horizontal="center"/>
    </xf>
    <xf numFmtId="0" fontId="21" fillId="2" borderId="6" xfId="0" quotePrefix="1" applyFont="1" applyFill="1" applyBorder="1" applyAlignment="1">
      <alignment horizontal="center"/>
    </xf>
    <xf numFmtId="0" fontId="21" fillId="2" borderId="6" xfId="0" applyFont="1" applyFill="1" applyBorder="1"/>
    <xf numFmtId="169" fontId="21" fillId="2" borderId="6" xfId="0" applyNumberFormat="1" applyFont="1" applyFill="1" applyBorder="1"/>
    <xf numFmtId="164" fontId="25" fillId="2" borderId="17" xfId="2" applyNumberFormat="1" applyFont="1" applyFill="1" applyBorder="1"/>
    <xf numFmtId="0" fontId="21" fillId="2" borderId="17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21" fillId="2" borderId="5" xfId="0" applyFont="1" applyFill="1" applyBorder="1"/>
    <xf numFmtId="44" fontId="21" fillId="2" borderId="7" xfId="2" applyFont="1" applyFill="1" applyBorder="1"/>
    <xf numFmtId="165" fontId="21" fillId="2" borderId="7" xfId="2" applyNumberFormat="1" applyFont="1" applyFill="1" applyBorder="1"/>
    <xf numFmtId="165" fontId="21" fillId="2" borderId="11" xfId="2" applyNumberFormat="1" applyFont="1" applyFill="1" applyBorder="1"/>
    <xf numFmtId="44" fontId="21" fillId="2" borderId="6" xfId="2" applyFont="1" applyFill="1" applyBorder="1"/>
    <xf numFmtId="165" fontId="21" fillId="2" borderId="6" xfId="2" applyNumberFormat="1" applyFont="1" applyFill="1" applyBorder="1"/>
    <xf numFmtId="165" fontId="21" fillId="2" borderId="9" xfId="2" applyNumberFormat="1" applyFont="1" applyFill="1" applyBorder="1"/>
    <xf numFmtId="174" fontId="21" fillId="2" borderId="6" xfId="2" applyNumberFormat="1" applyFont="1" applyFill="1" applyBorder="1"/>
    <xf numFmtId="0" fontId="28" fillId="0" borderId="0" xfId="0" applyFont="1"/>
    <xf numFmtId="164" fontId="6" fillId="0" borderId="3" xfId="2" applyNumberFormat="1" applyFont="1" applyBorder="1"/>
    <xf numFmtId="165" fontId="21" fillId="0" borderId="6" xfId="2" applyNumberFormat="1" applyFont="1" applyFill="1" applyBorder="1"/>
    <xf numFmtId="165" fontId="21" fillId="0" borderId="9" xfId="2" applyNumberFormat="1" applyFont="1" applyFill="1" applyBorder="1"/>
    <xf numFmtId="0" fontId="25" fillId="0" borderId="0" xfId="0" applyFont="1" applyFill="1" applyBorder="1"/>
    <xf numFmtId="0" fontId="28" fillId="0" borderId="0" xfId="0" applyFont="1" applyFill="1" applyBorder="1"/>
    <xf numFmtId="0" fontId="23" fillId="0" borderId="0" xfId="0" applyFont="1" applyFill="1" applyBorder="1"/>
    <xf numFmtId="0" fontId="25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5" fillId="0" borderId="0" xfId="0" quotePrefix="1" applyFont="1" applyFill="1" applyBorder="1" applyAlignment="1">
      <alignment horizontal="center"/>
    </xf>
    <xf numFmtId="169" fontId="25" fillId="0" borderId="0" xfId="3" applyNumberFormat="1" applyFont="1" applyFill="1" applyBorder="1"/>
    <xf numFmtId="0" fontId="27" fillId="0" borderId="0" xfId="0" applyFont="1" applyFill="1" applyBorder="1"/>
    <xf numFmtId="44" fontId="27" fillId="0" borderId="0" xfId="2" applyFont="1" applyFill="1" applyBorder="1"/>
    <xf numFmtId="174" fontId="27" fillId="0" borderId="0" xfId="2" applyNumberFormat="1" applyFont="1" applyFill="1" applyBorder="1"/>
    <xf numFmtId="165" fontId="27" fillId="0" borderId="0" xfId="2" applyNumberFormat="1" applyFont="1" applyFill="1" applyBorder="1"/>
    <xf numFmtId="0" fontId="25" fillId="0" borderId="0" xfId="0" applyFont="1" applyFill="1" applyBorder="1" applyAlignment="1">
      <alignment horizontal="center"/>
    </xf>
    <xf numFmtId="0" fontId="21" fillId="0" borderId="0" xfId="0" applyFont="1" applyFill="1" applyBorder="1"/>
    <xf numFmtId="0" fontId="22" fillId="0" borderId="0" xfId="0" applyFont="1" applyFill="1" applyBorder="1"/>
    <xf numFmtId="169" fontId="22" fillId="0" borderId="0" xfId="0" applyNumberFormat="1" applyFont="1" applyFill="1" applyBorder="1"/>
    <xf numFmtId="168" fontId="2" fillId="0" borderId="0" xfId="0" applyNumberFormat="1" applyFont="1" applyFill="1"/>
    <xf numFmtId="168" fontId="9" fillId="0" borderId="0" xfId="5" applyNumberFormat="1" applyFont="1" applyFill="1"/>
    <xf numFmtId="168" fontId="16" fillId="0" borderId="16" xfId="5" applyNumberFormat="1" applyFont="1" applyFill="1" applyBorder="1"/>
    <xf numFmtId="164" fontId="29" fillId="0" borderId="0" xfId="2" applyNumberFormat="1" applyFont="1" applyFill="1"/>
    <xf numFmtId="0" fontId="12" fillId="0" borderId="0" xfId="0" applyFont="1" applyFill="1" applyAlignment="1">
      <alignment vertical="center"/>
    </xf>
    <xf numFmtId="0" fontId="30" fillId="0" borderId="0" xfId="0" applyFont="1"/>
    <xf numFmtId="0" fontId="31" fillId="0" borderId="0" xfId="0" applyFont="1"/>
    <xf numFmtId="164" fontId="12" fillId="3" borderId="0" xfId="2" applyNumberFormat="1" applyFont="1" applyFill="1"/>
    <xf numFmtId="3" fontId="0" fillId="0" borderId="0" xfId="0" applyNumberFormat="1"/>
    <xf numFmtId="0" fontId="32" fillId="0" borderId="0" xfId="0" applyFont="1"/>
    <xf numFmtId="165" fontId="9" fillId="0" borderId="6" xfId="2" applyNumberFormat="1" applyFont="1" applyFill="1" applyBorder="1"/>
    <xf numFmtId="10" fontId="6" fillId="3" borderId="6" xfId="3" applyNumberFormat="1" applyFont="1" applyFill="1" applyBorder="1"/>
    <xf numFmtId="164" fontId="6" fillId="0" borderId="3" xfId="2" applyNumberFormat="1" applyFont="1" applyFill="1" applyBorder="1"/>
    <xf numFmtId="164" fontId="6" fillId="0" borderId="4" xfId="2" applyNumberFormat="1" applyFont="1" applyFill="1" applyBorder="1"/>
    <xf numFmtId="44" fontId="23" fillId="0" borderId="0" xfId="0" applyNumberFormat="1" applyFont="1"/>
    <xf numFmtId="169" fontId="23" fillId="0" borderId="0" xfId="3" applyNumberFormat="1" applyFont="1"/>
    <xf numFmtId="0" fontId="12" fillId="0" borderId="0" xfId="0" applyFont="1" applyFill="1" applyAlignment="1">
      <alignment horizontal="left" vertical="top" wrapText="1"/>
    </xf>
  </cellXfs>
  <cellStyles count="7">
    <cellStyle name="Comma" xfId="1" builtinId="3"/>
    <cellStyle name="Currency" xfId="2" builtinId="4"/>
    <cellStyle name="Normal" xfId="0" builtinId="0"/>
    <cellStyle name="Normal 16" xfId="5" xr:uid="{00000000-0005-0000-0000-000003000000}"/>
    <cellStyle name="Normal 2" xfId="4" xr:uid="{00000000-0005-0000-0000-000004000000}"/>
    <cellStyle name="Normal 24" xfId="6" xr:uid="{00000000-0005-0000-0000-000005000000}"/>
    <cellStyle name="Percent" xfId="3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25</xdr:row>
      <xdr:rowOff>0</xdr:rowOff>
    </xdr:from>
    <xdr:to>
      <xdr:col>15</xdr:col>
      <xdr:colOff>640571</xdr:colOff>
      <xdr:row>40</xdr:row>
      <xdr:rowOff>3640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1BF45A5-642E-4654-AC8B-1E70BDE9CF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1725" y="4210050"/>
          <a:ext cx="5669771" cy="24325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WP%20CBR/WWP%202016-12%20CBR/Uncollectible%20Expenses%20Transaction%20Amount%20-%20J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WP%20CBR/WWP%202016-12%20CBR/ConvFactor-12.31.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16"/>
      <sheetName val="Macro1"/>
    </sheetNames>
    <sheetDataSet>
      <sheetData sheetId="0" refreshError="1"/>
      <sheetData sheetId="1" refreshError="1"/>
      <sheetData sheetId="2">
        <row r="85">
          <cell r="A85" t="str">
            <v>Recover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 WA Elec"/>
      <sheetName val="CF WA Gas"/>
      <sheetName val="CF ID Elec"/>
      <sheetName val="CF ID Gas"/>
      <sheetName val="C-UE-1"/>
      <sheetName val="C-UE-2"/>
      <sheetName val="2016 Transaction Details"/>
      <sheetName val="Shared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AVISTA UTILITIES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7"/>
  <sheetViews>
    <sheetView tabSelected="1" zoomScaleNormal="100" workbookViewId="0">
      <selection activeCell="E43" sqref="E43"/>
    </sheetView>
  </sheetViews>
  <sheetFormatPr defaultColWidth="9.140625" defaultRowHeight="15" x14ac:dyDescent="0.25"/>
  <cols>
    <col min="1" max="1" width="5.5703125" style="1" customWidth="1"/>
    <col min="2" max="2" width="39.28515625" style="1" customWidth="1"/>
    <col min="3" max="3" width="19.7109375" style="1" customWidth="1"/>
    <col min="4" max="6" width="17" style="1" customWidth="1"/>
    <col min="7" max="7" width="17.85546875" style="1" bestFit="1" customWidth="1"/>
    <col min="8" max="9" width="17" style="1" customWidth="1"/>
    <col min="10" max="10" width="4.85546875" style="1" customWidth="1"/>
    <col min="11" max="11" width="9.140625" style="1"/>
    <col min="12" max="12" width="9.7109375" style="1" bestFit="1" customWidth="1"/>
    <col min="13" max="13" width="26.7109375" style="1" customWidth="1"/>
    <col min="14" max="14" width="30" style="1" customWidth="1"/>
    <col min="15" max="15" width="15.5703125" style="1" customWidth="1"/>
    <col min="16" max="16" width="13.140625" style="1" customWidth="1"/>
    <col min="17" max="16384" width="9.140625" style="1"/>
  </cols>
  <sheetData>
    <row r="1" spans="1:13" ht="18.75" x14ac:dyDescent="0.3">
      <c r="C1" s="185" t="s">
        <v>157</v>
      </c>
      <c r="D1" s="2"/>
    </row>
    <row r="2" spans="1:13" ht="21" x14ac:dyDescent="0.35">
      <c r="A2" s="186" t="s">
        <v>134</v>
      </c>
      <c r="C2" s="2"/>
      <c r="D2" s="2"/>
    </row>
    <row r="3" spans="1:13" x14ac:dyDescent="0.25">
      <c r="C3" s="2"/>
      <c r="D3" s="2"/>
    </row>
    <row r="5" spans="1:13" x14ac:dyDescent="0.25">
      <c r="A5" s="3"/>
      <c r="B5" s="4"/>
      <c r="C5" s="5"/>
      <c r="D5" s="5"/>
      <c r="E5" s="5"/>
      <c r="F5" s="5"/>
      <c r="G5" s="5"/>
      <c r="H5" s="5"/>
      <c r="I5" s="5"/>
      <c r="J5" s="7"/>
    </row>
    <row r="6" spans="1:13" x14ac:dyDescent="0.25">
      <c r="A6" s="6"/>
      <c r="B6" s="7"/>
      <c r="C6" s="8" t="s">
        <v>1</v>
      </c>
      <c r="D6" s="8" t="s">
        <v>2</v>
      </c>
      <c r="E6" s="8" t="s">
        <v>3</v>
      </c>
      <c r="F6" s="8" t="s">
        <v>4</v>
      </c>
      <c r="G6" s="8" t="s">
        <v>5</v>
      </c>
      <c r="H6" s="8" t="s">
        <v>6</v>
      </c>
      <c r="I6" s="8" t="s">
        <v>7</v>
      </c>
      <c r="J6" s="7"/>
    </row>
    <row r="7" spans="1:13" x14ac:dyDescent="0.25">
      <c r="A7" s="6"/>
      <c r="B7" s="9" t="s">
        <v>8</v>
      </c>
      <c r="C7" s="10" t="s">
        <v>9</v>
      </c>
      <c r="D7" s="10" t="s">
        <v>81</v>
      </c>
      <c r="E7" s="10" t="s">
        <v>10</v>
      </c>
      <c r="F7" s="10" t="s">
        <v>11</v>
      </c>
      <c r="G7" s="10" t="s">
        <v>161</v>
      </c>
      <c r="H7" s="10" t="s">
        <v>13</v>
      </c>
      <c r="I7" s="10" t="s">
        <v>14</v>
      </c>
      <c r="J7" s="107"/>
    </row>
    <row r="8" spans="1:13" ht="30" x14ac:dyDescent="0.25">
      <c r="A8" s="11" t="s">
        <v>15</v>
      </c>
      <c r="B8" s="12" t="s">
        <v>16</v>
      </c>
      <c r="C8" s="13" t="s">
        <v>17</v>
      </c>
      <c r="D8" s="13" t="s">
        <v>18</v>
      </c>
      <c r="E8" s="13" t="s">
        <v>19</v>
      </c>
      <c r="F8" s="13" t="s">
        <v>20</v>
      </c>
      <c r="G8" s="13" t="s">
        <v>21</v>
      </c>
      <c r="H8" s="13" t="s">
        <v>22</v>
      </c>
      <c r="I8" s="13" t="s">
        <v>23</v>
      </c>
      <c r="J8" s="107"/>
    </row>
    <row r="9" spans="1:13" x14ac:dyDescent="0.25">
      <c r="A9" s="14">
        <v>1</v>
      </c>
      <c r="B9" s="15" t="s">
        <v>24</v>
      </c>
      <c r="C9" s="8"/>
      <c r="D9" s="8"/>
      <c r="E9" s="8"/>
      <c r="F9" s="8"/>
      <c r="G9" s="8"/>
      <c r="H9" s="8"/>
      <c r="I9" s="8"/>
      <c r="J9" s="107"/>
      <c r="M9" s="1">
        <v>0</v>
      </c>
    </row>
    <row r="10" spans="1:13" ht="15.75" thickBot="1" x14ac:dyDescent="0.3">
      <c r="A10" s="14">
        <f>A9+1</f>
        <v>2</v>
      </c>
      <c r="B10" s="7" t="s">
        <v>25</v>
      </c>
      <c r="C10" s="16">
        <f>SUM(D10:I10)</f>
        <v>1.000000000163366</v>
      </c>
      <c r="D10" s="77">
        <v>0.44502079821027724</v>
      </c>
      <c r="E10" s="77">
        <v>0.11302726434932626</v>
      </c>
      <c r="F10" s="77">
        <v>0.23126829205880595</v>
      </c>
      <c r="G10" s="77">
        <f>0.0988175271598525+0.079770736</f>
        <v>0.17858826315985249</v>
      </c>
      <c r="H10" s="77">
        <v>2.9072115954172154E-2</v>
      </c>
      <c r="I10" s="77">
        <v>3.0232664309319053E-3</v>
      </c>
      <c r="J10" s="25" t="s">
        <v>26</v>
      </c>
    </row>
    <row r="11" spans="1:13" ht="15.75" thickBot="1" x14ac:dyDescent="0.3">
      <c r="A11" s="14">
        <f t="shared" ref="A11:A24" si="0">A10+1</f>
        <v>3</v>
      </c>
      <c r="B11" s="7" t="s">
        <v>155</v>
      </c>
      <c r="C11" s="17">
        <v>34593056.06718795</v>
      </c>
      <c r="D11" s="40">
        <f>$C$11*D10</f>
        <v>15394629.423552856</v>
      </c>
      <c r="E11" s="40">
        <f t="shared" ref="E11:I11" si="1">$C$11*E10</f>
        <v>3909958.4927571174</v>
      </c>
      <c r="F11" s="40">
        <f t="shared" si="1"/>
        <v>8000276.9937530719</v>
      </c>
      <c r="G11" s="40">
        <f t="shared" si="1"/>
        <v>6177913.8004304934</v>
      </c>
      <c r="H11" s="40">
        <f t="shared" si="1"/>
        <v>1005693.3371944666</v>
      </c>
      <c r="I11" s="40">
        <f t="shared" si="1"/>
        <v>104584.0251512746</v>
      </c>
      <c r="J11" s="7"/>
    </row>
    <row r="12" spans="1:13" x14ac:dyDescent="0.25">
      <c r="A12" s="14">
        <f t="shared" si="0"/>
        <v>4</v>
      </c>
      <c r="B12" s="7" t="s">
        <v>154</v>
      </c>
      <c r="C12" s="18">
        <f>SUM(D12:I12)</f>
        <v>5715151463.2161045</v>
      </c>
      <c r="D12" s="18">
        <f>'kWh Forecast'!AP19</f>
        <v>2561193754.4489975</v>
      </c>
      <c r="E12" s="18">
        <f>'kWh Forecast'!AP20</f>
        <v>663842363.50310946</v>
      </c>
      <c r="F12" s="18">
        <f>'kWh Forecast'!AP21</f>
        <v>1262891161.9327435</v>
      </c>
      <c r="G12" s="18">
        <f>'kWh Forecast'!AP22</f>
        <v>1064522732</v>
      </c>
      <c r="H12" s="18">
        <f>'kWh Forecast'!AP23</f>
        <v>147147965.34465411</v>
      </c>
      <c r="I12" s="18">
        <f>'kWh Forecast'!AP24</f>
        <v>15553485.986600136</v>
      </c>
      <c r="J12" s="25" t="s">
        <v>27</v>
      </c>
    </row>
    <row r="13" spans="1:13" x14ac:dyDescent="0.25">
      <c r="A13" s="14">
        <f t="shared" si="0"/>
        <v>5</v>
      </c>
      <c r="B13" s="7" t="s">
        <v>28</v>
      </c>
      <c r="C13" s="19"/>
      <c r="D13" s="73">
        <f>D11/D12</f>
        <v>6.0107242557542392E-3</v>
      </c>
      <c r="E13" s="73">
        <f t="shared" ref="E13:I13" si="2">E11/E12</f>
        <v>5.8898899915398413E-3</v>
      </c>
      <c r="F13" s="73">
        <f t="shared" si="2"/>
        <v>6.334890317475461E-3</v>
      </c>
      <c r="G13" s="73">
        <f t="shared" si="2"/>
        <v>5.803458784598781E-3</v>
      </c>
      <c r="H13" s="73">
        <f t="shared" si="2"/>
        <v>6.8345718191814842E-3</v>
      </c>
      <c r="I13" s="73">
        <f t="shared" si="2"/>
        <v>6.7241533660928063E-3</v>
      </c>
      <c r="J13" s="7"/>
    </row>
    <row r="14" spans="1:13" hidden="1" x14ac:dyDescent="0.25">
      <c r="A14" s="14"/>
      <c r="B14" s="7"/>
      <c r="C14" s="6"/>
      <c r="D14" s="190"/>
      <c r="E14" s="190"/>
      <c r="F14" s="190"/>
      <c r="G14" s="190"/>
      <c r="H14" s="190"/>
      <c r="I14" s="190"/>
      <c r="J14" s="7"/>
    </row>
    <row r="15" spans="1:13" hidden="1" x14ac:dyDescent="0.25">
      <c r="A15" s="14"/>
      <c r="B15" s="15" t="s">
        <v>24</v>
      </c>
      <c r="C15" s="8"/>
      <c r="D15" s="8"/>
      <c r="E15" s="8"/>
      <c r="F15" s="8"/>
      <c r="G15" s="8"/>
      <c r="H15" s="8"/>
      <c r="I15" s="8"/>
      <c r="J15" s="7"/>
    </row>
    <row r="16" spans="1:13" ht="15.75" hidden="1" thickBot="1" x14ac:dyDescent="0.3">
      <c r="A16" s="14"/>
      <c r="B16" s="7" t="s">
        <v>25</v>
      </c>
      <c r="C16" s="16">
        <f>SUM(D16:I16)</f>
        <v>1.000000000163366</v>
      </c>
      <c r="D16" s="191">
        <v>0.44502079821027724</v>
      </c>
      <c r="E16" s="191">
        <v>0.11302726434932626</v>
      </c>
      <c r="F16" s="191">
        <v>0.23126829205880595</v>
      </c>
      <c r="G16" s="191">
        <f>0.0988175271598525+0.079770736</f>
        <v>0.17858826315985249</v>
      </c>
      <c r="H16" s="191">
        <v>2.9072115954172154E-2</v>
      </c>
      <c r="I16" s="191">
        <v>3.0232664309319053E-3</v>
      </c>
      <c r="J16" s="7"/>
    </row>
    <row r="17" spans="1:11" ht="15.75" hidden="1" thickBot="1" x14ac:dyDescent="0.3">
      <c r="A17" s="14"/>
      <c r="B17" s="7" t="s">
        <v>156</v>
      </c>
      <c r="C17" s="17">
        <v>0</v>
      </c>
      <c r="D17" s="40">
        <f>$C$17*D16</f>
        <v>0</v>
      </c>
      <c r="E17" s="40">
        <f t="shared" ref="E17:I17" si="3">$C$17*E16</f>
        <v>0</v>
      </c>
      <c r="F17" s="40">
        <f t="shared" si="3"/>
        <v>0</v>
      </c>
      <c r="G17" s="40">
        <f t="shared" si="3"/>
        <v>0</v>
      </c>
      <c r="H17" s="40">
        <f t="shared" si="3"/>
        <v>0</v>
      </c>
      <c r="I17" s="40">
        <f t="shared" si="3"/>
        <v>0</v>
      </c>
      <c r="J17" s="7"/>
    </row>
    <row r="18" spans="1:11" hidden="1" x14ac:dyDescent="0.25">
      <c r="A18" s="14"/>
      <c r="B18" s="7" t="s">
        <v>154</v>
      </c>
      <c r="C18" s="18">
        <f>SUM(D18:I18)</f>
        <v>5715151463.2161045</v>
      </c>
      <c r="D18" s="18">
        <f>D12</f>
        <v>2561193754.4489975</v>
      </c>
      <c r="E18" s="18">
        <f t="shared" ref="E18:I18" si="4">E12</f>
        <v>663842363.50310946</v>
      </c>
      <c r="F18" s="18">
        <f t="shared" si="4"/>
        <v>1262891161.9327435</v>
      </c>
      <c r="G18" s="18">
        <f t="shared" si="4"/>
        <v>1064522732</v>
      </c>
      <c r="H18" s="18">
        <f t="shared" si="4"/>
        <v>147147965.34465411</v>
      </c>
      <c r="I18" s="18">
        <f t="shared" si="4"/>
        <v>15553485.986600136</v>
      </c>
      <c r="J18" s="7"/>
    </row>
    <row r="19" spans="1:11" hidden="1" x14ac:dyDescent="0.25">
      <c r="A19" s="14"/>
      <c r="B19" s="7" t="s">
        <v>28</v>
      </c>
      <c r="C19" s="19"/>
      <c r="D19" s="73">
        <f>D17/D18</f>
        <v>0</v>
      </c>
      <c r="E19" s="73">
        <f t="shared" ref="E19:I19" si="5">E17/E18</f>
        <v>0</v>
      </c>
      <c r="F19" s="73">
        <f t="shared" si="5"/>
        <v>0</v>
      </c>
      <c r="G19" s="73">
        <f t="shared" si="5"/>
        <v>0</v>
      </c>
      <c r="H19" s="73">
        <f t="shared" si="5"/>
        <v>0</v>
      </c>
      <c r="I19" s="73">
        <f t="shared" si="5"/>
        <v>0</v>
      </c>
      <c r="J19" s="7"/>
    </row>
    <row r="20" spans="1:11" x14ac:dyDescent="0.25">
      <c r="A20" s="14">
        <f>A13+1</f>
        <v>6</v>
      </c>
      <c r="B20" s="20"/>
      <c r="C20" s="6"/>
      <c r="D20" s="19"/>
      <c r="E20" s="19"/>
      <c r="F20" s="19"/>
      <c r="G20" s="19"/>
      <c r="H20" s="19"/>
      <c r="I20" s="19"/>
      <c r="J20" s="7"/>
    </row>
    <row r="21" spans="1:11" x14ac:dyDescent="0.25">
      <c r="A21" s="14">
        <f t="shared" si="0"/>
        <v>7</v>
      </c>
      <c r="B21" s="20" t="s">
        <v>29</v>
      </c>
      <c r="C21" s="6"/>
      <c r="D21" s="21">
        <f>D13+D19</f>
        <v>6.0107242557542392E-3</v>
      </c>
      <c r="E21" s="21">
        <f t="shared" ref="E21:I21" si="6">E13+E19</f>
        <v>5.8898899915398413E-3</v>
      </c>
      <c r="F21" s="21">
        <f t="shared" si="6"/>
        <v>6.334890317475461E-3</v>
      </c>
      <c r="G21" s="21">
        <f t="shared" si="6"/>
        <v>5.803458784598781E-3</v>
      </c>
      <c r="H21" s="21">
        <f t="shared" si="6"/>
        <v>6.8345718191814842E-3</v>
      </c>
      <c r="I21" s="21">
        <f t="shared" si="6"/>
        <v>6.7241533660928063E-3</v>
      </c>
      <c r="J21" s="7"/>
    </row>
    <row r="22" spans="1:11" x14ac:dyDescent="0.25">
      <c r="A22" s="14">
        <f t="shared" si="0"/>
        <v>8</v>
      </c>
      <c r="B22" s="20" t="s">
        <v>30</v>
      </c>
      <c r="C22" s="6"/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"/>
    </row>
    <row r="23" spans="1:11" x14ac:dyDescent="0.25">
      <c r="A23" s="14">
        <f t="shared" si="0"/>
        <v>9</v>
      </c>
      <c r="B23" s="20" t="s">
        <v>31</v>
      </c>
      <c r="C23" s="6"/>
      <c r="D23" s="21">
        <f t="shared" ref="D23:I23" si="7">D21-D22</f>
        <v>6.0107242557542392E-3</v>
      </c>
      <c r="E23" s="21">
        <f t="shared" si="7"/>
        <v>5.8898899915398413E-3</v>
      </c>
      <c r="F23" s="21">
        <f t="shared" si="7"/>
        <v>6.334890317475461E-3</v>
      </c>
      <c r="G23" s="21">
        <f t="shared" si="7"/>
        <v>5.803458784598781E-3</v>
      </c>
      <c r="H23" s="21">
        <f t="shared" si="7"/>
        <v>6.8345718191814842E-3</v>
      </c>
      <c r="I23" s="21">
        <f t="shared" si="7"/>
        <v>6.7241533660928063E-3</v>
      </c>
      <c r="J23" s="7"/>
    </row>
    <row r="24" spans="1:11" x14ac:dyDescent="0.25">
      <c r="A24" s="38">
        <f t="shared" si="0"/>
        <v>10</v>
      </c>
      <c r="B24" s="39" t="s">
        <v>32</v>
      </c>
      <c r="C24" s="22">
        <f>SUM(D24:I24)</f>
        <v>34593056.072839282</v>
      </c>
      <c r="D24" s="23">
        <f>D23*D12</f>
        <v>15394629.423552856</v>
      </c>
      <c r="E24" s="23">
        <f t="shared" ref="E24:I24" si="8">E23*E12</f>
        <v>3909958.4927571174</v>
      </c>
      <c r="F24" s="23">
        <f t="shared" si="8"/>
        <v>8000276.9937530719</v>
      </c>
      <c r="G24" s="23">
        <f t="shared" si="8"/>
        <v>6177913.8004304934</v>
      </c>
      <c r="H24" s="23">
        <f t="shared" si="8"/>
        <v>1005693.3371944666</v>
      </c>
      <c r="I24" s="23">
        <f t="shared" si="8"/>
        <v>104584.0251512746</v>
      </c>
      <c r="J24" s="7"/>
    </row>
    <row r="25" spans="1:11" x14ac:dyDescent="0.25">
      <c r="A25" s="14"/>
      <c r="B25" s="20"/>
      <c r="C25" s="20"/>
      <c r="D25" s="20"/>
      <c r="E25" s="20"/>
      <c r="F25" s="20"/>
      <c r="G25" s="20"/>
      <c r="H25" s="20"/>
      <c r="I25" s="20"/>
      <c r="J25" s="7"/>
    </row>
    <row r="26" spans="1:11" x14ac:dyDescent="0.25">
      <c r="A26" s="14"/>
      <c r="B26" s="20"/>
      <c r="C26" s="20"/>
      <c r="D26" s="20"/>
      <c r="E26" s="20"/>
      <c r="F26" s="20"/>
      <c r="G26" s="20"/>
      <c r="H26" s="20"/>
      <c r="I26" s="20"/>
      <c r="J26" s="20"/>
    </row>
    <row r="27" spans="1:11" x14ac:dyDescent="0.25">
      <c r="A27" s="96" t="s">
        <v>122</v>
      </c>
      <c r="B27" s="103"/>
      <c r="C27" s="112" t="s">
        <v>1</v>
      </c>
      <c r="D27" s="99" t="s">
        <v>2</v>
      </c>
      <c r="E27" s="99" t="s">
        <v>3</v>
      </c>
      <c r="F27" s="99" t="s">
        <v>4</v>
      </c>
      <c r="G27" s="99" t="s">
        <v>5</v>
      </c>
      <c r="H27" s="99" t="s">
        <v>6</v>
      </c>
      <c r="I27" s="99" t="s">
        <v>7</v>
      </c>
      <c r="J27" s="20"/>
    </row>
    <row r="28" spans="1:11" x14ac:dyDescent="0.25">
      <c r="A28" s="14" t="s">
        <v>123</v>
      </c>
      <c r="B28" s="109" t="s">
        <v>8</v>
      </c>
      <c r="C28" s="113" t="s">
        <v>9</v>
      </c>
      <c r="D28" s="8" t="s">
        <v>81</v>
      </c>
      <c r="E28" s="8" t="s">
        <v>10</v>
      </c>
      <c r="F28" s="8" t="s">
        <v>11</v>
      </c>
      <c r="G28" s="8" t="s">
        <v>12</v>
      </c>
      <c r="H28" s="8" t="s">
        <v>13</v>
      </c>
      <c r="I28" s="8" t="s">
        <v>14</v>
      </c>
      <c r="J28" s="20"/>
    </row>
    <row r="29" spans="1:11" x14ac:dyDescent="0.25">
      <c r="A29" s="108">
        <f>A24+1</f>
        <v>11</v>
      </c>
      <c r="B29" s="4" t="s">
        <v>132</v>
      </c>
      <c r="C29" s="161">
        <f>SUM(D29:I29)</f>
        <v>577145000</v>
      </c>
      <c r="D29" s="192">
        <v>257489000</v>
      </c>
      <c r="E29" s="192">
        <v>91803000</v>
      </c>
      <c r="F29" s="192">
        <v>138061000</v>
      </c>
      <c r="G29" s="192">
        <v>68056000</v>
      </c>
      <c r="H29" s="192">
        <v>14275000</v>
      </c>
      <c r="I29" s="193">
        <v>7461000</v>
      </c>
      <c r="J29" s="20"/>
    </row>
    <row r="30" spans="1:11" x14ac:dyDescent="0.25">
      <c r="A30" s="98">
        <f>A29+1</f>
        <v>12</v>
      </c>
      <c r="B30" s="104" t="s">
        <v>159</v>
      </c>
      <c r="C30" s="105">
        <f>C24/C29</f>
        <v>5.9938240949569489E-2</v>
      </c>
      <c r="D30" s="105">
        <f>D24/D29</f>
        <v>5.9787522665251162E-2</v>
      </c>
      <c r="E30" s="105">
        <f t="shared" ref="E30:I30" si="9">E24/E29</f>
        <v>4.2590748589448245E-2</v>
      </c>
      <c r="F30" s="105">
        <f t="shared" si="9"/>
        <v>5.7947407260218832E-2</v>
      </c>
      <c r="G30" s="105">
        <f>G24/G29</f>
        <v>9.0776916075445122E-2</v>
      </c>
      <c r="H30" s="105">
        <f t="shared" si="9"/>
        <v>7.0451372132712201E-2</v>
      </c>
      <c r="I30" s="110">
        <f t="shared" si="9"/>
        <v>1.4017427308842595E-2</v>
      </c>
      <c r="J30" s="20"/>
    </row>
    <row r="31" spans="1:11" x14ac:dyDescent="0.25">
      <c r="A31" s="108">
        <v>13</v>
      </c>
      <c r="B31" s="4" t="s">
        <v>158</v>
      </c>
      <c r="C31" s="161">
        <f>SUM('Forecast Balance'!B32/'Forecast Balance'!B34)</f>
        <v>34593056.072839282</v>
      </c>
      <c r="D31" s="161">
        <f>D11+D17</f>
        <v>15394629.423552856</v>
      </c>
      <c r="E31" s="161">
        <f t="shared" ref="E31:I31" si="10">E11+E17</f>
        <v>3909958.4927571174</v>
      </c>
      <c r="F31" s="161">
        <f t="shared" si="10"/>
        <v>8000276.9937530719</v>
      </c>
      <c r="G31" s="161">
        <f t="shared" si="10"/>
        <v>6177913.8004304934</v>
      </c>
      <c r="H31" s="161">
        <f t="shared" si="10"/>
        <v>1005693.3371944666</v>
      </c>
      <c r="I31" s="161">
        <f t="shared" si="10"/>
        <v>104584.0251512746</v>
      </c>
      <c r="J31" s="20"/>
      <c r="K31" s="35"/>
    </row>
    <row r="32" spans="1:11" x14ac:dyDescent="0.25">
      <c r="A32" s="98">
        <v>14</v>
      </c>
      <c r="B32" s="104" t="s">
        <v>159</v>
      </c>
      <c r="C32" s="105">
        <f>C31/C29</f>
        <v>5.9938240949569489E-2</v>
      </c>
      <c r="D32" s="105">
        <f>D31/D29</f>
        <v>5.9787522665251162E-2</v>
      </c>
      <c r="E32" s="105">
        <f t="shared" ref="E32:I32" si="11">E31/E29</f>
        <v>4.2590748589448245E-2</v>
      </c>
      <c r="F32" s="105">
        <f t="shared" si="11"/>
        <v>5.7947407260218832E-2</v>
      </c>
      <c r="G32" s="105">
        <f t="shared" si="11"/>
        <v>9.0776916075445122E-2</v>
      </c>
      <c r="H32" s="105">
        <f t="shared" si="11"/>
        <v>7.0451372132712201E-2</v>
      </c>
      <c r="I32" s="110">
        <f t="shared" si="11"/>
        <v>1.4017427308842595E-2</v>
      </c>
      <c r="J32" s="97"/>
    </row>
    <row r="33" spans="1:10" x14ac:dyDescent="0.25">
      <c r="A33" s="97"/>
      <c r="B33" s="7"/>
      <c r="C33" s="106"/>
      <c r="D33" s="106"/>
      <c r="E33" s="106"/>
      <c r="F33" s="106"/>
      <c r="G33" s="106"/>
      <c r="H33" s="106"/>
      <c r="I33" s="106"/>
      <c r="J33" s="97"/>
    </row>
    <row r="34" spans="1:10" x14ac:dyDescent="0.25">
      <c r="A34" s="97"/>
      <c r="B34" s="7"/>
      <c r="C34" s="106"/>
      <c r="D34" s="106"/>
      <c r="E34" s="106"/>
      <c r="F34" s="106"/>
      <c r="G34" s="106"/>
      <c r="H34" s="106"/>
      <c r="I34" s="106"/>
      <c r="J34" s="97"/>
    </row>
    <row r="35" spans="1:10" x14ac:dyDescent="0.25">
      <c r="A35" s="25" t="s">
        <v>26</v>
      </c>
      <c r="B35" s="7" t="s">
        <v>137</v>
      </c>
      <c r="C35" s="37"/>
    </row>
    <row r="36" spans="1:10" x14ac:dyDescent="0.25">
      <c r="A36" s="25"/>
      <c r="B36" s="7" t="s">
        <v>80</v>
      </c>
      <c r="C36" s="37"/>
      <c r="G36" s="68"/>
    </row>
    <row r="37" spans="1:10" x14ac:dyDescent="0.25">
      <c r="A37" s="25" t="s">
        <v>27</v>
      </c>
      <c r="B37" s="7" t="s">
        <v>162</v>
      </c>
      <c r="C37" s="37"/>
      <c r="G37" s="26"/>
    </row>
  </sheetData>
  <pageMargins left="0.7" right="0.7" top="0.75" bottom="0.75" header="0.3" footer="0.3"/>
  <pageSetup scale="72" orientation="landscape" r:id="rId1"/>
  <headerFooter>
    <oddHeader>&amp;LAvista
&amp;F</oddHeader>
    <oddFooter>&amp;L&amp;F&amp;RPage: &amp;P of &amp;N</oddFooter>
  </headerFooter>
  <customProperties>
    <customPr name="xxe4aPID" r:id="rId2"/>
  </customProperties>
  <ignoredErrors>
    <ignoredError sqref="A35 A37 J10 J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47"/>
  <sheetViews>
    <sheetView zoomScaleNormal="100" workbookViewId="0">
      <selection activeCell="B12" sqref="B12"/>
    </sheetView>
  </sheetViews>
  <sheetFormatPr defaultColWidth="9.140625" defaultRowHeight="12.75" x14ac:dyDescent="0.2"/>
  <cols>
    <col min="1" max="1" width="41.85546875" style="44" bestFit="1" customWidth="1"/>
    <col min="2" max="2" width="15.140625" style="44" bestFit="1" customWidth="1"/>
    <col min="3" max="3" width="13.85546875" style="44" customWidth="1"/>
    <col min="4" max="4" width="13.140625" style="44" customWidth="1"/>
    <col min="5" max="8" width="12.5703125" style="44" bestFit="1" customWidth="1"/>
    <col min="9" max="9" width="15.5703125" style="44" customWidth="1"/>
    <col min="10" max="19" width="12.5703125" style="44" bestFit="1" customWidth="1"/>
    <col min="20" max="20" width="12.28515625" style="44" customWidth="1"/>
    <col min="21" max="21" width="3" style="44" customWidth="1"/>
    <col min="22" max="22" width="12.5703125" style="44" bestFit="1" customWidth="1"/>
    <col min="23" max="23" width="14.85546875" style="44" customWidth="1"/>
    <col min="24" max="25" width="12.5703125" style="44" bestFit="1" customWidth="1"/>
    <col min="26" max="16384" width="9.140625" style="44"/>
  </cols>
  <sheetData>
    <row r="1" spans="1:25" x14ac:dyDescent="0.2">
      <c r="A1" s="44" t="s">
        <v>126</v>
      </c>
    </row>
    <row r="2" spans="1:25" x14ac:dyDescent="0.2">
      <c r="A2" s="44" t="s">
        <v>127</v>
      </c>
    </row>
    <row r="3" spans="1:25" x14ac:dyDescent="0.2">
      <c r="A3" s="102" t="s">
        <v>160</v>
      </c>
    </row>
    <row r="5" spans="1:25" s="95" customFormat="1" x14ac:dyDescent="0.2">
      <c r="B5" s="95">
        <v>2022</v>
      </c>
      <c r="C5" s="95">
        <v>2023</v>
      </c>
      <c r="D5" s="95">
        <v>2023</v>
      </c>
      <c r="E5" s="95">
        <v>2023</v>
      </c>
      <c r="F5" s="95">
        <v>2023</v>
      </c>
      <c r="G5" s="95">
        <v>2023</v>
      </c>
      <c r="H5" s="101">
        <v>2023</v>
      </c>
      <c r="I5" s="80" t="s">
        <v>64</v>
      </c>
      <c r="J5" s="95">
        <v>2023</v>
      </c>
      <c r="K5" s="95">
        <v>2023</v>
      </c>
      <c r="L5" s="95">
        <v>2023</v>
      </c>
      <c r="M5" s="95">
        <v>2023</v>
      </c>
      <c r="N5" s="80">
        <v>2023</v>
      </c>
      <c r="O5" s="80" t="s">
        <v>64</v>
      </c>
      <c r="P5" s="95">
        <v>2024</v>
      </c>
      <c r="Q5" s="95">
        <v>2024</v>
      </c>
      <c r="R5" s="95">
        <v>2024</v>
      </c>
      <c r="S5" s="95">
        <v>2024</v>
      </c>
      <c r="T5" s="95">
        <v>2024</v>
      </c>
    </row>
    <row r="6" spans="1:25" s="95" customFormat="1" x14ac:dyDescent="0.2">
      <c r="A6" s="94"/>
      <c r="B6" s="94" t="s">
        <v>52</v>
      </c>
      <c r="C6" s="94" t="s">
        <v>53</v>
      </c>
      <c r="D6" s="94" t="s">
        <v>115</v>
      </c>
      <c r="E6" s="94" t="s">
        <v>114</v>
      </c>
      <c r="F6" s="94" t="s">
        <v>113</v>
      </c>
      <c r="G6" s="94" t="s">
        <v>107</v>
      </c>
      <c r="H6" s="94" t="s">
        <v>108</v>
      </c>
      <c r="I6" s="94" t="s">
        <v>106</v>
      </c>
      <c r="J6" s="94" t="s">
        <v>121</v>
      </c>
      <c r="K6" s="94" t="s">
        <v>120</v>
      </c>
      <c r="L6" s="94" t="s">
        <v>119</v>
      </c>
      <c r="M6" s="94" t="s">
        <v>118</v>
      </c>
      <c r="N6" s="94" t="s">
        <v>117</v>
      </c>
      <c r="O6" s="94" t="s">
        <v>116</v>
      </c>
      <c r="P6" s="94" t="s">
        <v>115</v>
      </c>
      <c r="Q6" s="94" t="s">
        <v>114</v>
      </c>
      <c r="R6" s="94" t="s">
        <v>113</v>
      </c>
      <c r="S6" s="94" t="s">
        <v>107</v>
      </c>
      <c r="T6" s="94" t="s">
        <v>108</v>
      </c>
      <c r="V6" s="94"/>
      <c r="W6" s="94"/>
      <c r="X6" s="94"/>
      <c r="Y6" s="94" t="s">
        <v>0</v>
      </c>
    </row>
    <row r="7" spans="1:25" x14ac:dyDescent="0.2">
      <c r="A7" s="44" t="s">
        <v>104</v>
      </c>
      <c r="B7" s="79">
        <v>0</v>
      </c>
      <c r="C7" s="79">
        <v>0</v>
      </c>
      <c r="D7" s="79">
        <v>0</v>
      </c>
      <c r="E7" s="79">
        <v>0</v>
      </c>
      <c r="F7" s="79">
        <v>0</v>
      </c>
      <c r="G7" s="79">
        <v>0</v>
      </c>
      <c r="H7" s="79">
        <v>0</v>
      </c>
      <c r="I7" s="79">
        <f>'Forecasted Revenue'!J43</f>
        <v>2804934.0731131951</v>
      </c>
      <c r="J7" s="79">
        <f>'Forecasted Revenue'!K43</f>
        <v>2906384.1356440135</v>
      </c>
      <c r="K7" s="79">
        <f>'Forecasted Revenue'!L43</f>
        <v>2423864.1210571071</v>
      </c>
      <c r="L7" s="79">
        <f>'Forecasted Revenue'!M43</f>
        <v>2548015.8179139337</v>
      </c>
      <c r="M7" s="79">
        <f>'Forecasted Revenue'!N43</f>
        <v>2816709.0704750381</v>
      </c>
      <c r="N7" s="79">
        <f>'Forecasted Revenue'!O43</f>
        <v>3225698.4999933611</v>
      </c>
      <c r="O7" s="79">
        <f>'Forecasted Revenue'!P43</f>
        <v>3262441.965610038</v>
      </c>
      <c r="P7" s="79">
        <f>'Forecasted Revenue'!Q43</f>
        <v>2929303.6345394342</v>
      </c>
      <c r="Q7" s="79">
        <f>'Forecasted Revenue'!R43</f>
        <v>2762752.1880815132</v>
      </c>
      <c r="R7" s="79">
        <f>'Forecasted Revenue'!S43</f>
        <v>2473991.3207007675</v>
      </c>
      <c r="S7" s="79">
        <f>'Forecasted Revenue'!T43</f>
        <v>2417558.5975547037</v>
      </c>
      <c r="T7" s="79">
        <f>'Forecasted Revenue'!U43</f>
        <v>2501679.5910675926</v>
      </c>
      <c r="U7" s="43"/>
      <c r="V7" s="79">
        <f>SUM(I7:T7)</f>
        <v>33073333.015750699</v>
      </c>
      <c r="W7" s="79"/>
      <c r="X7" s="79"/>
      <c r="Y7" s="79">
        <f>SUM(V7:X7)</f>
        <v>33073333.015750699</v>
      </c>
    </row>
    <row r="8" spans="1:25" x14ac:dyDescent="0.2">
      <c r="A8" s="44" t="s">
        <v>63</v>
      </c>
      <c r="B8" s="41">
        <v>0</v>
      </c>
      <c r="C8" s="41">
        <f>B12</f>
        <v>-31864265</v>
      </c>
      <c r="D8" s="41">
        <f>C8+D7</f>
        <v>-31864265</v>
      </c>
      <c r="E8" s="41">
        <f t="shared" ref="E8:H8" si="0">D8+E7</f>
        <v>-31864265</v>
      </c>
      <c r="F8" s="41">
        <f t="shared" si="0"/>
        <v>-31864265</v>
      </c>
      <c r="G8" s="41">
        <f t="shared" si="0"/>
        <v>-31864265</v>
      </c>
      <c r="H8" s="41">
        <f t="shared" si="0"/>
        <v>-31864265</v>
      </c>
      <c r="I8" s="41">
        <f t="shared" ref="I8" si="1">H12+I7</f>
        <v>-29662218.7528193</v>
      </c>
      <c r="J8" s="41">
        <f t="shared" ref="J8" si="2">I12+J7</f>
        <v>-26853794.515088268</v>
      </c>
      <c r="K8" s="41">
        <f t="shared" ref="K8" si="3">J12+K7</f>
        <v>-24518885.208930075</v>
      </c>
      <c r="L8" s="41">
        <f t="shared" ref="L8" si="4">K12+L7</f>
        <v>-22051728.867444724</v>
      </c>
      <c r="M8" s="41">
        <f t="shared" ref="M8" si="5">L12+M7</f>
        <v>-19308320.580462042</v>
      </c>
      <c r="N8" s="41">
        <f t="shared" ref="N8" si="6">M12+N7</f>
        <v>-16147719.241144102</v>
      </c>
      <c r="O8" s="41">
        <f t="shared" ref="O8" si="7">N12+O7</f>
        <v>-12941078.469752077</v>
      </c>
      <c r="P8" s="41">
        <f t="shared" ref="P8" si="8">O12+P7</f>
        <v>-10057727.367177993</v>
      </c>
      <c r="Q8" s="41">
        <f t="shared" ref="Q8" si="9">P12+Q7</f>
        <v>-7331165.1341761956</v>
      </c>
      <c r="R8" s="41">
        <f t="shared" ref="R8" si="10">Q12+R7</f>
        <v>-4884533.9641859941</v>
      </c>
      <c r="S8" s="41">
        <f>R12+S7</f>
        <v>-2486192.8222195436</v>
      </c>
      <c r="T8" s="41">
        <f>S12+T7</f>
        <v>3895.5828235712834</v>
      </c>
      <c r="V8" s="41"/>
      <c r="W8" s="41"/>
      <c r="X8" s="41"/>
      <c r="Y8" s="41"/>
    </row>
    <row r="9" spans="1:25" x14ac:dyDescent="0.2">
      <c r="A9" s="44" t="s">
        <v>62</v>
      </c>
      <c r="B9" s="78">
        <v>0</v>
      </c>
      <c r="C9" s="78">
        <f>(B12+(0.5*C7))*$D$25</f>
        <v>-100481.30432208334</v>
      </c>
      <c r="D9" s="78">
        <f>(C8+(0.5*D7))*$D$25</f>
        <v>-100481.30432208334</v>
      </c>
      <c r="E9" s="78">
        <f t="shared" ref="E9:H9" si="11">(D8+(0.5*E7))*$D$25</f>
        <v>-100481.30432208334</v>
      </c>
      <c r="F9" s="78">
        <f t="shared" si="11"/>
        <v>-100481.30432208334</v>
      </c>
      <c r="G9" s="78">
        <f t="shared" si="11"/>
        <v>-100481.30432208334</v>
      </c>
      <c r="H9" s="78">
        <f t="shared" si="11"/>
        <v>-100481.30432208334</v>
      </c>
      <c r="I9" s="78">
        <f>(H12+(0.5*I7))*$D$25</f>
        <v>-97959.89791298112</v>
      </c>
      <c r="J9" s="78">
        <f>(I8+(0.5*J7))*$D$25</f>
        <v>-88954.814898915225</v>
      </c>
      <c r="K9" s="78">
        <f t="shared" ref="K9:N9" si="12">(J8+(0.5*K7))*$D$25</f>
        <v>-80859.476428582842</v>
      </c>
      <c r="L9" s="78">
        <f t="shared" si="12"/>
        <v>-73300.783492356873</v>
      </c>
      <c r="M9" s="78">
        <f t="shared" si="12"/>
        <v>-65097.160675421066</v>
      </c>
      <c r="N9" s="78">
        <f t="shared" si="12"/>
        <v>-55801.194218011646</v>
      </c>
      <c r="O9" s="78">
        <f>(N12+(0.5*O7))*$D$25</f>
        <v>-45952.531965351089</v>
      </c>
      <c r="P9" s="78">
        <f>(O8+(0.5*P7))*$D$25</f>
        <v>-36189.955079715415</v>
      </c>
      <c r="Q9" s="78">
        <f t="shared" ref="Q9:T9" si="13">(P8+(0.5*Q7))*$D$25</f>
        <v>-27360.150710565515</v>
      </c>
      <c r="R9" s="78">
        <f t="shared" si="13"/>
        <v>-19217.455588253546</v>
      </c>
      <c r="S9" s="78">
        <f t="shared" si="13"/>
        <v>-11591.186024477369</v>
      </c>
      <c r="T9" s="78">
        <f t="shared" si="13"/>
        <v>-3895.5828235679473</v>
      </c>
      <c r="U9" s="42"/>
      <c r="V9" s="78">
        <f>SUM(I9:T9)</f>
        <v>-606180.18981819961</v>
      </c>
      <c r="W9" s="78"/>
      <c r="X9" s="78"/>
      <c r="Y9" s="78">
        <f>SUM(V9:X9)</f>
        <v>-606180.18981819961</v>
      </c>
    </row>
    <row r="10" spans="1:25" x14ac:dyDescent="0.2">
      <c r="A10" s="44" t="s">
        <v>139</v>
      </c>
      <c r="B10" s="78"/>
      <c r="C10" s="78">
        <v>0</v>
      </c>
      <c r="D10" s="78"/>
      <c r="E10" s="78"/>
      <c r="F10" s="78"/>
      <c r="G10" s="78"/>
      <c r="H10" s="78"/>
      <c r="J10" s="78"/>
      <c r="K10" s="78"/>
      <c r="L10" s="78"/>
      <c r="M10" s="78"/>
      <c r="N10" s="78"/>
      <c r="O10" s="78"/>
      <c r="P10" s="78"/>
      <c r="Q10" s="78">
        <f>-Q26</f>
        <v>0</v>
      </c>
      <c r="R10" s="78"/>
      <c r="S10" s="78"/>
      <c r="T10" s="78"/>
      <c r="U10" s="42"/>
      <c r="V10" s="78"/>
      <c r="W10" s="78"/>
      <c r="X10" s="78"/>
      <c r="Y10" s="78"/>
    </row>
    <row r="11" spans="1:25" x14ac:dyDescent="0.2"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111"/>
      <c r="V11" s="79"/>
      <c r="W11" s="79"/>
      <c r="X11" s="78"/>
      <c r="Y11" s="78"/>
    </row>
    <row r="12" spans="1:25" x14ac:dyDescent="0.2">
      <c r="A12" s="44" t="s">
        <v>105</v>
      </c>
      <c r="B12" s="41">
        <f>-38105837+4502576+767326+971670</f>
        <v>-31864265</v>
      </c>
      <c r="C12" s="41">
        <f>C8+C9</f>
        <v>-31964746.304322083</v>
      </c>
      <c r="D12" s="41">
        <f>C12+D9</f>
        <v>-32065227.608644165</v>
      </c>
      <c r="E12" s="41">
        <f t="shared" ref="E12:G12" si="14">D12+E9</f>
        <v>-32165708.912966248</v>
      </c>
      <c r="F12" s="41">
        <f t="shared" si="14"/>
        <v>-32266190.21728833</v>
      </c>
      <c r="G12" s="41">
        <f t="shared" si="14"/>
        <v>-32366671.521610413</v>
      </c>
      <c r="H12" s="78">
        <f>G12+H9</f>
        <v>-32467152.825932495</v>
      </c>
      <c r="I12" s="41">
        <f>H12+I9+I7+C10</f>
        <v>-29760178.650732283</v>
      </c>
      <c r="J12" s="41">
        <f t="shared" ref="J12:P12" si="15">I12+J9+J7</f>
        <v>-26942749.329987183</v>
      </c>
      <c r="K12" s="41">
        <f t="shared" si="15"/>
        <v>-24599744.685358658</v>
      </c>
      <c r="L12" s="41">
        <f t="shared" si="15"/>
        <v>-22125029.65093708</v>
      </c>
      <c r="M12" s="41">
        <f t="shared" si="15"/>
        <v>-19373417.741137464</v>
      </c>
      <c r="N12" s="41">
        <f t="shared" si="15"/>
        <v>-16203520.435362116</v>
      </c>
      <c r="O12" s="41">
        <f t="shared" si="15"/>
        <v>-12987031.001717428</v>
      </c>
      <c r="P12" s="41">
        <f t="shared" si="15"/>
        <v>-10093917.322257709</v>
      </c>
      <c r="Q12" s="41">
        <f>Q8+Q9</f>
        <v>-7358525.2848867616</v>
      </c>
      <c r="R12" s="41">
        <f>Q12+R9+R7</f>
        <v>-4903751.4197742473</v>
      </c>
      <c r="S12" s="41">
        <f t="shared" ref="S12" si="16">R12+S9+S7</f>
        <v>-2497784.0082440213</v>
      </c>
      <c r="T12" s="187">
        <f>S12+T9+T7</f>
        <v>0</v>
      </c>
      <c r="V12" s="43">
        <f>H12+V7+V9</f>
        <v>3.8417056202888489E-9</v>
      </c>
      <c r="W12" s="43">
        <f>V12+W7+W9</f>
        <v>3.8417056202888489E-9</v>
      </c>
      <c r="X12" s="43"/>
    </row>
    <row r="13" spans="1:25" x14ac:dyDescent="0.2">
      <c r="A13" s="81"/>
      <c r="B13" s="78"/>
      <c r="C13" s="78"/>
      <c r="D13" s="78"/>
      <c r="E13" s="78"/>
      <c r="F13" s="78"/>
      <c r="G13" s="78"/>
      <c r="H13" s="41"/>
      <c r="I13" s="41"/>
      <c r="J13" s="41"/>
      <c r="K13" s="41"/>
      <c r="L13" s="41"/>
      <c r="M13" s="41"/>
      <c r="N13" s="41"/>
      <c r="O13" s="41"/>
      <c r="P13" s="41"/>
      <c r="Q13" s="78"/>
      <c r="R13" s="81"/>
      <c r="S13" s="81"/>
    </row>
    <row r="14" spans="1:25" x14ac:dyDescent="0.2">
      <c r="A14" s="81"/>
      <c r="B14" s="78"/>
      <c r="C14" s="78"/>
      <c r="D14" s="78"/>
      <c r="E14" s="78"/>
      <c r="F14" s="78"/>
      <c r="G14" s="78"/>
      <c r="H14" s="41"/>
      <c r="I14" s="41"/>
      <c r="J14" s="41"/>
      <c r="K14" s="41"/>
      <c r="L14" s="41"/>
      <c r="M14" s="41"/>
      <c r="N14" s="41"/>
      <c r="O14" s="41"/>
      <c r="P14" s="41"/>
      <c r="Q14" s="78"/>
      <c r="R14" s="81"/>
      <c r="S14" s="81"/>
    </row>
    <row r="15" spans="1:25" s="95" customFormat="1" hidden="1" x14ac:dyDescent="0.2">
      <c r="B15" s="95">
        <v>2022</v>
      </c>
      <c r="C15" s="95">
        <v>2023</v>
      </c>
      <c r="D15" s="95">
        <v>2023</v>
      </c>
      <c r="E15" s="95">
        <v>2023</v>
      </c>
      <c r="F15" s="95">
        <v>2023</v>
      </c>
      <c r="G15" s="95">
        <v>2023</v>
      </c>
      <c r="H15" s="101">
        <v>2023</v>
      </c>
      <c r="I15" s="80" t="s">
        <v>64</v>
      </c>
      <c r="J15" s="95">
        <v>2023</v>
      </c>
      <c r="K15" s="95">
        <v>2023</v>
      </c>
      <c r="L15" s="95">
        <v>2023</v>
      </c>
      <c r="M15" s="95">
        <v>2023</v>
      </c>
      <c r="N15" s="80">
        <v>2023</v>
      </c>
      <c r="O15" s="80" t="s">
        <v>64</v>
      </c>
      <c r="P15" s="95">
        <v>2024</v>
      </c>
      <c r="Q15" s="95">
        <v>2024</v>
      </c>
      <c r="R15" s="95">
        <v>2024</v>
      </c>
      <c r="S15" s="95">
        <v>2024</v>
      </c>
      <c r="T15" s="95">
        <v>2024</v>
      </c>
    </row>
    <row r="16" spans="1:25" s="95" customFormat="1" hidden="1" x14ac:dyDescent="0.2">
      <c r="A16" s="94"/>
      <c r="B16" s="94" t="s">
        <v>52</v>
      </c>
      <c r="C16" s="94" t="s">
        <v>53</v>
      </c>
      <c r="D16" s="94" t="s">
        <v>115</v>
      </c>
      <c r="E16" s="94" t="s">
        <v>114</v>
      </c>
      <c r="F16" s="94" t="s">
        <v>113</v>
      </c>
      <c r="G16" s="94" t="s">
        <v>107</v>
      </c>
      <c r="H16" s="94" t="s">
        <v>108</v>
      </c>
      <c r="I16" s="94" t="s">
        <v>106</v>
      </c>
      <c r="J16" s="94" t="s">
        <v>121</v>
      </c>
      <c r="K16" s="94" t="s">
        <v>120</v>
      </c>
      <c r="L16" s="94" t="s">
        <v>119</v>
      </c>
      <c r="M16" s="94" t="s">
        <v>118</v>
      </c>
      <c r="N16" s="94" t="s">
        <v>117</v>
      </c>
      <c r="O16" s="94" t="s">
        <v>116</v>
      </c>
      <c r="P16" s="94" t="s">
        <v>115</v>
      </c>
      <c r="Q16" s="94" t="s">
        <v>114</v>
      </c>
      <c r="R16" s="94" t="s">
        <v>113</v>
      </c>
      <c r="S16" s="94" t="s">
        <v>107</v>
      </c>
      <c r="T16" s="94" t="s">
        <v>108</v>
      </c>
      <c r="V16" s="94"/>
      <c r="W16" s="94"/>
      <c r="X16" s="94"/>
      <c r="Y16" s="94" t="s">
        <v>0</v>
      </c>
    </row>
    <row r="17" spans="1:25" hidden="1" x14ac:dyDescent="0.2">
      <c r="A17" s="44" t="s">
        <v>104</v>
      </c>
      <c r="B17" s="79">
        <v>0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0</v>
      </c>
      <c r="I17" s="79">
        <f>'Forecasted Revenue 2'!J43</f>
        <v>0</v>
      </c>
      <c r="J17" s="79">
        <f>'Forecasted Revenue 2'!K43</f>
        <v>0</v>
      </c>
      <c r="K17" s="79">
        <f>'Forecasted Revenue 2'!L43</f>
        <v>0</v>
      </c>
      <c r="L17" s="79">
        <f>'Forecasted Revenue 2'!M43</f>
        <v>0</v>
      </c>
      <c r="M17" s="79">
        <f>'Forecasted Revenue 2'!N43</f>
        <v>0</v>
      </c>
      <c r="N17" s="79">
        <f>'Forecasted Revenue 2'!O43</f>
        <v>0</v>
      </c>
      <c r="O17" s="79">
        <f>'Forecasted Revenue 2'!P43</f>
        <v>0</v>
      </c>
      <c r="P17" s="79">
        <f>'Forecasted Revenue 2'!Q43</f>
        <v>0</v>
      </c>
      <c r="Q17" s="79">
        <f>'Forecasted Revenue 2'!R43</f>
        <v>0</v>
      </c>
      <c r="R17" s="79">
        <f>'Forecasted Revenue 2'!S43</f>
        <v>0</v>
      </c>
      <c r="S17" s="79">
        <f>'Forecasted Revenue 2'!T43</f>
        <v>0</v>
      </c>
      <c r="T17" s="79">
        <f>'Forecasted Revenue 2'!U43</f>
        <v>0</v>
      </c>
      <c r="U17" s="43"/>
      <c r="V17" s="79">
        <f>SUM(R17:T17)</f>
        <v>0</v>
      </c>
      <c r="W17" s="79"/>
      <c r="X17" s="79"/>
      <c r="Y17" s="79">
        <f>SUM(V17:X17)</f>
        <v>0</v>
      </c>
    </row>
    <row r="18" spans="1:25" hidden="1" x14ac:dyDescent="0.2">
      <c r="A18" s="44" t="s">
        <v>63</v>
      </c>
      <c r="B18" s="41">
        <v>0</v>
      </c>
      <c r="C18" s="41">
        <f>B22</f>
        <v>0</v>
      </c>
      <c r="D18" s="41">
        <f t="shared" ref="D18" si="17">C22+D17</f>
        <v>0</v>
      </c>
      <c r="E18" s="41">
        <f t="shared" ref="E18" si="18">D22+E17</f>
        <v>0</v>
      </c>
      <c r="F18" s="41">
        <f t="shared" ref="F18" si="19">E22+F17</f>
        <v>0</v>
      </c>
      <c r="G18" s="41">
        <f t="shared" ref="G18" si="20">F22+G17</f>
        <v>0</v>
      </c>
      <c r="H18" s="41">
        <f t="shared" ref="H18" si="21">G22+H17</f>
        <v>0</v>
      </c>
      <c r="I18" s="41">
        <f t="shared" ref="I18" si="22">H22+I17</f>
        <v>0</v>
      </c>
      <c r="J18" s="41">
        <f t="shared" ref="J18" si="23">I22+J17</f>
        <v>0</v>
      </c>
      <c r="K18" s="41">
        <f t="shared" ref="K18" si="24">J22+K17</f>
        <v>0</v>
      </c>
      <c r="L18" s="41">
        <f t="shared" ref="L18" si="25">K22+L17</f>
        <v>0</v>
      </c>
      <c r="M18" s="41">
        <f t="shared" ref="M18" si="26">L22+M17</f>
        <v>0</v>
      </c>
      <c r="N18" s="41">
        <f t="shared" ref="N18" si="27">M22+N17</f>
        <v>0</v>
      </c>
      <c r="O18" s="41">
        <f t="shared" ref="O18" si="28">N22+O17</f>
        <v>0</v>
      </c>
      <c r="P18" s="41">
        <f t="shared" ref="P18" si="29">O22+P17</f>
        <v>0</v>
      </c>
      <c r="Q18" s="41">
        <f t="shared" ref="Q18" si="30">P22+Q17</f>
        <v>0</v>
      </c>
      <c r="R18" s="41">
        <f t="shared" ref="R18" si="31">Q22+R17</f>
        <v>0</v>
      </c>
      <c r="S18" s="41">
        <f t="shared" ref="S18" si="32">R22+S17</f>
        <v>0</v>
      </c>
      <c r="T18" s="41">
        <f t="shared" ref="T18" si="33">S22+T17</f>
        <v>0</v>
      </c>
      <c r="V18" s="41"/>
      <c r="W18" s="41"/>
      <c r="X18" s="41"/>
      <c r="Y18" s="41"/>
    </row>
    <row r="19" spans="1:25" hidden="1" x14ac:dyDescent="0.2">
      <c r="A19" s="44" t="s">
        <v>62</v>
      </c>
      <c r="B19" s="78">
        <v>0</v>
      </c>
      <c r="C19" s="78">
        <f>(B22+(0.5*C17))*$D$25</f>
        <v>0</v>
      </c>
      <c r="D19" s="78">
        <f t="shared" ref="D19" si="34">(C22+(0.5*D17))*$D$25</f>
        <v>0</v>
      </c>
      <c r="E19" s="78">
        <f t="shared" ref="E19" si="35">(D22+(0.5*E17))*$D$25</f>
        <v>0</v>
      </c>
      <c r="F19" s="78">
        <f t="shared" ref="F19" si="36">(E22+(0.5*F17))*$D$25</f>
        <v>0</v>
      </c>
      <c r="G19" s="78">
        <f t="shared" ref="G19" si="37">(F22+(0.5*G17))*$D$25</f>
        <v>0</v>
      </c>
      <c r="H19" s="78">
        <f t="shared" ref="H19" si="38">(G22+(0.5*H17))*$D$25</f>
        <v>0</v>
      </c>
      <c r="I19" s="78">
        <f>(H22+(0.5*I17))*$D$25</f>
        <v>0</v>
      </c>
      <c r="J19" s="78">
        <f t="shared" ref="J19" si="39">(I22+(0.5*J17))*$D$25</f>
        <v>0</v>
      </c>
      <c r="K19" s="78">
        <f t="shared" ref="K19" si="40">(J22+(0.5*K17))*$D$25</f>
        <v>0</v>
      </c>
      <c r="L19" s="78">
        <f t="shared" ref="L19" si="41">(K22+(0.5*L17))*$D$25</f>
        <v>0</v>
      </c>
      <c r="M19" s="78">
        <f t="shared" ref="M19" si="42">(L22+(0.5*M17))*$D$25</f>
        <v>0</v>
      </c>
      <c r="N19" s="78">
        <f t="shared" ref="N19" si="43">(M22+(0.5*N17))*$D$25</f>
        <v>0</v>
      </c>
      <c r="O19" s="78">
        <f t="shared" ref="O19" si="44">(N22+(0.5*O17))*$D$25</f>
        <v>0</v>
      </c>
      <c r="P19" s="78">
        <f t="shared" ref="P19" si="45">(O22+(0.5*P17))*$D$25</f>
        <v>0</v>
      </c>
      <c r="Q19" s="78">
        <f t="shared" ref="Q19" si="46">(P22+(0.5*Q17))*$D$25</f>
        <v>0</v>
      </c>
      <c r="R19" s="78">
        <f t="shared" ref="R19" si="47">(Q22+(0.5*R17))*$D$25</f>
        <v>0</v>
      </c>
      <c r="S19" s="78">
        <f t="shared" ref="S19" si="48">(R22+(0.5*S17))*$D$25</f>
        <v>0</v>
      </c>
      <c r="T19" s="78">
        <f>(S18+(0.5*T17))*$D$25</f>
        <v>0</v>
      </c>
      <c r="U19" s="42"/>
      <c r="V19" s="78">
        <f>SUM(R19:T19)</f>
        <v>0</v>
      </c>
      <c r="W19" s="78"/>
      <c r="X19" s="78"/>
      <c r="Y19" s="78">
        <f>SUM(V19:X19)</f>
        <v>0</v>
      </c>
    </row>
    <row r="20" spans="1:25" hidden="1" x14ac:dyDescent="0.2">
      <c r="A20" s="44" t="s">
        <v>139</v>
      </c>
      <c r="B20" s="78"/>
      <c r="C20" s="78"/>
      <c r="D20" s="78"/>
      <c r="E20" s="78"/>
      <c r="F20" s="78"/>
      <c r="G20" s="78"/>
      <c r="H20" s="78"/>
      <c r="J20" s="78"/>
      <c r="K20" s="78"/>
      <c r="L20" s="78"/>
      <c r="M20" s="78"/>
      <c r="N20" s="78"/>
      <c r="O20" s="78"/>
      <c r="P20" s="78"/>
      <c r="Q20" s="78">
        <f>-Q36</f>
        <v>0</v>
      </c>
      <c r="R20" s="78"/>
      <c r="S20" s="78"/>
      <c r="T20" s="78"/>
      <c r="U20" s="42"/>
      <c r="V20" s="78"/>
      <c r="W20" s="78"/>
      <c r="X20" s="78"/>
      <c r="Y20" s="78"/>
    </row>
    <row r="21" spans="1:25" hidden="1" x14ac:dyDescent="0.2"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111"/>
      <c r="V21" s="79"/>
      <c r="W21" s="79"/>
      <c r="X21" s="78"/>
      <c r="Y21" s="78"/>
    </row>
    <row r="22" spans="1:25" hidden="1" x14ac:dyDescent="0.2">
      <c r="A22" s="44" t="s">
        <v>105</v>
      </c>
      <c r="B22" s="41">
        <v>0</v>
      </c>
      <c r="C22" s="41">
        <f>C18+C19</f>
        <v>0</v>
      </c>
      <c r="D22" s="41">
        <f>C22+D19</f>
        <v>0</v>
      </c>
      <c r="E22" s="41">
        <f t="shared" ref="E22" si="49">D22+E19</f>
        <v>0</v>
      </c>
      <c r="F22" s="41">
        <f t="shared" ref="F22" si="50">E22+F19</f>
        <v>0</v>
      </c>
      <c r="G22" s="41">
        <f t="shared" ref="G22" si="51">F22+G19</f>
        <v>0</v>
      </c>
      <c r="H22" s="78">
        <f>G22+H19</f>
        <v>0</v>
      </c>
      <c r="I22" s="41">
        <f>H22+I19+I17+C20</f>
        <v>0</v>
      </c>
      <c r="J22" s="41">
        <f t="shared" ref="J22:P22" si="52">I22+J19+J17</f>
        <v>0</v>
      </c>
      <c r="K22" s="41">
        <f t="shared" si="52"/>
        <v>0</v>
      </c>
      <c r="L22" s="41">
        <f t="shared" si="52"/>
        <v>0</v>
      </c>
      <c r="M22" s="41">
        <f t="shared" si="52"/>
        <v>0</v>
      </c>
      <c r="N22" s="41">
        <f t="shared" si="52"/>
        <v>0</v>
      </c>
      <c r="O22" s="41">
        <f t="shared" si="52"/>
        <v>0</v>
      </c>
      <c r="P22" s="41">
        <f t="shared" si="52"/>
        <v>0</v>
      </c>
      <c r="Q22" s="41">
        <f>Q18+Q19</f>
        <v>0</v>
      </c>
      <c r="R22" s="41">
        <f>Q22+R19+R17</f>
        <v>0</v>
      </c>
      <c r="S22" s="41">
        <f t="shared" ref="S22" si="53">R22+S19+S17</f>
        <v>0</v>
      </c>
      <c r="T22" s="187">
        <f>S22+T19+T17</f>
        <v>0</v>
      </c>
      <c r="V22" s="43">
        <f>H22+V17+V19</f>
        <v>0</v>
      </c>
      <c r="W22" s="43">
        <f>V22+W17+W19</f>
        <v>0</v>
      </c>
      <c r="X22" s="43"/>
    </row>
    <row r="23" spans="1:25" x14ac:dyDescent="0.2">
      <c r="A23" s="78"/>
      <c r="B23" s="78"/>
      <c r="C23" s="78"/>
      <c r="D23" s="78"/>
      <c r="E23" s="41"/>
      <c r="F23" s="41"/>
      <c r="G23" s="41"/>
      <c r="H23" s="41"/>
      <c r="L23" s="41"/>
      <c r="M23" s="41"/>
      <c r="N23" s="41"/>
      <c r="O23" s="41"/>
      <c r="P23" s="41"/>
      <c r="Q23" s="183"/>
      <c r="R23" s="184"/>
      <c r="S23" s="41"/>
    </row>
    <row r="24" spans="1:25" ht="25.5" x14ac:dyDescent="0.2">
      <c r="A24" s="82" t="s">
        <v>140</v>
      </c>
      <c r="B24" s="82" t="s">
        <v>101</v>
      </c>
      <c r="C24" s="82" t="s">
        <v>102</v>
      </c>
      <c r="D24" s="82" t="s">
        <v>103</v>
      </c>
      <c r="F24" s="41"/>
      <c r="G24" s="41"/>
      <c r="H24" s="41"/>
      <c r="L24" s="41"/>
      <c r="M24" s="41"/>
      <c r="N24" s="41"/>
      <c r="O24" s="41"/>
      <c r="P24" s="41"/>
      <c r="R24" s="196"/>
      <c r="S24" s="196"/>
      <c r="T24" s="196"/>
    </row>
    <row r="25" spans="1:25" x14ac:dyDescent="0.2">
      <c r="A25" s="83">
        <v>4.7899999999999998E-2</v>
      </c>
      <c r="B25" s="84">
        <f>A25/12</f>
        <v>3.9916666666666668E-3</v>
      </c>
      <c r="C25" s="83">
        <v>0.21</v>
      </c>
      <c r="D25" s="84">
        <f>B25*(1-C25)</f>
        <v>3.1534166666666668E-3</v>
      </c>
      <c r="E25" s="85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</row>
    <row r="26" spans="1:25" x14ac:dyDescent="0.2">
      <c r="A26" s="86"/>
      <c r="B26" s="41"/>
      <c r="L26" s="43"/>
      <c r="M26" s="43"/>
      <c r="N26" s="43"/>
      <c r="O26" s="43"/>
      <c r="P26" s="43"/>
      <c r="Q26" s="43"/>
    </row>
    <row r="27" spans="1:25" x14ac:dyDescent="0.2">
      <c r="A27" s="86"/>
      <c r="B27" s="41"/>
      <c r="M27" s="43"/>
    </row>
    <row r="28" spans="1:25" x14ac:dyDescent="0.2">
      <c r="A28" s="86"/>
      <c r="B28" s="41"/>
      <c r="C28" s="95" t="s">
        <v>133</v>
      </c>
    </row>
    <row r="29" spans="1:25" x14ac:dyDescent="0.2">
      <c r="A29" s="87" t="s">
        <v>138</v>
      </c>
      <c r="B29" s="41">
        <f>SUM(I7:T7)</f>
        <v>33073333.015750699</v>
      </c>
      <c r="C29" s="43">
        <f>B29/$B$34</f>
        <v>34593056.072839282</v>
      </c>
    </row>
    <row r="30" spans="1:25" x14ac:dyDescent="0.2">
      <c r="A30" s="87" t="s">
        <v>138</v>
      </c>
      <c r="B30" s="41">
        <f>SUM(I17:T17)</f>
        <v>0</v>
      </c>
      <c r="C30" s="43">
        <f>B30/$B$34</f>
        <v>0</v>
      </c>
    </row>
    <row r="31" spans="1:25" x14ac:dyDescent="0.2">
      <c r="A31" s="87"/>
      <c r="B31" s="79"/>
      <c r="C31" s="111"/>
    </row>
    <row r="32" spans="1:25" x14ac:dyDescent="0.2">
      <c r="A32" s="87"/>
      <c r="B32" s="41">
        <f>SUM(B29:B31)</f>
        <v>33073333.015750699</v>
      </c>
      <c r="C32" s="43">
        <f>SUM(C29:C31)</f>
        <v>34593056.072839282</v>
      </c>
    </row>
    <row r="33" spans="1:7" x14ac:dyDescent="0.2">
      <c r="A33" s="87"/>
      <c r="B33" s="42"/>
    </row>
    <row r="34" spans="1:7" x14ac:dyDescent="0.2">
      <c r="A34" s="86" t="s">
        <v>124</v>
      </c>
      <c r="B34" s="100">
        <f>'CF WA Elec'!E19</f>
        <v>0.9560685516223647</v>
      </c>
      <c r="G34" s="88"/>
    </row>
    <row r="35" spans="1:7" x14ac:dyDescent="0.2">
      <c r="A35" s="86" t="s">
        <v>125</v>
      </c>
      <c r="B35" s="43">
        <f>B32/B34</f>
        <v>34593056.072839282</v>
      </c>
    </row>
    <row r="38" spans="1:7" x14ac:dyDescent="0.2">
      <c r="B38" s="89"/>
    </row>
    <row r="43" spans="1:7" x14ac:dyDescent="0.2">
      <c r="C43" s="90"/>
    </row>
    <row r="44" spans="1:7" x14ac:dyDescent="0.2">
      <c r="C44" s="92"/>
    </row>
    <row r="45" spans="1:7" x14ac:dyDescent="0.2">
      <c r="C45" s="92"/>
    </row>
    <row r="47" spans="1:7" x14ac:dyDescent="0.2">
      <c r="B47" s="91"/>
    </row>
  </sheetData>
  <mergeCells count="1">
    <mergeCell ref="R24:T24"/>
  </mergeCells>
  <pageMargins left="0.7" right="0.7" top="0.75" bottom="0.75" header="0.3" footer="0.3"/>
  <pageSetup scale="35" orientation="landscape" r:id="rId1"/>
  <headerFooter>
    <oddFooter>&amp;L&amp;F&amp;RPage: &amp;P of &amp;N</oddFooter>
  </headerFooter>
  <customProperties>
    <customPr name="xxe4aP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9B943-F870-4B31-AB1B-50462D8189E8}">
  <sheetPr>
    <pageSetUpPr fitToPage="1"/>
  </sheetPr>
  <dimension ref="A1:AH47"/>
  <sheetViews>
    <sheetView topLeftCell="D1" zoomScaleNormal="100" workbookViewId="0">
      <selection activeCell="I29" sqref="I29"/>
    </sheetView>
  </sheetViews>
  <sheetFormatPr defaultColWidth="9.140625" defaultRowHeight="15" x14ac:dyDescent="0.25"/>
  <cols>
    <col min="1" max="1" width="5" style="1" customWidth="1"/>
    <col min="2" max="2" width="28" style="1" customWidth="1"/>
    <col min="3" max="3" width="11.28515625" style="1" customWidth="1"/>
    <col min="4" max="12" width="13.42578125" style="1" bestFit="1" customWidth="1"/>
    <col min="13" max="13" width="14.28515625" style="1" bestFit="1" customWidth="1"/>
    <col min="14" max="14" width="12.5703125" style="1" bestFit="1" customWidth="1"/>
    <col min="15" max="33" width="14.42578125" style="1" customWidth="1"/>
    <col min="34" max="34" width="15" style="1" customWidth="1"/>
    <col min="35" max="16384" width="9.140625" style="1"/>
  </cols>
  <sheetData>
    <row r="1" spans="1:34" x14ac:dyDescent="0.25">
      <c r="B1" s="44" t="s">
        <v>126</v>
      </c>
    </row>
    <row r="2" spans="1:34" x14ac:dyDescent="0.25">
      <c r="B2" s="44" t="s">
        <v>127</v>
      </c>
    </row>
    <row r="3" spans="1:34" x14ac:dyDescent="0.25">
      <c r="B3" s="102" t="s">
        <v>128</v>
      </c>
    </row>
    <row r="5" spans="1:34" x14ac:dyDescent="0.25">
      <c r="A5" s="27" t="s">
        <v>71</v>
      </c>
      <c r="B5" s="27"/>
    </row>
    <row r="8" spans="1:34" x14ac:dyDescent="0.25">
      <c r="A8" s="1" t="s">
        <v>54</v>
      </c>
      <c r="D8" s="28">
        <v>44927</v>
      </c>
      <c r="E8" s="28">
        <v>44958</v>
      </c>
      <c r="F8" s="28">
        <v>44986</v>
      </c>
      <c r="G8" s="28">
        <v>45017</v>
      </c>
      <c r="H8" s="28">
        <v>45047</v>
      </c>
      <c r="I8" s="28">
        <v>45078</v>
      </c>
      <c r="J8" s="28">
        <v>45108</v>
      </c>
      <c r="K8" s="28">
        <v>45139</v>
      </c>
      <c r="L8" s="28">
        <v>45170</v>
      </c>
      <c r="M8" s="28">
        <v>45200</v>
      </c>
      <c r="N8" s="28">
        <v>45231</v>
      </c>
      <c r="O8" s="28">
        <v>45261</v>
      </c>
      <c r="P8" s="28">
        <v>45292</v>
      </c>
      <c r="Q8" s="28">
        <v>45323</v>
      </c>
      <c r="R8" s="28">
        <v>45352</v>
      </c>
      <c r="S8" s="28">
        <v>45383</v>
      </c>
      <c r="T8" s="28">
        <v>45413</v>
      </c>
      <c r="U8" s="28">
        <v>45444</v>
      </c>
      <c r="V8" s="28">
        <v>45474</v>
      </c>
      <c r="W8" s="28">
        <v>45505</v>
      </c>
      <c r="X8" s="28">
        <v>45536</v>
      </c>
      <c r="Y8" s="28">
        <v>45566</v>
      </c>
      <c r="Z8" s="28">
        <v>45597</v>
      </c>
      <c r="AA8" s="28">
        <v>45627</v>
      </c>
      <c r="AB8" s="28">
        <v>45658</v>
      </c>
      <c r="AC8" s="28">
        <v>45689</v>
      </c>
      <c r="AD8" s="28">
        <v>45717</v>
      </c>
      <c r="AE8" s="28">
        <v>45748</v>
      </c>
      <c r="AF8" s="28">
        <v>45778</v>
      </c>
      <c r="AG8" s="28">
        <v>45809</v>
      </c>
      <c r="AH8" s="1" t="s">
        <v>112</v>
      </c>
    </row>
    <row r="9" spans="1:34" x14ac:dyDescent="0.25">
      <c r="B9" s="1" t="s">
        <v>83</v>
      </c>
      <c r="D9" s="29"/>
      <c r="E9" s="29"/>
      <c r="F9" s="29"/>
      <c r="G9" s="29"/>
      <c r="H9" s="29"/>
      <c r="I9" s="29"/>
      <c r="J9" s="29">
        <f>'kWh Forecast'!O19</f>
        <v>196453732.82550579</v>
      </c>
      <c r="K9" s="29">
        <f>'kWh Forecast'!P19</f>
        <v>209266297.60104942</v>
      </c>
      <c r="L9" s="29">
        <f>'kWh Forecast'!Q19</f>
        <v>155742734.78345945</v>
      </c>
      <c r="M9" s="29">
        <f>'kWh Forecast'!R19</f>
        <v>172836041.1291908</v>
      </c>
      <c r="N9" s="29">
        <f>'kWh Forecast'!S19</f>
        <v>230374929.5155212</v>
      </c>
      <c r="O9" s="29">
        <f>'kWh Forecast'!T19</f>
        <v>296917929.96332842</v>
      </c>
      <c r="P9" s="29">
        <f>'kWh Forecast'!U19</f>
        <v>302120264.33725601</v>
      </c>
      <c r="Q9" s="29">
        <f>'kWh Forecast'!V19</f>
        <v>255240200.66714668</v>
      </c>
      <c r="R9" s="29">
        <f>'kWh Forecast'!W19</f>
        <v>227481319.28180018</v>
      </c>
      <c r="S9" s="29">
        <f>'kWh Forecast'!X19</f>
        <v>185227052.39345241</v>
      </c>
      <c r="T9" s="29">
        <f>'kWh Forecast'!Y19</f>
        <v>166003779.48943084</v>
      </c>
      <c r="U9" s="29">
        <f>'kWh Forecast'!Z19</f>
        <v>163529472.4618564</v>
      </c>
      <c r="V9" s="29">
        <f>'kWh Forecast'!AA19</f>
        <v>0</v>
      </c>
      <c r="W9" s="29">
        <f>'kWh Forecast'!AB19</f>
        <v>0</v>
      </c>
      <c r="X9" s="29">
        <f>'kWh Forecast'!AC19</f>
        <v>0</v>
      </c>
      <c r="Y9" s="29">
        <f>'kWh Forecast'!AD19</f>
        <v>0</v>
      </c>
      <c r="Z9" s="29">
        <f>'kWh Forecast'!AE19</f>
        <v>0</v>
      </c>
      <c r="AA9" s="29">
        <f>'kWh Forecast'!AF19</f>
        <v>0</v>
      </c>
      <c r="AB9" s="29">
        <f>'kWh Forecast'!AG19</f>
        <v>0</v>
      </c>
      <c r="AC9" s="29">
        <f>'kWh Forecast'!AH19</f>
        <v>0</v>
      </c>
      <c r="AD9" s="29">
        <f>'kWh Forecast'!AI19</f>
        <v>0</v>
      </c>
      <c r="AE9" s="29">
        <f>'kWh Forecast'!AJ19</f>
        <v>0</v>
      </c>
      <c r="AF9" s="29">
        <f>'kWh Forecast'!AK19</f>
        <v>0</v>
      </c>
      <c r="AG9" s="29">
        <f>'kWh Forecast'!AL19</f>
        <v>0</v>
      </c>
      <c r="AH9" s="31">
        <f t="shared" ref="AH9:AH14" si="0">SUM(D9:AG9)</f>
        <v>2561193754.4489975</v>
      </c>
    </row>
    <row r="10" spans="1:34" x14ac:dyDescent="0.25">
      <c r="B10" s="1" t="s">
        <v>56</v>
      </c>
      <c r="D10" s="29"/>
      <c r="E10" s="29"/>
      <c r="F10" s="29"/>
      <c r="G10" s="29"/>
      <c r="H10" s="29"/>
      <c r="I10" s="29"/>
      <c r="J10" s="29">
        <f>'kWh Forecast'!O20</f>
        <v>56095221.520522907</v>
      </c>
      <c r="K10" s="29">
        <f>'kWh Forecast'!P20</f>
        <v>55464210.93044614</v>
      </c>
      <c r="L10" s="29">
        <f>'kWh Forecast'!Q20</f>
        <v>50215696.074492998</v>
      </c>
      <c r="M10" s="29">
        <f>'kWh Forecast'!R20</f>
        <v>51339208.212971874</v>
      </c>
      <c r="N10" s="29">
        <f>'kWh Forecast'!S20</f>
        <v>58664176.616294332</v>
      </c>
      <c r="O10" s="29">
        <f>'kWh Forecast'!T20</f>
        <v>64791544.926576048</v>
      </c>
      <c r="P10" s="29">
        <f>'kWh Forecast'!U20</f>
        <v>63770167.133059852</v>
      </c>
      <c r="Q10" s="29">
        <f>'kWh Forecast'!V20</f>
        <v>59995916.889757469</v>
      </c>
      <c r="R10" s="29">
        <f>'kWh Forecast'!W20</f>
        <v>56523371.587601081</v>
      </c>
      <c r="S10" s="29">
        <f>'kWh Forecast'!X20</f>
        <v>49684588.96441891</v>
      </c>
      <c r="T10" s="29">
        <f>'kWh Forecast'!Y20</f>
        <v>47934307.712073348</v>
      </c>
      <c r="U10" s="29">
        <f>'kWh Forecast'!Z20</f>
        <v>49363952.934894577</v>
      </c>
      <c r="V10" s="29">
        <f>'kWh Forecast'!AA20</f>
        <v>0</v>
      </c>
      <c r="W10" s="29">
        <f>'kWh Forecast'!AB20</f>
        <v>0</v>
      </c>
      <c r="X10" s="29">
        <f>'kWh Forecast'!AC20</f>
        <v>0</v>
      </c>
      <c r="Y10" s="29">
        <f>'kWh Forecast'!AD20</f>
        <v>0</v>
      </c>
      <c r="Z10" s="29">
        <f>'kWh Forecast'!AE20</f>
        <v>0</v>
      </c>
      <c r="AA10" s="29">
        <f>'kWh Forecast'!AF20</f>
        <v>0</v>
      </c>
      <c r="AB10" s="29">
        <f>'kWh Forecast'!AG20</f>
        <v>0</v>
      </c>
      <c r="AC10" s="29">
        <f>'kWh Forecast'!AH20</f>
        <v>0</v>
      </c>
      <c r="AD10" s="29">
        <f>'kWh Forecast'!AI20</f>
        <v>0</v>
      </c>
      <c r="AE10" s="29">
        <f>'kWh Forecast'!AJ20</f>
        <v>0</v>
      </c>
      <c r="AF10" s="29">
        <f>'kWh Forecast'!AK20</f>
        <v>0</v>
      </c>
      <c r="AG10" s="29">
        <f>'kWh Forecast'!AL20</f>
        <v>0</v>
      </c>
      <c r="AH10" s="31">
        <f t="shared" si="0"/>
        <v>663842363.50310946</v>
      </c>
    </row>
    <row r="11" spans="1:34" x14ac:dyDescent="0.25">
      <c r="B11" s="1" t="s">
        <v>57</v>
      </c>
      <c r="D11" s="29"/>
      <c r="E11" s="29"/>
      <c r="F11" s="29"/>
      <c r="G11" s="29"/>
      <c r="H11" s="29"/>
      <c r="I11" s="29"/>
      <c r="J11" s="29">
        <f>'kWh Forecast'!O21</f>
        <v>112977088.66465129</v>
      </c>
      <c r="K11" s="29">
        <f>'kWh Forecast'!P21</f>
        <v>108552418.62717734</v>
      </c>
      <c r="L11" s="29">
        <f>'kWh Forecast'!Q21</f>
        <v>100721399.38571118</v>
      </c>
      <c r="M11" s="29">
        <f>'kWh Forecast'!R21</f>
        <v>112819545.16367477</v>
      </c>
      <c r="N11" s="29">
        <f>'kWh Forecast'!S21</f>
        <v>110564910.48502697</v>
      </c>
      <c r="O11" s="29">
        <f>'kWh Forecast'!T21</f>
        <v>104642063.53924263</v>
      </c>
      <c r="P11" s="29">
        <f>'kWh Forecast'!U21</f>
        <v>102356312.41614927</v>
      </c>
      <c r="Q11" s="29">
        <f>'kWh Forecast'!V21</f>
        <v>104627299.63172153</v>
      </c>
      <c r="R11" s="29">
        <f>'kWh Forecast'!W21</f>
        <v>100434262.27371232</v>
      </c>
      <c r="S11" s="29">
        <f>'kWh Forecast'!X21</f>
        <v>97735561.821382791</v>
      </c>
      <c r="T11" s="29">
        <f>'kWh Forecast'!Y21</f>
        <v>100957379.1395191</v>
      </c>
      <c r="U11" s="29">
        <f>'kWh Forecast'!Z21</f>
        <v>106502920.78477423</v>
      </c>
      <c r="V11" s="29">
        <f>'kWh Forecast'!AA21</f>
        <v>0</v>
      </c>
      <c r="W11" s="29">
        <f>'kWh Forecast'!AB21</f>
        <v>0</v>
      </c>
      <c r="X11" s="29">
        <f>'kWh Forecast'!AC21</f>
        <v>0</v>
      </c>
      <c r="Y11" s="29">
        <f>'kWh Forecast'!AD21</f>
        <v>0</v>
      </c>
      <c r="Z11" s="29">
        <f>'kWh Forecast'!AE21</f>
        <v>0</v>
      </c>
      <c r="AA11" s="29">
        <f>'kWh Forecast'!AF21</f>
        <v>0</v>
      </c>
      <c r="AB11" s="29">
        <f>'kWh Forecast'!AG21</f>
        <v>0</v>
      </c>
      <c r="AC11" s="29">
        <f>'kWh Forecast'!AH21</f>
        <v>0</v>
      </c>
      <c r="AD11" s="29">
        <f>'kWh Forecast'!AI21</f>
        <v>0</v>
      </c>
      <c r="AE11" s="29">
        <f>'kWh Forecast'!AJ21</f>
        <v>0</v>
      </c>
      <c r="AF11" s="29">
        <f>'kWh Forecast'!AK21</f>
        <v>0</v>
      </c>
      <c r="AG11" s="29">
        <f>'kWh Forecast'!AL21</f>
        <v>0</v>
      </c>
      <c r="AH11" s="31">
        <f t="shared" si="0"/>
        <v>1262891161.9327435</v>
      </c>
    </row>
    <row r="12" spans="1:34" x14ac:dyDescent="0.25">
      <c r="B12" s="1" t="s">
        <v>58</v>
      </c>
      <c r="D12" s="29"/>
      <c r="E12" s="29"/>
      <c r="F12" s="29"/>
      <c r="G12" s="29"/>
      <c r="H12" s="29"/>
      <c r="I12" s="29"/>
      <c r="J12" s="29">
        <f>'kWh Forecast'!O22</f>
        <v>90445103</v>
      </c>
      <c r="K12" s="29">
        <f>'kWh Forecast'!P22</f>
        <v>97473252</v>
      </c>
      <c r="L12" s="29">
        <f>'kWh Forecast'!Q22</f>
        <v>86092179</v>
      </c>
      <c r="M12" s="29">
        <f>'kWh Forecast'!R22</f>
        <v>90154627</v>
      </c>
      <c r="N12" s="29">
        <f>'kWh Forecast'!S22</f>
        <v>84693081</v>
      </c>
      <c r="O12" s="29">
        <f>'kWh Forecast'!T22</f>
        <v>88860112</v>
      </c>
      <c r="P12" s="29">
        <f>'kWh Forecast'!U22</f>
        <v>92100698</v>
      </c>
      <c r="Q12" s="29">
        <f>'kWh Forecast'!V22</f>
        <v>82158979</v>
      </c>
      <c r="R12" s="29">
        <f>'kWh Forecast'!W22</f>
        <v>88703052</v>
      </c>
      <c r="S12" s="29">
        <f>'kWh Forecast'!X22</f>
        <v>88285754</v>
      </c>
      <c r="T12" s="29">
        <f>'kWh Forecast'!Y22</f>
        <v>87447967</v>
      </c>
      <c r="U12" s="29">
        <f>'kWh Forecast'!Z22</f>
        <v>88107928</v>
      </c>
      <c r="V12" s="29">
        <f>'kWh Forecast'!AA22</f>
        <v>0</v>
      </c>
      <c r="W12" s="29">
        <f>'kWh Forecast'!AB22</f>
        <v>0</v>
      </c>
      <c r="X12" s="29">
        <f>'kWh Forecast'!AC22</f>
        <v>0</v>
      </c>
      <c r="Y12" s="29">
        <f>'kWh Forecast'!AD22</f>
        <v>0</v>
      </c>
      <c r="Z12" s="29">
        <f>'kWh Forecast'!AE22</f>
        <v>0</v>
      </c>
      <c r="AA12" s="29">
        <f>'kWh Forecast'!AF22</f>
        <v>0</v>
      </c>
      <c r="AB12" s="29">
        <f>'kWh Forecast'!AG22</f>
        <v>0</v>
      </c>
      <c r="AC12" s="29">
        <f>'kWh Forecast'!AH22</f>
        <v>0</v>
      </c>
      <c r="AD12" s="29">
        <f>'kWh Forecast'!AI22</f>
        <v>0</v>
      </c>
      <c r="AE12" s="29">
        <f>'kWh Forecast'!AJ22</f>
        <v>0</v>
      </c>
      <c r="AF12" s="29">
        <f>'kWh Forecast'!AK22</f>
        <v>0</v>
      </c>
      <c r="AG12" s="29">
        <f>'kWh Forecast'!AL22</f>
        <v>0</v>
      </c>
      <c r="AH12" s="31">
        <f t="shared" si="0"/>
        <v>1064522732</v>
      </c>
    </row>
    <row r="13" spans="1:34" x14ac:dyDescent="0.25">
      <c r="B13" s="1" t="s">
        <v>59</v>
      </c>
      <c r="D13" s="29"/>
      <c r="E13" s="29"/>
      <c r="F13" s="29"/>
      <c r="G13" s="29"/>
      <c r="H13" s="29"/>
      <c r="I13" s="29"/>
      <c r="J13" s="29">
        <f>'kWh Forecast'!O23</f>
        <v>25353797.419315163</v>
      </c>
      <c r="K13" s="29">
        <f>'kWh Forecast'!P23</f>
        <v>28267567.740399349</v>
      </c>
      <c r="L13" s="29">
        <f>'kWh Forecast'!Q23</f>
        <v>22941972.701248884</v>
      </c>
      <c r="M13" s="29">
        <f>'kWh Forecast'!R23</f>
        <v>11303533.595424337</v>
      </c>
      <c r="N13" s="29">
        <f>'kWh Forecast'!S23</f>
        <v>2231416.5157431569</v>
      </c>
      <c r="O13" s="29">
        <f>'kWh Forecast'!T23</f>
        <v>2944362.1134637855</v>
      </c>
      <c r="P13" s="29">
        <f>'kWh Forecast'!U23</f>
        <v>4267894.1500995196</v>
      </c>
      <c r="Q13" s="29">
        <f>'kWh Forecast'!V23</f>
        <v>4148599.6709626261</v>
      </c>
      <c r="R13" s="29">
        <f>'kWh Forecast'!W23</f>
        <v>4312272.6219825391</v>
      </c>
      <c r="S13" s="29">
        <f>'kWh Forecast'!X23</f>
        <v>6091765.4881241657</v>
      </c>
      <c r="T13" s="29">
        <f>'kWh Forecast'!Y23</f>
        <v>13591455.061472366</v>
      </c>
      <c r="U13" s="29">
        <f>'kWh Forecast'!Z23</f>
        <v>21693328.266418211</v>
      </c>
      <c r="V13" s="29">
        <f>'kWh Forecast'!AA23</f>
        <v>0</v>
      </c>
      <c r="W13" s="29">
        <f>'kWh Forecast'!AB23</f>
        <v>0</v>
      </c>
      <c r="X13" s="29">
        <f>'kWh Forecast'!AC23</f>
        <v>0</v>
      </c>
      <c r="Y13" s="29">
        <f>'kWh Forecast'!AD23</f>
        <v>0</v>
      </c>
      <c r="Z13" s="29">
        <f>'kWh Forecast'!AE23</f>
        <v>0</v>
      </c>
      <c r="AA13" s="29">
        <f>'kWh Forecast'!AF23</f>
        <v>0</v>
      </c>
      <c r="AB13" s="29">
        <f>'kWh Forecast'!AG23</f>
        <v>0</v>
      </c>
      <c r="AC13" s="29">
        <f>'kWh Forecast'!AH23</f>
        <v>0</v>
      </c>
      <c r="AD13" s="29">
        <f>'kWh Forecast'!AI23</f>
        <v>0</v>
      </c>
      <c r="AE13" s="29">
        <f>'kWh Forecast'!AJ23</f>
        <v>0</v>
      </c>
      <c r="AF13" s="29">
        <f>'kWh Forecast'!AK23</f>
        <v>0</v>
      </c>
      <c r="AG13" s="29">
        <f>'kWh Forecast'!AL23</f>
        <v>0</v>
      </c>
      <c r="AH13" s="31">
        <f t="shared" si="0"/>
        <v>147147965.34465411</v>
      </c>
    </row>
    <row r="14" spans="1:34" x14ac:dyDescent="0.25">
      <c r="B14" s="1" t="s">
        <v>60</v>
      </c>
      <c r="D14" s="29"/>
      <c r="E14" s="29"/>
      <c r="F14" s="29"/>
      <c r="G14" s="29"/>
      <c r="H14" s="29"/>
      <c r="I14" s="29"/>
      <c r="J14" s="29">
        <f>'kWh Forecast'!O24</f>
        <v>1297254.7296365609</v>
      </c>
      <c r="K14" s="29">
        <f>'kWh Forecast'!P24</f>
        <v>1318572.8385579409</v>
      </c>
      <c r="L14" s="29">
        <f>'kWh Forecast'!Q24</f>
        <v>1317545.3920340193</v>
      </c>
      <c r="M14" s="29">
        <f>'kWh Forecast'!R24</f>
        <v>1291228.0263941458</v>
      </c>
      <c r="N14" s="29">
        <f>'kWh Forecast'!S24</f>
        <v>1295517.2293914184</v>
      </c>
      <c r="O14" s="29">
        <f>'kWh Forecast'!T24</f>
        <v>1323193.4273065061</v>
      </c>
      <c r="P14" s="29">
        <f>'kWh Forecast'!U24</f>
        <v>1294258.5860627098</v>
      </c>
      <c r="Q14" s="29">
        <f>'kWh Forecast'!V24</f>
        <v>1248484.9561865169</v>
      </c>
      <c r="R14" s="29">
        <f>'kWh Forecast'!W24</f>
        <v>1332499.7247278495</v>
      </c>
      <c r="S14" s="29">
        <f>'kWh Forecast'!X24</f>
        <v>1270727.8691569627</v>
      </c>
      <c r="T14" s="29">
        <f>'kWh Forecast'!Y24</f>
        <v>1274294.1390946764</v>
      </c>
      <c r="U14" s="29">
        <f>'kWh Forecast'!Z24</f>
        <v>1289909.0680508316</v>
      </c>
      <c r="V14" s="29">
        <f>'kWh Forecast'!AA24</f>
        <v>0</v>
      </c>
      <c r="W14" s="29">
        <f>'kWh Forecast'!AB24</f>
        <v>0</v>
      </c>
      <c r="X14" s="29">
        <f>'kWh Forecast'!AC24</f>
        <v>0</v>
      </c>
      <c r="Y14" s="29">
        <f>'kWh Forecast'!AD24</f>
        <v>0</v>
      </c>
      <c r="Z14" s="29">
        <f>'kWh Forecast'!AE24</f>
        <v>0</v>
      </c>
      <c r="AA14" s="29">
        <f>'kWh Forecast'!AF24</f>
        <v>0</v>
      </c>
      <c r="AB14" s="29">
        <f>'kWh Forecast'!AG24</f>
        <v>0</v>
      </c>
      <c r="AC14" s="29">
        <f>'kWh Forecast'!AH24</f>
        <v>0</v>
      </c>
      <c r="AD14" s="29">
        <f>'kWh Forecast'!AI24</f>
        <v>0</v>
      </c>
      <c r="AE14" s="29">
        <f>'kWh Forecast'!AJ24</f>
        <v>0</v>
      </c>
      <c r="AF14" s="29">
        <f>'kWh Forecast'!AK24</f>
        <v>0</v>
      </c>
      <c r="AG14" s="29">
        <f>'kWh Forecast'!AL24</f>
        <v>0</v>
      </c>
      <c r="AH14" s="31">
        <f t="shared" si="0"/>
        <v>15553485.986600136</v>
      </c>
    </row>
    <row r="15" spans="1:34" x14ac:dyDescent="0.25">
      <c r="A15" s="1" t="s">
        <v>61</v>
      </c>
      <c r="D15" s="30">
        <f t="shared" ref="D15:AG15" si="1">SUM(D9:D14)</f>
        <v>0</v>
      </c>
      <c r="E15" s="30">
        <f t="shared" si="1"/>
        <v>0</v>
      </c>
      <c r="F15" s="30">
        <f t="shared" si="1"/>
        <v>0</v>
      </c>
      <c r="G15" s="30">
        <f t="shared" si="1"/>
        <v>0</v>
      </c>
      <c r="H15" s="30">
        <f t="shared" si="1"/>
        <v>0</v>
      </c>
      <c r="I15" s="30">
        <f t="shared" si="1"/>
        <v>0</v>
      </c>
      <c r="J15" s="30">
        <f t="shared" si="1"/>
        <v>482622198.15963167</v>
      </c>
      <c r="K15" s="30">
        <f t="shared" si="1"/>
        <v>500342319.73763025</v>
      </c>
      <c r="L15" s="30">
        <f t="shared" si="1"/>
        <v>417031527.33694649</v>
      </c>
      <c r="M15" s="30">
        <f t="shared" si="1"/>
        <v>439744183.12765592</v>
      </c>
      <c r="N15" s="30">
        <f t="shared" si="1"/>
        <v>487824031.36197704</v>
      </c>
      <c r="O15" s="30">
        <f t="shared" si="1"/>
        <v>559479205.96991742</v>
      </c>
      <c r="P15" s="30">
        <f t="shared" si="1"/>
        <v>565909594.62262726</v>
      </c>
      <c r="Q15" s="30">
        <f t="shared" si="1"/>
        <v>507419480.81577486</v>
      </c>
      <c r="R15" s="30">
        <f t="shared" si="1"/>
        <v>478786777.489824</v>
      </c>
      <c r="S15" s="30">
        <f t="shared" si="1"/>
        <v>428295450.53653526</v>
      </c>
      <c r="T15" s="30">
        <f t="shared" si="1"/>
        <v>417209182.54159033</v>
      </c>
      <c r="U15" s="30">
        <f t="shared" si="1"/>
        <v>430487511.51599431</v>
      </c>
      <c r="V15" s="30">
        <f t="shared" si="1"/>
        <v>0</v>
      </c>
      <c r="W15" s="30">
        <f t="shared" si="1"/>
        <v>0</v>
      </c>
      <c r="X15" s="30">
        <f t="shared" si="1"/>
        <v>0</v>
      </c>
      <c r="Y15" s="30">
        <f t="shared" si="1"/>
        <v>0</v>
      </c>
      <c r="Z15" s="30">
        <f t="shared" si="1"/>
        <v>0</v>
      </c>
      <c r="AA15" s="30">
        <f t="shared" si="1"/>
        <v>0</v>
      </c>
      <c r="AB15" s="30">
        <f t="shared" si="1"/>
        <v>0</v>
      </c>
      <c r="AC15" s="30">
        <f t="shared" si="1"/>
        <v>0</v>
      </c>
      <c r="AD15" s="30">
        <f t="shared" si="1"/>
        <v>0</v>
      </c>
      <c r="AE15" s="30">
        <f t="shared" si="1"/>
        <v>0</v>
      </c>
      <c r="AF15" s="30">
        <f t="shared" si="1"/>
        <v>0</v>
      </c>
      <c r="AG15" s="30">
        <f t="shared" si="1"/>
        <v>0</v>
      </c>
      <c r="AH15" s="31">
        <f>SUM(AH9:AH14)</f>
        <v>5715151463.2161045</v>
      </c>
    </row>
    <row r="16" spans="1:34" x14ac:dyDescent="0.25">
      <c r="D16" s="31">
        <f>D15-'kWh Forecast'!I25</f>
        <v>0</v>
      </c>
      <c r="E16" s="31">
        <f>E15-'kWh Forecast'!J25</f>
        <v>0</v>
      </c>
      <c r="F16" s="31">
        <f>F15-'kWh Forecast'!K25</f>
        <v>0</v>
      </c>
      <c r="G16" s="31">
        <f>G15-'kWh Forecast'!L25</f>
        <v>0</v>
      </c>
      <c r="H16" s="31">
        <f>H15-'kWh Forecast'!M25</f>
        <v>0</v>
      </c>
      <c r="I16" s="31">
        <f>I15-'kWh Forecast'!N25</f>
        <v>0</v>
      </c>
      <c r="J16" s="31">
        <f>J15-'kWh Forecast'!O25</f>
        <v>0</v>
      </c>
      <c r="K16" s="31">
        <f>K15-'kWh Forecast'!P25</f>
        <v>0</v>
      </c>
      <c r="L16" s="31">
        <f>L15-'kWh Forecast'!Q25</f>
        <v>0</v>
      </c>
    </row>
    <row r="18" spans="1:34" x14ac:dyDescent="0.25">
      <c r="A18" s="1" t="s">
        <v>109</v>
      </c>
    </row>
    <row r="19" spans="1:34" x14ac:dyDescent="0.25">
      <c r="B19" s="1" t="s">
        <v>83</v>
      </c>
      <c r="D19" s="32"/>
      <c r="E19" s="32"/>
      <c r="F19" s="32"/>
      <c r="G19" s="32"/>
      <c r="H19" s="32"/>
      <c r="I19" s="32"/>
      <c r="J19" s="32">
        <f>'Rate Design'!$D$19</f>
        <v>0</v>
      </c>
      <c r="K19" s="32">
        <f>'Rate Design'!$D$19</f>
        <v>0</v>
      </c>
      <c r="L19" s="32">
        <f>'Rate Design'!$D$19</f>
        <v>0</v>
      </c>
      <c r="M19" s="32">
        <f>'Rate Design'!$D$19</f>
        <v>0</v>
      </c>
      <c r="N19" s="32">
        <f>'Rate Design'!$D$19</f>
        <v>0</v>
      </c>
      <c r="O19" s="32">
        <f>'Rate Design'!$D$19</f>
        <v>0</v>
      </c>
      <c r="P19" s="32">
        <f>'Rate Design'!$D$19</f>
        <v>0</v>
      </c>
      <c r="Q19" s="32">
        <f>'Rate Design'!$D$19</f>
        <v>0</v>
      </c>
      <c r="R19" s="32">
        <f>'Rate Design'!$D$19</f>
        <v>0</v>
      </c>
      <c r="S19" s="32">
        <f>'Rate Design'!$D$19</f>
        <v>0</v>
      </c>
      <c r="T19" s="32">
        <f>'Rate Design'!$D$19</f>
        <v>0</v>
      </c>
      <c r="U19" s="32">
        <f>'Rate Design'!$D$19</f>
        <v>0</v>
      </c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</row>
    <row r="20" spans="1:34" x14ac:dyDescent="0.25">
      <c r="B20" s="1" t="s">
        <v>56</v>
      </c>
      <c r="D20" s="32"/>
      <c r="E20" s="32"/>
      <c r="F20" s="32"/>
      <c r="G20" s="32"/>
      <c r="H20" s="32"/>
      <c r="I20" s="32"/>
      <c r="J20" s="32">
        <f>'Rate Design'!$E$19</f>
        <v>0</v>
      </c>
      <c r="K20" s="32">
        <f>'Rate Design'!$E$19</f>
        <v>0</v>
      </c>
      <c r="L20" s="32">
        <f>'Rate Design'!$E$19</f>
        <v>0</v>
      </c>
      <c r="M20" s="32">
        <f>'Rate Design'!$E$19</f>
        <v>0</v>
      </c>
      <c r="N20" s="32">
        <f>'Rate Design'!$E$19</f>
        <v>0</v>
      </c>
      <c r="O20" s="32">
        <f>'Rate Design'!$E$19</f>
        <v>0</v>
      </c>
      <c r="P20" s="32">
        <f>'Rate Design'!$E$19</f>
        <v>0</v>
      </c>
      <c r="Q20" s="32">
        <f>'Rate Design'!$E$19</f>
        <v>0</v>
      </c>
      <c r="R20" s="32">
        <f>'Rate Design'!$E$19</f>
        <v>0</v>
      </c>
      <c r="S20" s="32">
        <f>'Rate Design'!$E$19</f>
        <v>0</v>
      </c>
      <c r="T20" s="32">
        <f>'Rate Design'!$E$19</f>
        <v>0</v>
      </c>
      <c r="U20" s="32">
        <f>'Rate Design'!$E$19</f>
        <v>0</v>
      </c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</row>
    <row r="21" spans="1:34" x14ac:dyDescent="0.25">
      <c r="B21" s="1" t="s">
        <v>57</v>
      </c>
      <c r="D21" s="32"/>
      <c r="E21" s="32"/>
      <c r="F21" s="32"/>
      <c r="G21" s="32"/>
      <c r="H21" s="32"/>
      <c r="I21" s="32"/>
      <c r="J21" s="32">
        <f>'Rate Design'!$F$19</f>
        <v>0</v>
      </c>
      <c r="K21" s="32">
        <f>'Rate Design'!$F$19</f>
        <v>0</v>
      </c>
      <c r="L21" s="32">
        <f>'Rate Design'!$F$19</f>
        <v>0</v>
      </c>
      <c r="M21" s="32">
        <f>'Rate Design'!$F$19</f>
        <v>0</v>
      </c>
      <c r="N21" s="32">
        <f>'Rate Design'!$F$19</f>
        <v>0</v>
      </c>
      <c r="O21" s="32">
        <f>'Rate Design'!$F$19</f>
        <v>0</v>
      </c>
      <c r="P21" s="32">
        <f>'Rate Design'!$F$19</f>
        <v>0</v>
      </c>
      <c r="Q21" s="32">
        <f>'Rate Design'!$F$19</f>
        <v>0</v>
      </c>
      <c r="R21" s="32">
        <f>'Rate Design'!$F$19</f>
        <v>0</v>
      </c>
      <c r="S21" s="32">
        <f>'Rate Design'!$F$19</f>
        <v>0</v>
      </c>
      <c r="T21" s="32">
        <f>'Rate Design'!$F$19</f>
        <v>0</v>
      </c>
      <c r="U21" s="32">
        <f>'Rate Design'!$F$19</f>
        <v>0</v>
      </c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</row>
    <row r="22" spans="1:34" x14ac:dyDescent="0.25">
      <c r="B22" s="1" t="s">
        <v>58</v>
      </c>
      <c r="D22" s="32"/>
      <c r="E22" s="32"/>
      <c r="F22" s="32"/>
      <c r="G22" s="32"/>
      <c r="H22" s="32"/>
      <c r="I22" s="32"/>
      <c r="J22" s="32">
        <f>'Rate Design'!$G$19</f>
        <v>0</v>
      </c>
      <c r="K22" s="32">
        <f>'Rate Design'!$G$19</f>
        <v>0</v>
      </c>
      <c r="L22" s="32">
        <f>'Rate Design'!$G$19</f>
        <v>0</v>
      </c>
      <c r="M22" s="32">
        <f>'Rate Design'!$G$19</f>
        <v>0</v>
      </c>
      <c r="N22" s="32">
        <f>'Rate Design'!$G$19</f>
        <v>0</v>
      </c>
      <c r="O22" s="32">
        <f>'Rate Design'!$G$19</f>
        <v>0</v>
      </c>
      <c r="P22" s="32">
        <f>'Rate Design'!$G$19</f>
        <v>0</v>
      </c>
      <c r="Q22" s="32">
        <f>'Rate Design'!$G$19</f>
        <v>0</v>
      </c>
      <c r="R22" s="32">
        <f>'Rate Design'!$G$19</f>
        <v>0</v>
      </c>
      <c r="S22" s="32">
        <f>'Rate Design'!$G$19</f>
        <v>0</v>
      </c>
      <c r="T22" s="32">
        <f>'Rate Design'!$G$19</f>
        <v>0</v>
      </c>
      <c r="U22" s="32">
        <f>'Rate Design'!$G$19</f>
        <v>0</v>
      </c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</row>
    <row r="23" spans="1:34" x14ac:dyDescent="0.25">
      <c r="B23" s="1" t="s">
        <v>59</v>
      </c>
      <c r="D23" s="32"/>
      <c r="E23" s="32"/>
      <c r="F23" s="32"/>
      <c r="G23" s="32"/>
      <c r="H23" s="32"/>
      <c r="I23" s="32"/>
      <c r="J23" s="32">
        <f>'Rate Design'!$H$19</f>
        <v>0</v>
      </c>
      <c r="K23" s="32">
        <f>'Rate Design'!$H$19</f>
        <v>0</v>
      </c>
      <c r="L23" s="32">
        <f>'Rate Design'!$H$19</f>
        <v>0</v>
      </c>
      <c r="M23" s="32">
        <f>'Rate Design'!$H$19</f>
        <v>0</v>
      </c>
      <c r="N23" s="32">
        <f>'Rate Design'!$H$19</f>
        <v>0</v>
      </c>
      <c r="O23" s="32">
        <f>'Rate Design'!$H$19</f>
        <v>0</v>
      </c>
      <c r="P23" s="32">
        <f>'Rate Design'!$H$19</f>
        <v>0</v>
      </c>
      <c r="Q23" s="32">
        <f>'Rate Design'!$H$19</f>
        <v>0</v>
      </c>
      <c r="R23" s="32">
        <f>'Rate Design'!$H$19</f>
        <v>0</v>
      </c>
      <c r="S23" s="32">
        <f>'Rate Design'!$H$19</f>
        <v>0</v>
      </c>
      <c r="T23" s="32">
        <f>'Rate Design'!$H$19</f>
        <v>0</v>
      </c>
      <c r="U23" s="32">
        <f>'Rate Design'!$H$19</f>
        <v>0</v>
      </c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</row>
    <row r="24" spans="1:34" x14ac:dyDescent="0.25">
      <c r="B24" s="1" t="s">
        <v>60</v>
      </c>
      <c r="D24" s="32"/>
      <c r="E24" s="32"/>
      <c r="F24" s="32"/>
      <c r="G24" s="32"/>
      <c r="H24" s="32"/>
      <c r="I24" s="32"/>
      <c r="J24" s="32">
        <f>'Rate Design'!$I$19</f>
        <v>0</v>
      </c>
      <c r="K24" s="32">
        <f>'Rate Design'!$I$19</f>
        <v>0</v>
      </c>
      <c r="L24" s="32">
        <f>'Rate Design'!$I$19</f>
        <v>0</v>
      </c>
      <c r="M24" s="32">
        <f>'Rate Design'!$I$19</f>
        <v>0</v>
      </c>
      <c r="N24" s="32">
        <f>'Rate Design'!$I$19</f>
        <v>0</v>
      </c>
      <c r="O24" s="32">
        <f>'Rate Design'!$I$19</f>
        <v>0</v>
      </c>
      <c r="P24" s="32">
        <f>'Rate Design'!$I$19</f>
        <v>0</v>
      </c>
      <c r="Q24" s="32">
        <f>'Rate Design'!$I$19</f>
        <v>0</v>
      </c>
      <c r="R24" s="32">
        <f>'Rate Design'!$I$19</f>
        <v>0</v>
      </c>
      <c r="S24" s="32">
        <f>'Rate Design'!$I$19</f>
        <v>0</v>
      </c>
      <c r="T24" s="32">
        <f>'Rate Design'!$I$19</f>
        <v>0</v>
      </c>
      <c r="U24" s="32">
        <f>'Rate Design'!$I$19</f>
        <v>0</v>
      </c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</row>
    <row r="25" spans="1:34" x14ac:dyDescent="0.25">
      <c r="D25" s="33"/>
      <c r="E25" s="33"/>
      <c r="F25" s="33"/>
      <c r="G25" s="33"/>
      <c r="H25" s="33"/>
      <c r="I25" s="33"/>
      <c r="J25" s="33"/>
      <c r="K25" s="33"/>
      <c r="L25" s="33"/>
    </row>
    <row r="27" spans="1:34" x14ac:dyDescent="0.25">
      <c r="A27" s="1" t="s">
        <v>110</v>
      </c>
      <c r="D27" s="28">
        <f t="shared" ref="D27:AG27" si="2">D8</f>
        <v>44927</v>
      </c>
      <c r="E27" s="28">
        <f t="shared" si="2"/>
        <v>44958</v>
      </c>
      <c r="F27" s="28">
        <f t="shared" si="2"/>
        <v>44986</v>
      </c>
      <c r="G27" s="28">
        <f t="shared" si="2"/>
        <v>45017</v>
      </c>
      <c r="H27" s="28">
        <f t="shared" si="2"/>
        <v>45047</v>
      </c>
      <c r="I27" s="28">
        <f t="shared" si="2"/>
        <v>45078</v>
      </c>
      <c r="J27" s="28">
        <f t="shared" si="2"/>
        <v>45108</v>
      </c>
      <c r="K27" s="28">
        <f t="shared" si="2"/>
        <v>45139</v>
      </c>
      <c r="L27" s="28">
        <f t="shared" si="2"/>
        <v>45170</v>
      </c>
      <c r="M27" s="28">
        <f t="shared" si="2"/>
        <v>45200</v>
      </c>
      <c r="N27" s="28">
        <f t="shared" si="2"/>
        <v>45231</v>
      </c>
      <c r="O27" s="28">
        <f t="shared" si="2"/>
        <v>45261</v>
      </c>
      <c r="P27" s="28">
        <f t="shared" si="2"/>
        <v>45292</v>
      </c>
      <c r="Q27" s="28">
        <f t="shared" si="2"/>
        <v>45323</v>
      </c>
      <c r="R27" s="28">
        <f t="shared" si="2"/>
        <v>45352</v>
      </c>
      <c r="S27" s="28">
        <f t="shared" si="2"/>
        <v>45383</v>
      </c>
      <c r="T27" s="28">
        <f t="shared" si="2"/>
        <v>45413</v>
      </c>
      <c r="U27" s="28">
        <f t="shared" si="2"/>
        <v>45444</v>
      </c>
      <c r="V27" s="28">
        <f t="shared" si="2"/>
        <v>45474</v>
      </c>
      <c r="W27" s="28">
        <f t="shared" si="2"/>
        <v>45505</v>
      </c>
      <c r="X27" s="28">
        <f t="shared" si="2"/>
        <v>45536</v>
      </c>
      <c r="Y27" s="28">
        <f t="shared" si="2"/>
        <v>45566</v>
      </c>
      <c r="Z27" s="28">
        <f t="shared" si="2"/>
        <v>45597</v>
      </c>
      <c r="AA27" s="28">
        <f t="shared" si="2"/>
        <v>45627</v>
      </c>
      <c r="AB27" s="28">
        <f t="shared" si="2"/>
        <v>45658</v>
      </c>
      <c r="AC27" s="28">
        <f t="shared" si="2"/>
        <v>45689</v>
      </c>
      <c r="AD27" s="28">
        <f t="shared" si="2"/>
        <v>45717</v>
      </c>
      <c r="AE27" s="28">
        <f t="shared" si="2"/>
        <v>45748</v>
      </c>
      <c r="AF27" s="28">
        <f t="shared" si="2"/>
        <v>45778</v>
      </c>
      <c r="AG27" s="28">
        <f t="shared" si="2"/>
        <v>45809</v>
      </c>
      <c r="AH27" s="1" t="s">
        <v>0</v>
      </c>
    </row>
    <row r="28" spans="1:34" x14ac:dyDescent="0.25">
      <c r="B28" s="1" t="s">
        <v>55</v>
      </c>
      <c r="D28" s="34">
        <f t="shared" ref="D28:AG33" si="3">D9*D19</f>
        <v>0</v>
      </c>
      <c r="E28" s="34">
        <f t="shared" si="3"/>
        <v>0</v>
      </c>
      <c r="F28" s="34">
        <f t="shared" si="3"/>
        <v>0</v>
      </c>
      <c r="G28" s="34">
        <f t="shared" si="3"/>
        <v>0</v>
      </c>
      <c r="H28" s="34">
        <f t="shared" si="3"/>
        <v>0</v>
      </c>
      <c r="I28" s="34">
        <f t="shared" si="3"/>
        <v>0</v>
      </c>
      <c r="J28" s="34">
        <f t="shared" si="3"/>
        <v>0</v>
      </c>
      <c r="K28" s="34">
        <f t="shared" si="3"/>
        <v>0</v>
      </c>
      <c r="L28" s="34">
        <f t="shared" si="3"/>
        <v>0</v>
      </c>
      <c r="M28" s="34">
        <f t="shared" si="3"/>
        <v>0</v>
      </c>
      <c r="N28" s="34">
        <f t="shared" si="3"/>
        <v>0</v>
      </c>
      <c r="O28" s="34">
        <f t="shared" si="3"/>
        <v>0</v>
      </c>
      <c r="P28" s="34">
        <f t="shared" si="3"/>
        <v>0</v>
      </c>
      <c r="Q28" s="34">
        <f t="shared" si="3"/>
        <v>0</v>
      </c>
      <c r="R28" s="34">
        <f t="shared" si="3"/>
        <v>0</v>
      </c>
      <c r="S28" s="34">
        <f t="shared" si="3"/>
        <v>0</v>
      </c>
      <c r="T28" s="34">
        <f t="shared" si="3"/>
        <v>0</v>
      </c>
      <c r="U28" s="34">
        <f t="shared" si="3"/>
        <v>0</v>
      </c>
      <c r="V28" s="34">
        <f t="shared" si="3"/>
        <v>0</v>
      </c>
      <c r="W28" s="34">
        <f t="shared" si="3"/>
        <v>0</v>
      </c>
      <c r="X28" s="34">
        <f t="shared" si="3"/>
        <v>0</v>
      </c>
      <c r="Y28" s="34">
        <f t="shared" si="3"/>
        <v>0</v>
      </c>
      <c r="Z28" s="34">
        <f t="shared" si="3"/>
        <v>0</v>
      </c>
      <c r="AA28" s="34">
        <f t="shared" si="3"/>
        <v>0</v>
      </c>
      <c r="AB28" s="34">
        <f t="shared" si="3"/>
        <v>0</v>
      </c>
      <c r="AC28" s="34">
        <f t="shared" si="3"/>
        <v>0</v>
      </c>
      <c r="AD28" s="34">
        <f t="shared" si="3"/>
        <v>0</v>
      </c>
      <c r="AE28" s="34">
        <f t="shared" si="3"/>
        <v>0</v>
      </c>
      <c r="AF28" s="34">
        <f t="shared" si="3"/>
        <v>0</v>
      </c>
      <c r="AG28" s="34">
        <f t="shared" si="3"/>
        <v>0</v>
      </c>
      <c r="AH28" s="31">
        <f t="shared" ref="AH28:AH34" si="4">SUM(D28:AG28)</f>
        <v>0</v>
      </c>
    </row>
    <row r="29" spans="1:34" x14ac:dyDescent="0.25">
      <c r="B29" s="1" t="s">
        <v>56</v>
      </c>
      <c r="D29" s="34">
        <f t="shared" si="3"/>
        <v>0</v>
      </c>
      <c r="E29" s="34">
        <f t="shared" si="3"/>
        <v>0</v>
      </c>
      <c r="F29" s="34">
        <f t="shared" si="3"/>
        <v>0</v>
      </c>
      <c r="G29" s="34">
        <f t="shared" si="3"/>
        <v>0</v>
      </c>
      <c r="H29" s="34">
        <f t="shared" si="3"/>
        <v>0</v>
      </c>
      <c r="I29" s="34">
        <f t="shared" si="3"/>
        <v>0</v>
      </c>
      <c r="J29" s="34">
        <f t="shared" si="3"/>
        <v>0</v>
      </c>
      <c r="K29" s="34">
        <f t="shared" si="3"/>
        <v>0</v>
      </c>
      <c r="L29" s="34">
        <f t="shared" si="3"/>
        <v>0</v>
      </c>
      <c r="M29" s="34">
        <f t="shared" si="3"/>
        <v>0</v>
      </c>
      <c r="N29" s="34">
        <f t="shared" si="3"/>
        <v>0</v>
      </c>
      <c r="O29" s="34">
        <f t="shared" si="3"/>
        <v>0</v>
      </c>
      <c r="P29" s="34">
        <f t="shared" si="3"/>
        <v>0</v>
      </c>
      <c r="Q29" s="34">
        <f t="shared" si="3"/>
        <v>0</v>
      </c>
      <c r="R29" s="34">
        <f t="shared" si="3"/>
        <v>0</v>
      </c>
      <c r="S29" s="34">
        <f t="shared" si="3"/>
        <v>0</v>
      </c>
      <c r="T29" s="34">
        <f t="shared" si="3"/>
        <v>0</v>
      </c>
      <c r="U29" s="34">
        <f t="shared" si="3"/>
        <v>0</v>
      </c>
      <c r="V29" s="34">
        <f t="shared" si="3"/>
        <v>0</v>
      </c>
      <c r="W29" s="34">
        <f t="shared" si="3"/>
        <v>0</v>
      </c>
      <c r="X29" s="34">
        <f t="shared" si="3"/>
        <v>0</v>
      </c>
      <c r="Y29" s="34">
        <f t="shared" si="3"/>
        <v>0</v>
      </c>
      <c r="Z29" s="34">
        <f t="shared" si="3"/>
        <v>0</v>
      </c>
      <c r="AA29" s="34">
        <f t="shared" si="3"/>
        <v>0</v>
      </c>
      <c r="AB29" s="34">
        <f t="shared" si="3"/>
        <v>0</v>
      </c>
      <c r="AC29" s="34">
        <f t="shared" si="3"/>
        <v>0</v>
      </c>
      <c r="AD29" s="34">
        <f t="shared" si="3"/>
        <v>0</v>
      </c>
      <c r="AE29" s="34">
        <f t="shared" si="3"/>
        <v>0</v>
      </c>
      <c r="AF29" s="34">
        <f t="shared" si="3"/>
        <v>0</v>
      </c>
      <c r="AG29" s="34">
        <f t="shared" si="3"/>
        <v>0</v>
      </c>
      <c r="AH29" s="31">
        <f t="shared" si="4"/>
        <v>0</v>
      </c>
    </row>
    <row r="30" spans="1:34" x14ac:dyDescent="0.25">
      <c r="B30" s="1" t="s">
        <v>57</v>
      </c>
      <c r="D30" s="34">
        <f t="shared" si="3"/>
        <v>0</v>
      </c>
      <c r="E30" s="34">
        <f t="shared" si="3"/>
        <v>0</v>
      </c>
      <c r="F30" s="34">
        <f t="shared" si="3"/>
        <v>0</v>
      </c>
      <c r="G30" s="34">
        <f t="shared" si="3"/>
        <v>0</v>
      </c>
      <c r="H30" s="34">
        <f t="shared" si="3"/>
        <v>0</v>
      </c>
      <c r="I30" s="34">
        <f t="shared" si="3"/>
        <v>0</v>
      </c>
      <c r="J30" s="34">
        <f t="shared" si="3"/>
        <v>0</v>
      </c>
      <c r="K30" s="34">
        <f t="shared" si="3"/>
        <v>0</v>
      </c>
      <c r="L30" s="34">
        <f t="shared" si="3"/>
        <v>0</v>
      </c>
      <c r="M30" s="34">
        <f t="shared" si="3"/>
        <v>0</v>
      </c>
      <c r="N30" s="34">
        <f t="shared" si="3"/>
        <v>0</v>
      </c>
      <c r="O30" s="34">
        <f t="shared" si="3"/>
        <v>0</v>
      </c>
      <c r="P30" s="34">
        <f t="shared" si="3"/>
        <v>0</v>
      </c>
      <c r="Q30" s="34">
        <f t="shared" si="3"/>
        <v>0</v>
      </c>
      <c r="R30" s="34">
        <f t="shared" si="3"/>
        <v>0</v>
      </c>
      <c r="S30" s="34">
        <f t="shared" si="3"/>
        <v>0</v>
      </c>
      <c r="T30" s="34">
        <f t="shared" si="3"/>
        <v>0</v>
      </c>
      <c r="U30" s="34">
        <f t="shared" si="3"/>
        <v>0</v>
      </c>
      <c r="V30" s="34">
        <f t="shared" si="3"/>
        <v>0</v>
      </c>
      <c r="W30" s="34">
        <f t="shared" si="3"/>
        <v>0</v>
      </c>
      <c r="X30" s="34">
        <f t="shared" si="3"/>
        <v>0</v>
      </c>
      <c r="Y30" s="34">
        <f t="shared" si="3"/>
        <v>0</v>
      </c>
      <c r="Z30" s="34">
        <f t="shared" si="3"/>
        <v>0</v>
      </c>
      <c r="AA30" s="34">
        <f t="shared" si="3"/>
        <v>0</v>
      </c>
      <c r="AB30" s="34">
        <f t="shared" si="3"/>
        <v>0</v>
      </c>
      <c r="AC30" s="34">
        <f t="shared" si="3"/>
        <v>0</v>
      </c>
      <c r="AD30" s="34">
        <f t="shared" si="3"/>
        <v>0</v>
      </c>
      <c r="AE30" s="34">
        <f t="shared" si="3"/>
        <v>0</v>
      </c>
      <c r="AF30" s="34">
        <f t="shared" si="3"/>
        <v>0</v>
      </c>
      <c r="AG30" s="34">
        <f t="shared" si="3"/>
        <v>0</v>
      </c>
      <c r="AH30" s="31">
        <f t="shared" si="4"/>
        <v>0</v>
      </c>
    </row>
    <row r="31" spans="1:34" x14ac:dyDescent="0.25">
      <c r="B31" s="1" t="s">
        <v>58</v>
      </c>
      <c r="D31" s="34">
        <f t="shared" si="3"/>
        <v>0</v>
      </c>
      <c r="E31" s="34">
        <f t="shared" si="3"/>
        <v>0</v>
      </c>
      <c r="F31" s="34">
        <f t="shared" si="3"/>
        <v>0</v>
      </c>
      <c r="G31" s="34">
        <f t="shared" si="3"/>
        <v>0</v>
      </c>
      <c r="H31" s="34">
        <f t="shared" si="3"/>
        <v>0</v>
      </c>
      <c r="I31" s="34">
        <f t="shared" si="3"/>
        <v>0</v>
      </c>
      <c r="J31" s="34">
        <f t="shared" si="3"/>
        <v>0</v>
      </c>
      <c r="K31" s="34">
        <f t="shared" si="3"/>
        <v>0</v>
      </c>
      <c r="L31" s="34">
        <f t="shared" si="3"/>
        <v>0</v>
      </c>
      <c r="M31" s="34">
        <f t="shared" si="3"/>
        <v>0</v>
      </c>
      <c r="N31" s="34">
        <f t="shared" si="3"/>
        <v>0</v>
      </c>
      <c r="O31" s="34">
        <f t="shared" si="3"/>
        <v>0</v>
      </c>
      <c r="P31" s="34">
        <f t="shared" si="3"/>
        <v>0</v>
      </c>
      <c r="Q31" s="34">
        <f t="shared" si="3"/>
        <v>0</v>
      </c>
      <c r="R31" s="34">
        <f t="shared" si="3"/>
        <v>0</v>
      </c>
      <c r="S31" s="34">
        <f t="shared" si="3"/>
        <v>0</v>
      </c>
      <c r="T31" s="34">
        <f t="shared" si="3"/>
        <v>0</v>
      </c>
      <c r="U31" s="34">
        <f t="shared" si="3"/>
        <v>0</v>
      </c>
      <c r="V31" s="34">
        <f t="shared" si="3"/>
        <v>0</v>
      </c>
      <c r="W31" s="34">
        <f t="shared" si="3"/>
        <v>0</v>
      </c>
      <c r="X31" s="34">
        <f t="shared" si="3"/>
        <v>0</v>
      </c>
      <c r="Y31" s="34">
        <f t="shared" si="3"/>
        <v>0</v>
      </c>
      <c r="Z31" s="34">
        <f t="shared" si="3"/>
        <v>0</v>
      </c>
      <c r="AA31" s="34">
        <f t="shared" si="3"/>
        <v>0</v>
      </c>
      <c r="AB31" s="34">
        <f t="shared" si="3"/>
        <v>0</v>
      </c>
      <c r="AC31" s="34">
        <f t="shared" si="3"/>
        <v>0</v>
      </c>
      <c r="AD31" s="34">
        <f t="shared" si="3"/>
        <v>0</v>
      </c>
      <c r="AE31" s="34">
        <f t="shared" si="3"/>
        <v>0</v>
      </c>
      <c r="AF31" s="34">
        <f t="shared" si="3"/>
        <v>0</v>
      </c>
      <c r="AG31" s="34">
        <f t="shared" si="3"/>
        <v>0</v>
      </c>
      <c r="AH31" s="31">
        <f t="shared" si="4"/>
        <v>0</v>
      </c>
    </row>
    <row r="32" spans="1:34" x14ac:dyDescent="0.25">
      <c r="B32" s="1" t="s">
        <v>59</v>
      </c>
      <c r="D32" s="34">
        <f t="shared" si="3"/>
        <v>0</v>
      </c>
      <c r="E32" s="34">
        <f t="shared" si="3"/>
        <v>0</v>
      </c>
      <c r="F32" s="34">
        <f t="shared" si="3"/>
        <v>0</v>
      </c>
      <c r="G32" s="34">
        <f t="shared" si="3"/>
        <v>0</v>
      </c>
      <c r="H32" s="34">
        <f t="shared" si="3"/>
        <v>0</v>
      </c>
      <c r="I32" s="34">
        <f t="shared" si="3"/>
        <v>0</v>
      </c>
      <c r="J32" s="34">
        <f t="shared" si="3"/>
        <v>0</v>
      </c>
      <c r="K32" s="34">
        <f t="shared" si="3"/>
        <v>0</v>
      </c>
      <c r="L32" s="34">
        <f t="shared" si="3"/>
        <v>0</v>
      </c>
      <c r="M32" s="34">
        <f t="shared" si="3"/>
        <v>0</v>
      </c>
      <c r="N32" s="34">
        <f t="shared" si="3"/>
        <v>0</v>
      </c>
      <c r="O32" s="34">
        <f t="shared" si="3"/>
        <v>0</v>
      </c>
      <c r="P32" s="34">
        <f t="shared" si="3"/>
        <v>0</v>
      </c>
      <c r="Q32" s="34">
        <f t="shared" si="3"/>
        <v>0</v>
      </c>
      <c r="R32" s="34">
        <f t="shared" si="3"/>
        <v>0</v>
      </c>
      <c r="S32" s="34">
        <f t="shared" si="3"/>
        <v>0</v>
      </c>
      <c r="T32" s="34">
        <f t="shared" si="3"/>
        <v>0</v>
      </c>
      <c r="U32" s="34">
        <f t="shared" si="3"/>
        <v>0</v>
      </c>
      <c r="V32" s="34">
        <f t="shared" si="3"/>
        <v>0</v>
      </c>
      <c r="W32" s="34">
        <f t="shared" si="3"/>
        <v>0</v>
      </c>
      <c r="X32" s="34">
        <f t="shared" si="3"/>
        <v>0</v>
      </c>
      <c r="Y32" s="34">
        <f t="shared" si="3"/>
        <v>0</v>
      </c>
      <c r="Z32" s="34">
        <f t="shared" si="3"/>
        <v>0</v>
      </c>
      <c r="AA32" s="34">
        <f t="shared" si="3"/>
        <v>0</v>
      </c>
      <c r="AB32" s="34">
        <f t="shared" si="3"/>
        <v>0</v>
      </c>
      <c r="AC32" s="34">
        <f t="shared" si="3"/>
        <v>0</v>
      </c>
      <c r="AD32" s="34">
        <f t="shared" si="3"/>
        <v>0</v>
      </c>
      <c r="AE32" s="34">
        <f t="shared" si="3"/>
        <v>0</v>
      </c>
      <c r="AF32" s="34">
        <f t="shared" si="3"/>
        <v>0</v>
      </c>
      <c r="AG32" s="34">
        <f t="shared" si="3"/>
        <v>0</v>
      </c>
      <c r="AH32" s="31">
        <f t="shared" si="4"/>
        <v>0</v>
      </c>
    </row>
    <row r="33" spans="1:34" x14ac:dyDescent="0.25">
      <c r="B33" s="1" t="s">
        <v>60</v>
      </c>
      <c r="D33" s="34">
        <f t="shared" si="3"/>
        <v>0</v>
      </c>
      <c r="E33" s="34">
        <f t="shared" si="3"/>
        <v>0</v>
      </c>
      <c r="F33" s="34">
        <f t="shared" si="3"/>
        <v>0</v>
      </c>
      <c r="G33" s="34">
        <f t="shared" si="3"/>
        <v>0</v>
      </c>
      <c r="H33" s="34">
        <f t="shared" si="3"/>
        <v>0</v>
      </c>
      <c r="I33" s="34">
        <f t="shared" si="3"/>
        <v>0</v>
      </c>
      <c r="J33" s="34">
        <f t="shared" si="3"/>
        <v>0</v>
      </c>
      <c r="K33" s="34">
        <f t="shared" si="3"/>
        <v>0</v>
      </c>
      <c r="L33" s="34">
        <f t="shared" si="3"/>
        <v>0</v>
      </c>
      <c r="M33" s="34">
        <f t="shared" si="3"/>
        <v>0</v>
      </c>
      <c r="N33" s="34">
        <f t="shared" si="3"/>
        <v>0</v>
      </c>
      <c r="O33" s="34">
        <f t="shared" si="3"/>
        <v>0</v>
      </c>
      <c r="P33" s="34">
        <f t="shared" si="3"/>
        <v>0</v>
      </c>
      <c r="Q33" s="34">
        <f t="shared" si="3"/>
        <v>0</v>
      </c>
      <c r="R33" s="34">
        <f t="shared" si="3"/>
        <v>0</v>
      </c>
      <c r="S33" s="34">
        <f t="shared" si="3"/>
        <v>0</v>
      </c>
      <c r="T33" s="34">
        <f t="shared" si="3"/>
        <v>0</v>
      </c>
      <c r="U33" s="34">
        <f t="shared" si="3"/>
        <v>0</v>
      </c>
      <c r="V33" s="34">
        <f t="shared" si="3"/>
        <v>0</v>
      </c>
      <c r="W33" s="34">
        <f t="shared" si="3"/>
        <v>0</v>
      </c>
      <c r="X33" s="34">
        <f t="shared" si="3"/>
        <v>0</v>
      </c>
      <c r="Y33" s="34">
        <f t="shared" si="3"/>
        <v>0</v>
      </c>
      <c r="Z33" s="34">
        <f t="shared" si="3"/>
        <v>0</v>
      </c>
      <c r="AA33" s="34">
        <f t="shared" si="3"/>
        <v>0</v>
      </c>
      <c r="AB33" s="34">
        <f t="shared" si="3"/>
        <v>0</v>
      </c>
      <c r="AC33" s="34">
        <f t="shared" si="3"/>
        <v>0</v>
      </c>
      <c r="AD33" s="34">
        <f t="shared" si="3"/>
        <v>0</v>
      </c>
      <c r="AE33" s="34">
        <f t="shared" si="3"/>
        <v>0</v>
      </c>
      <c r="AF33" s="34">
        <f t="shared" si="3"/>
        <v>0</v>
      </c>
      <c r="AG33" s="34">
        <f t="shared" si="3"/>
        <v>0</v>
      </c>
      <c r="AH33" s="31">
        <f t="shared" si="4"/>
        <v>0</v>
      </c>
    </row>
    <row r="34" spans="1:34" x14ac:dyDescent="0.25">
      <c r="B34" s="1" t="s">
        <v>0</v>
      </c>
      <c r="D34" s="34">
        <f t="shared" ref="D34:AG34" si="5">SUM(D28:D33)</f>
        <v>0</v>
      </c>
      <c r="E34" s="34">
        <f t="shared" si="5"/>
        <v>0</v>
      </c>
      <c r="F34" s="34">
        <f t="shared" si="5"/>
        <v>0</v>
      </c>
      <c r="G34" s="34">
        <f t="shared" si="5"/>
        <v>0</v>
      </c>
      <c r="H34" s="34">
        <f t="shared" si="5"/>
        <v>0</v>
      </c>
      <c r="I34" s="34">
        <f t="shared" si="5"/>
        <v>0</v>
      </c>
      <c r="J34" s="34">
        <f t="shared" si="5"/>
        <v>0</v>
      </c>
      <c r="K34" s="34">
        <f t="shared" si="5"/>
        <v>0</v>
      </c>
      <c r="L34" s="34">
        <f t="shared" si="5"/>
        <v>0</v>
      </c>
      <c r="M34" s="34">
        <f t="shared" si="5"/>
        <v>0</v>
      </c>
      <c r="N34" s="34">
        <f t="shared" si="5"/>
        <v>0</v>
      </c>
      <c r="O34" s="34">
        <f t="shared" si="5"/>
        <v>0</v>
      </c>
      <c r="P34" s="34">
        <f t="shared" si="5"/>
        <v>0</v>
      </c>
      <c r="Q34" s="34">
        <f t="shared" si="5"/>
        <v>0</v>
      </c>
      <c r="R34" s="34">
        <f t="shared" si="5"/>
        <v>0</v>
      </c>
      <c r="S34" s="34">
        <f t="shared" si="5"/>
        <v>0</v>
      </c>
      <c r="T34" s="34">
        <f t="shared" si="5"/>
        <v>0</v>
      </c>
      <c r="U34" s="34">
        <f t="shared" si="5"/>
        <v>0</v>
      </c>
      <c r="V34" s="34">
        <f t="shared" si="5"/>
        <v>0</v>
      </c>
      <c r="W34" s="34">
        <f t="shared" si="5"/>
        <v>0</v>
      </c>
      <c r="X34" s="34">
        <f t="shared" si="5"/>
        <v>0</v>
      </c>
      <c r="Y34" s="34">
        <f t="shared" si="5"/>
        <v>0</v>
      </c>
      <c r="Z34" s="34">
        <f t="shared" si="5"/>
        <v>0</v>
      </c>
      <c r="AA34" s="34">
        <f t="shared" si="5"/>
        <v>0</v>
      </c>
      <c r="AB34" s="34">
        <f t="shared" si="5"/>
        <v>0</v>
      </c>
      <c r="AC34" s="34">
        <f t="shared" si="5"/>
        <v>0</v>
      </c>
      <c r="AD34" s="34">
        <f t="shared" si="5"/>
        <v>0</v>
      </c>
      <c r="AE34" s="34">
        <f t="shared" si="5"/>
        <v>0</v>
      </c>
      <c r="AF34" s="34">
        <f t="shared" si="5"/>
        <v>0</v>
      </c>
      <c r="AG34" s="34">
        <f t="shared" si="5"/>
        <v>0</v>
      </c>
      <c r="AH34" s="31">
        <f t="shared" si="4"/>
        <v>0</v>
      </c>
    </row>
    <row r="36" spans="1:34" ht="36" customHeight="1" x14ac:dyDescent="0.25">
      <c r="A36" s="1" t="s">
        <v>111</v>
      </c>
      <c r="B36" s="75"/>
      <c r="C36" s="180">
        <f>'CF WA Elec'!E19</f>
        <v>0.9560685516223647</v>
      </c>
      <c r="D36" s="28">
        <f t="shared" ref="D36:AG36" si="6">D8</f>
        <v>44927</v>
      </c>
      <c r="E36" s="28">
        <f t="shared" si="6"/>
        <v>44958</v>
      </c>
      <c r="F36" s="28">
        <f t="shared" si="6"/>
        <v>44986</v>
      </c>
      <c r="G36" s="28">
        <f t="shared" si="6"/>
        <v>45017</v>
      </c>
      <c r="H36" s="28">
        <f t="shared" si="6"/>
        <v>45047</v>
      </c>
      <c r="I36" s="28">
        <f t="shared" si="6"/>
        <v>45078</v>
      </c>
      <c r="J36" s="28">
        <f t="shared" si="6"/>
        <v>45108</v>
      </c>
      <c r="K36" s="28">
        <f t="shared" si="6"/>
        <v>45139</v>
      </c>
      <c r="L36" s="28">
        <f t="shared" si="6"/>
        <v>45170</v>
      </c>
      <c r="M36" s="28">
        <f t="shared" si="6"/>
        <v>45200</v>
      </c>
      <c r="N36" s="28">
        <f t="shared" si="6"/>
        <v>45231</v>
      </c>
      <c r="O36" s="28">
        <f t="shared" si="6"/>
        <v>45261</v>
      </c>
      <c r="P36" s="28">
        <f t="shared" si="6"/>
        <v>45292</v>
      </c>
      <c r="Q36" s="28">
        <f t="shared" si="6"/>
        <v>45323</v>
      </c>
      <c r="R36" s="28">
        <f t="shared" si="6"/>
        <v>45352</v>
      </c>
      <c r="S36" s="28">
        <f t="shared" si="6"/>
        <v>45383</v>
      </c>
      <c r="T36" s="28">
        <f t="shared" si="6"/>
        <v>45413</v>
      </c>
      <c r="U36" s="28">
        <f t="shared" si="6"/>
        <v>45444</v>
      </c>
      <c r="V36" s="28">
        <f t="shared" si="6"/>
        <v>45474</v>
      </c>
      <c r="W36" s="28">
        <f t="shared" si="6"/>
        <v>45505</v>
      </c>
      <c r="X36" s="28">
        <f t="shared" si="6"/>
        <v>45536</v>
      </c>
      <c r="Y36" s="28">
        <f t="shared" si="6"/>
        <v>45566</v>
      </c>
      <c r="Z36" s="28">
        <f t="shared" si="6"/>
        <v>45597</v>
      </c>
      <c r="AA36" s="28">
        <f t="shared" si="6"/>
        <v>45627</v>
      </c>
      <c r="AB36" s="28">
        <f t="shared" si="6"/>
        <v>45658</v>
      </c>
      <c r="AC36" s="28">
        <f t="shared" si="6"/>
        <v>45689</v>
      </c>
      <c r="AD36" s="28">
        <f t="shared" si="6"/>
        <v>45717</v>
      </c>
      <c r="AE36" s="28">
        <f t="shared" si="6"/>
        <v>45748</v>
      </c>
      <c r="AF36" s="28">
        <f t="shared" si="6"/>
        <v>45778</v>
      </c>
      <c r="AG36" s="28">
        <f t="shared" si="6"/>
        <v>45809</v>
      </c>
    </row>
    <row r="37" spans="1:34" x14ac:dyDescent="0.25">
      <c r="B37" s="1" t="s">
        <v>55</v>
      </c>
      <c r="D37" s="34">
        <f t="shared" ref="D37:AG42" si="7">D28*$C$36</f>
        <v>0</v>
      </c>
      <c r="E37" s="34">
        <f t="shared" si="7"/>
        <v>0</v>
      </c>
      <c r="F37" s="34">
        <f t="shared" si="7"/>
        <v>0</v>
      </c>
      <c r="G37" s="34">
        <f t="shared" si="7"/>
        <v>0</v>
      </c>
      <c r="H37" s="34">
        <f t="shared" si="7"/>
        <v>0</v>
      </c>
      <c r="I37" s="34">
        <f t="shared" si="7"/>
        <v>0</v>
      </c>
      <c r="J37" s="34">
        <f t="shared" si="7"/>
        <v>0</v>
      </c>
      <c r="K37" s="34">
        <f t="shared" si="7"/>
        <v>0</v>
      </c>
      <c r="L37" s="34">
        <f t="shared" si="7"/>
        <v>0</v>
      </c>
      <c r="M37" s="34">
        <f t="shared" si="7"/>
        <v>0</v>
      </c>
      <c r="N37" s="34">
        <f t="shared" si="7"/>
        <v>0</v>
      </c>
      <c r="O37" s="34">
        <f t="shared" si="7"/>
        <v>0</v>
      </c>
      <c r="P37" s="34">
        <f t="shared" si="7"/>
        <v>0</v>
      </c>
      <c r="Q37" s="34">
        <f t="shared" si="7"/>
        <v>0</v>
      </c>
      <c r="R37" s="34">
        <f t="shared" si="7"/>
        <v>0</v>
      </c>
      <c r="S37" s="34">
        <f t="shared" si="7"/>
        <v>0</v>
      </c>
      <c r="T37" s="34">
        <f t="shared" si="7"/>
        <v>0</v>
      </c>
      <c r="U37" s="34">
        <f t="shared" si="7"/>
        <v>0</v>
      </c>
      <c r="V37" s="34">
        <f t="shared" si="7"/>
        <v>0</v>
      </c>
      <c r="W37" s="34">
        <f t="shared" si="7"/>
        <v>0</v>
      </c>
      <c r="X37" s="34">
        <f t="shared" si="7"/>
        <v>0</v>
      </c>
      <c r="Y37" s="34">
        <f t="shared" si="7"/>
        <v>0</v>
      </c>
      <c r="Z37" s="34">
        <f t="shared" si="7"/>
        <v>0</v>
      </c>
      <c r="AA37" s="34">
        <f t="shared" si="7"/>
        <v>0</v>
      </c>
      <c r="AB37" s="34">
        <f t="shared" si="7"/>
        <v>0</v>
      </c>
      <c r="AC37" s="34">
        <f t="shared" si="7"/>
        <v>0</v>
      </c>
      <c r="AD37" s="34">
        <f t="shared" si="7"/>
        <v>0</v>
      </c>
      <c r="AE37" s="34">
        <f t="shared" si="7"/>
        <v>0</v>
      </c>
      <c r="AF37" s="34">
        <f t="shared" si="7"/>
        <v>0</v>
      </c>
      <c r="AG37" s="34">
        <f t="shared" si="7"/>
        <v>0</v>
      </c>
      <c r="AH37" s="31">
        <f t="shared" ref="AH37:AH42" si="8">SUM(D37:AG37)</f>
        <v>0</v>
      </c>
    </row>
    <row r="38" spans="1:34" x14ac:dyDescent="0.25">
      <c r="B38" s="1" t="s">
        <v>56</v>
      </c>
      <c r="D38" s="34">
        <f t="shared" si="7"/>
        <v>0</v>
      </c>
      <c r="E38" s="34">
        <f t="shared" si="7"/>
        <v>0</v>
      </c>
      <c r="F38" s="34">
        <f t="shared" si="7"/>
        <v>0</v>
      </c>
      <c r="G38" s="34">
        <f t="shared" si="7"/>
        <v>0</v>
      </c>
      <c r="H38" s="34">
        <f t="shared" si="7"/>
        <v>0</v>
      </c>
      <c r="I38" s="34">
        <f t="shared" si="7"/>
        <v>0</v>
      </c>
      <c r="J38" s="34">
        <f t="shared" si="7"/>
        <v>0</v>
      </c>
      <c r="K38" s="34">
        <f t="shared" si="7"/>
        <v>0</v>
      </c>
      <c r="L38" s="34">
        <f t="shared" si="7"/>
        <v>0</v>
      </c>
      <c r="M38" s="34">
        <f t="shared" si="7"/>
        <v>0</v>
      </c>
      <c r="N38" s="34">
        <f t="shared" si="7"/>
        <v>0</v>
      </c>
      <c r="O38" s="34">
        <f t="shared" si="7"/>
        <v>0</v>
      </c>
      <c r="P38" s="34">
        <f t="shared" si="7"/>
        <v>0</v>
      </c>
      <c r="Q38" s="34">
        <f t="shared" si="7"/>
        <v>0</v>
      </c>
      <c r="R38" s="34">
        <f t="shared" si="7"/>
        <v>0</v>
      </c>
      <c r="S38" s="34">
        <f t="shared" si="7"/>
        <v>0</v>
      </c>
      <c r="T38" s="34">
        <f t="shared" si="7"/>
        <v>0</v>
      </c>
      <c r="U38" s="34">
        <f t="shared" si="7"/>
        <v>0</v>
      </c>
      <c r="V38" s="34">
        <f t="shared" si="7"/>
        <v>0</v>
      </c>
      <c r="W38" s="34">
        <f t="shared" si="7"/>
        <v>0</v>
      </c>
      <c r="X38" s="34">
        <f t="shared" si="7"/>
        <v>0</v>
      </c>
      <c r="Y38" s="34">
        <f t="shared" si="7"/>
        <v>0</v>
      </c>
      <c r="Z38" s="34">
        <f t="shared" si="7"/>
        <v>0</v>
      </c>
      <c r="AA38" s="34">
        <f t="shared" si="7"/>
        <v>0</v>
      </c>
      <c r="AB38" s="34">
        <f t="shared" si="7"/>
        <v>0</v>
      </c>
      <c r="AC38" s="34">
        <f t="shared" si="7"/>
        <v>0</v>
      </c>
      <c r="AD38" s="34">
        <f t="shared" si="7"/>
        <v>0</v>
      </c>
      <c r="AE38" s="34">
        <f t="shared" si="7"/>
        <v>0</v>
      </c>
      <c r="AF38" s="34">
        <f t="shared" si="7"/>
        <v>0</v>
      </c>
      <c r="AG38" s="34">
        <f t="shared" si="7"/>
        <v>0</v>
      </c>
      <c r="AH38" s="31">
        <f t="shared" si="8"/>
        <v>0</v>
      </c>
    </row>
    <row r="39" spans="1:34" x14ac:dyDescent="0.25">
      <c r="B39" s="1" t="s">
        <v>57</v>
      </c>
      <c r="D39" s="34">
        <f t="shared" si="7"/>
        <v>0</v>
      </c>
      <c r="E39" s="34">
        <f t="shared" si="7"/>
        <v>0</v>
      </c>
      <c r="F39" s="34">
        <f t="shared" si="7"/>
        <v>0</v>
      </c>
      <c r="G39" s="34">
        <f t="shared" si="7"/>
        <v>0</v>
      </c>
      <c r="H39" s="34">
        <f t="shared" si="7"/>
        <v>0</v>
      </c>
      <c r="I39" s="34">
        <f t="shared" si="7"/>
        <v>0</v>
      </c>
      <c r="J39" s="34">
        <f t="shared" si="7"/>
        <v>0</v>
      </c>
      <c r="K39" s="34">
        <f t="shared" si="7"/>
        <v>0</v>
      </c>
      <c r="L39" s="34">
        <f t="shared" si="7"/>
        <v>0</v>
      </c>
      <c r="M39" s="34">
        <f t="shared" si="7"/>
        <v>0</v>
      </c>
      <c r="N39" s="34">
        <f t="shared" si="7"/>
        <v>0</v>
      </c>
      <c r="O39" s="34">
        <f t="shared" si="7"/>
        <v>0</v>
      </c>
      <c r="P39" s="34">
        <f t="shared" si="7"/>
        <v>0</v>
      </c>
      <c r="Q39" s="34">
        <f t="shared" si="7"/>
        <v>0</v>
      </c>
      <c r="R39" s="34">
        <f t="shared" si="7"/>
        <v>0</v>
      </c>
      <c r="S39" s="34">
        <f t="shared" si="7"/>
        <v>0</v>
      </c>
      <c r="T39" s="34">
        <f t="shared" si="7"/>
        <v>0</v>
      </c>
      <c r="U39" s="34">
        <f t="shared" si="7"/>
        <v>0</v>
      </c>
      <c r="V39" s="34">
        <f t="shared" si="7"/>
        <v>0</v>
      </c>
      <c r="W39" s="34">
        <f t="shared" si="7"/>
        <v>0</v>
      </c>
      <c r="X39" s="34">
        <f t="shared" si="7"/>
        <v>0</v>
      </c>
      <c r="Y39" s="34">
        <f t="shared" si="7"/>
        <v>0</v>
      </c>
      <c r="Z39" s="34">
        <f t="shared" si="7"/>
        <v>0</v>
      </c>
      <c r="AA39" s="34">
        <f t="shared" si="7"/>
        <v>0</v>
      </c>
      <c r="AB39" s="34">
        <f t="shared" si="7"/>
        <v>0</v>
      </c>
      <c r="AC39" s="34">
        <f t="shared" si="7"/>
        <v>0</v>
      </c>
      <c r="AD39" s="34">
        <f t="shared" si="7"/>
        <v>0</v>
      </c>
      <c r="AE39" s="34">
        <f t="shared" si="7"/>
        <v>0</v>
      </c>
      <c r="AF39" s="34">
        <f t="shared" si="7"/>
        <v>0</v>
      </c>
      <c r="AG39" s="34">
        <f t="shared" si="7"/>
        <v>0</v>
      </c>
      <c r="AH39" s="31">
        <f t="shared" si="8"/>
        <v>0</v>
      </c>
    </row>
    <row r="40" spans="1:34" x14ac:dyDescent="0.25">
      <c r="B40" s="1" t="s">
        <v>58</v>
      </c>
      <c r="D40" s="34">
        <f t="shared" si="7"/>
        <v>0</v>
      </c>
      <c r="E40" s="34">
        <f t="shared" si="7"/>
        <v>0</v>
      </c>
      <c r="F40" s="34">
        <f t="shared" si="7"/>
        <v>0</v>
      </c>
      <c r="G40" s="34">
        <f t="shared" si="7"/>
        <v>0</v>
      </c>
      <c r="H40" s="34">
        <f t="shared" si="7"/>
        <v>0</v>
      </c>
      <c r="I40" s="34">
        <f t="shared" si="7"/>
        <v>0</v>
      </c>
      <c r="J40" s="34">
        <f t="shared" si="7"/>
        <v>0</v>
      </c>
      <c r="K40" s="34">
        <f t="shared" si="7"/>
        <v>0</v>
      </c>
      <c r="L40" s="34">
        <f t="shared" si="7"/>
        <v>0</v>
      </c>
      <c r="M40" s="34">
        <f t="shared" si="7"/>
        <v>0</v>
      </c>
      <c r="N40" s="34">
        <f t="shared" si="7"/>
        <v>0</v>
      </c>
      <c r="O40" s="34">
        <f t="shared" si="7"/>
        <v>0</v>
      </c>
      <c r="P40" s="34">
        <f t="shared" si="7"/>
        <v>0</v>
      </c>
      <c r="Q40" s="34">
        <f t="shared" si="7"/>
        <v>0</v>
      </c>
      <c r="R40" s="34">
        <f t="shared" si="7"/>
        <v>0</v>
      </c>
      <c r="S40" s="34">
        <f t="shared" si="7"/>
        <v>0</v>
      </c>
      <c r="T40" s="34">
        <f t="shared" si="7"/>
        <v>0</v>
      </c>
      <c r="U40" s="34">
        <f t="shared" si="7"/>
        <v>0</v>
      </c>
      <c r="V40" s="34">
        <f t="shared" si="7"/>
        <v>0</v>
      </c>
      <c r="W40" s="34">
        <f t="shared" si="7"/>
        <v>0</v>
      </c>
      <c r="X40" s="34">
        <f t="shared" si="7"/>
        <v>0</v>
      </c>
      <c r="Y40" s="34">
        <f t="shared" si="7"/>
        <v>0</v>
      </c>
      <c r="Z40" s="34">
        <f t="shared" si="7"/>
        <v>0</v>
      </c>
      <c r="AA40" s="34">
        <f t="shared" si="7"/>
        <v>0</v>
      </c>
      <c r="AB40" s="34">
        <f t="shared" si="7"/>
        <v>0</v>
      </c>
      <c r="AC40" s="34">
        <f t="shared" si="7"/>
        <v>0</v>
      </c>
      <c r="AD40" s="34">
        <f t="shared" si="7"/>
        <v>0</v>
      </c>
      <c r="AE40" s="34">
        <f t="shared" si="7"/>
        <v>0</v>
      </c>
      <c r="AF40" s="34">
        <f t="shared" si="7"/>
        <v>0</v>
      </c>
      <c r="AG40" s="34">
        <f t="shared" si="7"/>
        <v>0</v>
      </c>
      <c r="AH40" s="31">
        <f t="shared" si="8"/>
        <v>0</v>
      </c>
    </row>
    <row r="41" spans="1:34" x14ac:dyDescent="0.25">
      <c r="B41" s="1" t="s">
        <v>59</v>
      </c>
      <c r="D41" s="34">
        <f t="shared" si="7"/>
        <v>0</v>
      </c>
      <c r="E41" s="34">
        <f t="shared" si="7"/>
        <v>0</v>
      </c>
      <c r="F41" s="34">
        <f t="shared" si="7"/>
        <v>0</v>
      </c>
      <c r="G41" s="34">
        <f t="shared" si="7"/>
        <v>0</v>
      </c>
      <c r="H41" s="34">
        <f t="shared" si="7"/>
        <v>0</v>
      </c>
      <c r="I41" s="34">
        <f t="shared" si="7"/>
        <v>0</v>
      </c>
      <c r="J41" s="34">
        <f t="shared" si="7"/>
        <v>0</v>
      </c>
      <c r="K41" s="34">
        <f t="shared" si="7"/>
        <v>0</v>
      </c>
      <c r="L41" s="34">
        <f t="shared" si="7"/>
        <v>0</v>
      </c>
      <c r="M41" s="34">
        <f t="shared" si="7"/>
        <v>0</v>
      </c>
      <c r="N41" s="34">
        <f t="shared" si="7"/>
        <v>0</v>
      </c>
      <c r="O41" s="34">
        <f t="shared" si="7"/>
        <v>0</v>
      </c>
      <c r="P41" s="34">
        <f t="shared" si="7"/>
        <v>0</v>
      </c>
      <c r="Q41" s="34">
        <f t="shared" si="7"/>
        <v>0</v>
      </c>
      <c r="R41" s="34">
        <f t="shared" si="7"/>
        <v>0</v>
      </c>
      <c r="S41" s="34">
        <f t="shared" si="7"/>
        <v>0</v>
      </c>
      <c r="T41" s="34">
        <f t="shared" si="7"/>
        <v>0</v>
      </c>
      <c r="U41" s="34">
        <f t="shared" si="7"/>
        <v>0</v>
      </c>
      <c r="V41" s="34">
        <f t="shared" si="7"/>
        <v>0</v>
      </c>
      <c r="W41" s="34">
        <f t="shared" si="7"/>
        <v>0</v>
      </c>
      <c r="X41" s="34">
        <f t="shared" si="7"/>
        <v>0</v>
      </c>
      <c r="Y41" s="34">
        <f t="shared" si="7"/>
        <v>0</v>
      </c>
      <c r="Z41" s="34">
        <f t="shared" si="7"/>
        <v>0</v>
      </c>
      <c r="AA41" s="34">
        <f t="shared" si="7"/>
        <v>0</v>
      </c>
      <c r="AB41" s="34">
        <f t="shared" si="7"/>
        <v>0</v>
      </c>
      <c r="AC41" s="34">
        <f t="shared" si="7"/>
        <v>0</v>
      </c>
      <c r="AD41" s="34">
        <f t="shared" si="7"/>
        <v>0</v>
      </c>
      <c r="AE41" s="34">
        <f t="shared" si="7"/>
        <v>0</v>
      </c>
      <c r="AF41" s="34">
        <f t="shared" si="7"/>
        <v>0</v>
      </c>
      <c r="AG41" s="34">
        <f t="shared" si="7"/>
        <v>0</v>
      </c>
      <c r="AH41" s="31">
        <f t="shared" si="8"/>
        <v>0</v>
      </c>
    </row>
    <row r="42" spans="1:34" x14ac:dyDescent="0.25">
      <c r="B42" s="66" t="s">
        <v>60</v>
      </c>
      <c r="D42" s="36">
        <f t="shared" si="7"/>
        <v>0</v>
      </c>
      <c r="E42" s="36">
        <f t="shared" si="7"/>
        <v>0</v>
      </c>
      <c r="F42" s="36">
        <f t="shared" si="7"/>
        <v>0</v>
      </c>
      <c r="G42" s="36">
        <f t="shared" si="7"/>
        <v>0</v>
      </c>
      <c r="H42" s="36">
        <f t="shared" si="7"/>
        <v>0</v>
      </c>
      <c r="I42" s="36">
        <f t="shared" si="7"/>
        <v>0</v>
      </c>
      <c r="J42" s="36">
        <f t="shared" si="7"/>
        <v>0</v>
      </c>
      <c r="K42" s="36">
        <f t="shared" si="7"/>
        <v>0</v>
      </c>
      <c r="L42" s="36">
        <f t="shared" si="7"/>
        <v>0</v>
      </c>
      <c r="M42" s="36">
        <f t="shared" si="7"/>
        <v>0</v>
      </c>
      <c r="N42" s="36">
        <f t="shared" si="7"/>
        <v>0</v>
      </c>
      <c r="O42" s="36">
        <f t="shared" si="7"/>
        <v>0</v>
      </c>
      <c r="P42" s="36">
        <f t="shared" si="7"/>
        <v>0</v>
      </c>
      <c r="Q42" s="36">
        <f t="shared" si="7"/>
        <v>0</v>
      </c>
      <c r="R42" s="36">
        <f t="shared" si="7"/>
        <v>0</v>
      </c>
      <c r="S42" s="36">
        <f t="shared" si="7"/>
        <v>0</v>
      </c>
      <c r="T42" s="36">
        <f t="shared" si="7"/>
        <v>0</v>
      </c>
      <c r="U42" s="36">
        <f t="shared" si="7"/>
        <v>0</v>
      </c>
      <c r="V42" s="36">
        <f t="shared" si="7"/>
        <v>0</v>
      </c>
      <c r="W42" s="36">
        <f t="shared" si="7"/>
        <v>0</v>
      </c>
      <c r="X42" s="36">
        <f t="shared" si="7"/>
        <v>0</v>
      </c>
      <c r="Y42" s="36">
        <f t="shared" si="7"/>
        <v>0</v>
      </c>
      <c r="Z42" s="36">
        <f t="shared" si="7"/>
        <v>0</v>
      </c>
      <c r="AA42" s="36">
        <f t="shared" si="7"/>
        <v>0</v>
      </c>
      <c r="AB42" s="36">
        <f t="shared" si="7"/>
        <v>0</v>
      </c>
      <c r="AC42" s="36">
        <f t="shared" si="7"/>
        <v>0</v>
      </c>
      <c r="AD42" s="36">
        <f t="shared" si="7"/>
        <v>0</v>
      </c>
      <c r="AE42" s="36">
        <f t="shared" si="7"/>
        <v>0</v>
      </c>
      <c r="AF42" s="36">
        <f t="shared" si="7"/>
        <v>0</v>
      </c>
      <c r="AG42" s="36">
        <f t="shared" si="7"/>
        <v>0</v>
      </c>
      <c r="AH42" s="31">
        <f t="shared" si="8"/>
        <v>0</v>
      </c>
    </row>
    <row r="43" spans="1:34" x14ac:dyDescent="0.25">
      <c r="B43" s="1" t="s">
        <v>0</v>
      </c>
      <c r="C43" s="24"/>
      <c r="D43" s="35">
        <f t="shared" ref="D43:AG43" si="9">SUM(D37:D42)</f>
        <v>0</v>
      </c>
      <c r="E43" s="35">
        <f t="shared" si="9"/>
        <v>0</v>
      </c>
      <c r="F43" s="35">
        <f t="shared" si="9"/>
        <v>0</v>
      </c>
      <c r="G43" s="35">
        <f t="shared" si="9"/>
        <v>0</v>
      </c>
      <c r="H43" s="35">
        <f t="shared" si="9"/>
        <v>0</v>
      </c>
      <c r="I43" s="35">
        <f t="shared" si="9"/>
        <v>0</v>
      </c>
      <c r="J43" s="35">
        <f t="shared" si="9"/>
        <v>0</v>
      </c>
      <c r="K43" s="35">
        <f t="shared" si="9"/>
        <v>0</v>
      </c>
      <c r="L43" s="35">
        <f t="shared" si="9"/>
        <v>0</v>
      </c>
      <c r="M43" s="35">
        <f t="shared" si="9"/>
        <v>0</v>
      </c>
      <c r="N43" s="35">
        <f t="shared" si="9"/>
        <v>0</v>
      </c>
      <c r="O43" s="35">
        <f t="shared" si="9"/>
        <v>0</v>
      </c>
      <c r="P43" s="35">
        <f t="shared" si="9"/>
        <v>0</v>
      </c>
      <c r="Q43" s="35">
        <f t="shared" si="9"/>
        <v>0</v>
      </c>
      <c r="R43" s="35">
        <f t="shared" si="9"/>
        <v>0</v>
      </c>
      <c r="S43" s="35">
        <f t="shared" si="9"/>
        <v>0</v>
      </c>
      <c r="T43" s="35">
        <f t="shared" si="9"/>
        <v>0</v>
      </c>
      <c r="U43" s="35">
        <f t="shared" si="9"/>
        <v>0</v>
      </c>
      <c r="V43" s="35">
        <f t="shared" si="9"/>
        <v>0</v>
      </c>
      <c r="W43" s="35">
        <f t="shared" si="9"/>
        <v>0</v>
      </c>
      <c r="X43" s="35">
        <f t="shared" si="9"/>
        <v>0</v>
      </c>
      <c r="Y43" s="35">
        <f t="shared" si="9"/>
        <v>0</v>
      </c>
      <c r="Z43" s="35">
        <f t="shared" si="9"/>
        <v>0</v>
      </c>
      <c r="AA43" s="35">
        <f t="shared" si="9"/>
        <v>0</v>
      </c>
      <c r="AB43" s="35">
        <f t="shared" si="9"/>
        <v>0</v>
      </c>
      <c r="AC43" s="35">
        <f t="shared" si="9"/>
        <v>0</v>
      </c>
      <c r="AD43" s="35">
        <f t="shared" si="9"/>
        <v>0</v>
      </c>
      <c r="AE43" s="35">
        <f t="shared" si="9"/>
        <v>0</v>
      </c>
      <c r="AF43" s="35">
        <f t="shared" si="9"/>
        <v>0</v>
      </c>
      <c r="AG43" s="35">
        <f t="shared" si="9"/>
        <v>0</v>
      </c>
      <c r="AH43" s="31">
        <f>SUM(AH37:AH42)</f>
        <v>0</v>
      </c>
    </row>
    <row r="44" spans="1:34" x14ac:dyDescent="0.25">
      <c r="C44" s="64"/>
    </row>
    <row r="45" spans="1:34" x14ac:dyDescent="0.25">
      <c r="C45" s="64"/>
      <c r="D45" s="34"/>
      <c r="E45" s="34"/>
      <c r="F45" s="34"/>
      <c r="G45" s="34"/>
      <c r="H45" s="34"/>
      <c r="I45" s="34"/>
      <c r="J45" s="34"/>
      <c r="K45" s="34"/>
      <c r="L45" s="34"/>
    </row>
    <row r="47" spans="1:34" x14ac:dyDescent="0.25">
      <c r="D47" s="35"/>
      <c r="E47" s="35"/>
      <c r="F47" s="35"/>
      <c r="G47" s="35"/>
      <c r="H47" s="35"/>
      <c r="I47" s="35"/>
      <c r="J47" s="35"/>
      <c r="K47" s="35"/>
      <c r="L47" s="35"/>
    </row>
  </sheetData>
  <pageMargins left="0.7" right="0.7" top="0.75" bottom="0.75" header="0.3" footer="0.3"/>
  <pageSetup scale="21" orientation="landscape" r:id="rId1"/>
  <headerFooter>
    <oddFooter>&amp;L&amp;F&amp;RPage: &amp;P of &amp;N</oddFooter>
  </headerFooter>
  <colBreaks count="2" manualBreakCount="2">
    <brk id="12" max="1048575" man="1"/>
    <brk id="2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47"/>
  <sheetViews>
    <sheetView zoomScaleNormal="100" workbookViewId="0">
      <selection activeCell="AO18" sqref="AO18"/>
    </sheetView>
  </sheetViews>
  <sheetFormatPr defaultColWidth="9.140625" defaultRowHeight="15" x14ac:dyDescent="0.25"/>
  <cols>
    <col min="1" max="1" width="5" style="1" customWidth="1"/>
    <col min="2" max="2" width="28" style="1" customWidth="1"/>
    <col min="3" max="3" width="11.28515625" style="1" customWidth="1"/>
    <col min="4" max="12" width="13.42578125" style="1" bestFit="1" customWidth="1"/>
    <col min="13" max="13" width="14.28515625" style="1" bestFit="1" customWidth="1"/>
    <col min="14" max="14" width="12.5703125" style="1" bestFit="1" customWidth="1"/>
    <col min="15" max="21" width="14.42578125" style="1" customWidth="1"/>
    <col min="22" max="33" width="14.42578125" style="1" hidden="1" customWidth="1"/>
    <col min="34" max="34" width="15" style="1" customWidth="1"/>
    <col min="35" max="16384" width="9.140625" style="1"/>
  </cols>
  <sheetData>
    <row r="1" spans="1:34" x14ac:dyDescent="0.25">
      <c r="B1" s="44" t="s">
        <v>126</v>
      </c>
    </row>
    <row r="2" spans="1:34" x14ac:dyDescent="0.25">
      <c r="B2" s="44" t="s">
        <v>127</v>
      </c>
    </row>
    <row r="3" spans="1:34" x14ac:dyDescent="0.25">
      <c r="B3" s="102" t="s">
        <v>128</v>
      </c>
    </row>
    <row r="5" spans="1:34" x14ac:dyDescent="0.25">
      <c r="A5" s="27" t="s">
        <v>71</v>
      </c>
      <c r="B5" s="27"/>
    </row>
    <row r="8" spans="1:34" x14ac:dyDescent="0.25">
      <c r="A8" s="1" t="s">
        <v>54</v>
      </c>
      <c r="D8" s="28">
        <v>44927</v>
      </c>
      <c r="E8" s="28">
        <v>44958</v>
      </c>
      <c r="F8" s="28">
        <v>44986</v>
      </c>
      <c r="G8" s="28">
        <v>45017</v>
      </c>
      <c r="H8" s="28">
        <v>45047</v>
      </c>
      <c r="I8" s="28">
        <v>45078</v>
      </c>
      <c r="J8" s="28">
        <v>45108</v>
      </c>
      <c r="K8" s="28">
        <v>45139</v>
      </c>
      <c r="L8" s="28">
        <v>45170</v>
      </c>
      <c r="M8" s="28">
        <v>45200</v>
      </c>
      <c r="N8" s="28">
        <v>45231</v>
      </c>
      <c r="O8" s="28">
        <v>45261</v>
      </c>
      <c r="P8" s="28">
        <v>45292</v>
      </c>
      <c r="Q8" s="28">
        <v>45323</v>
      </c>
      <c r="R8" s="28">
        <v>45352</v>
      </c>
      <c r="S8" s="28">
        <v>45383</v>
      </c>
      <c r="T8" s="28">
        <v>45413</v>
      </c>
      <c r="U8" s="28">
        <v>45444</v>
      </c>
      <c r="V8" s="28">
        <v>45474</v>
      </c>
      <c r="W8" s="28">
        <v>45505</v>
      </c>
      <c r="X8" s="28">
        <v>45536</v>
      </c>
      <c r="Y8" s="28">
        <v>45566</v>
      </c>
      <c r="Z8" s="28">
        <v>45597</v>
      </c>
      <c r="AA8" s="28">
        <v>45627</v>
      </c>
      <c r="AB8" s="28">
        <v>45658</v>
      </c>
      <c r="AC8" s="28">
        <v>45689</v>
      </c>
      <c r="AD8" s="28">
        <v>45717</v>
      </c>
      <c r="AE8" s="28">
        <v>45748</v>
      </c>
      <c r="AF8" s="28">
        <v>45778</v>
      </c>
      <c r="AG8" s="28">
        <v>45809</v>
      </c>
      <c r="AH8" s="1" t="s">
        <v>112</v>
      </c>
    </row>
    <row r="9" spans="1:34" x14ac:dyDescent="0.25">
      <c r="B9" s="1" t="s">
        <v>83</v>
      </c>
      <c r="D9" s="29"/>
      <c r="E9" s="29"/>
      <c r="F9" s="29"/>
      <c r="G9" s="29"/>
      <c r="H9" s="29"/>
      <c r="I9" s="29"/>
      <c r="J9" s="29">
        <f>'kWh Forecast'!O19</f>
        <v>196453732.82550579</v>
      </c>
      <c r="K9" s="29">
        <f>'kWh Forecast'!P19</f>
        <v>209266297.60104942</v>
      </c>
      <c r="L9" s="29">
        <f>'kWh Forecast'!Q19</f>
        <v>155742734.78345945</v>
      </c>
      <c r="M9" s="29">
        <f>'kWh Forecast'!R19</f>
        <v>172836041.1291908</v>
      </c>
      <c r="N9" s="29">
        <f>'kWh Forecast'!S19</f>
        <v>230374929.5155212</v>
      </c>
      <c r="O9" s="29">
        <f>'kWh Forecast'!T19</f>
        <v>296917929.96332842</v>
      </c>
      <c r="P9" s="29">
        <f>'kWh Forecast'!U19</f>
        <v>302120264.33725601</v>
      </c>
      <c r="Q9" s="29">
        <f>'kWh Forecast'!V19</f>
        <v>255240200.66714668</v>
      </c>
      <c r="R9" s="29">
        <f>'kWh Forecast'!W19</f>
        <v>227481319.28180018</v>
      </c>
      <c r="S9" s="29">
        <f>'kWh Forecast'!X19</f>
        <v>185227052.39345241</v>
      </c>
      <c r="T9" s="29">
        <f>'kWh Forecast'!Y19</f>
        <v>166003779.48943084</v>
      </c>
      <c r="U9" s="29">
        <f>'kWh Forecast'!Z19</f>
        <v>163529472.4618564</v>
      </c>
      <c r="V9" s="29">
        <f>'kWh Forecast'!AA19</f>
        <v>0</v>
      </c>
      <c r="W9" s="29">
        <f>'kWh Forecast'!AB19</f>
        <v>0</v>
      </c>
      <c r="X9" s="29">
        <f>'kWh Forecast'!AC19</f>
        <v>0</v>
      </c>
      <c r="Y9" s="29">
        <f>'kWh Forecast'!AD19</f>
        <v>0</v>
      </c>
      <c r="Z9" s="29">
        <f>'kWh Forecast'!AE19</f>
        <v>0</v>
      </c>
      <c r="AA9" s="29">
        <f>'kWh Forecast'!AF19</f>
        <v>0</v>
      </c>
      <c r="AB9" s="29">
        <f>'kWh Forecast'!AG19</f>
        <v>0</v>
      </c>
      <c r="AC9" s="29">
        <f>'kWh Forecast'!AH19</f>
        <v>0</v>
      </c>
      <c r="AD9" s="29">
        <f>'kWh Forecast'!AI19</f>
        <v>0</v>
      </c>
      <c r="AE9" s="29">
        <f>'kWh Forecast'!AJ19</f>
        <v>0</v>
      </c>
      <c r="AF9" s="29">
        <f>'kWh Forecast'!AK19</f>
        <v>0</v>
      </c>
      <c r="AG9" s="29">
        <f>'kWh Forecast'!AL19</f>
        <v>0</v>
      </c>
      <c r="AH9" s="31">
        <f t="shared" ref="AH9:AH14" si="0">SUM(D9:AG9)</f>
        <v>2561193754.4489975</v>
      </c>
    </row>
    <row r="10" spans="1:34" x14ac:dyDescent="0.25">
      <c r="B10" s="1" t="s">
        <v>56</v>
      </c>
      <c r="D10" s="29"/>
      <c r="E10" s="29"/>
      <c r="F10" s="29"/>
      <c r="G10" s="29"/>
      <c r="H10" s="29"/>
      <c r="I10" s="29"/>
      <c r="J10" s="29">
        <f>'kWh Forecast'!O20</f>
        <v>56095221.520522907</v>
      </c>
      <c r="K10" s="29">
        <f>'kWh Forecast'!P20</f>
        <v>55464210.93044614</v>
      </c>
      <c r="L10" s="29">
        <f>'kWh Forecast'!Q20</f>
        <v>50215696.074492998</v>
      </c>
      <c r="M10" s="29">
        <f>'kWh Forecast'!R20</f>
        <v>51339208.212971874</v>
      </c>
      <c r="N10" s="29">
        <f>'kWh Forecast'!S20</f>
        <v>58664176.616294332</v>
      </c>
      <c r="O10" s="29">
        <f>'kWh Forecast'!T20</f>
        <v>64791544.926576048</v>
      </c>
      <c r="P10" s="29">
        <f>'kWh Forecast'!U20</f>
        <v>63770167.133059852</v>
      </c>
      <c r="Q10" s="29">
        <f>'kWh Forecast'!V20</f>
        <v>59995916.889757469</v>
      </c>
      <c r="R10" s="29">
        <f>'kWh Forecast'!W20</f>
        <v>56523371.587601081</v>
      </c>
      <c r="S10" s="29">
        <f>'kWh Forecast'!X20</f>
        <v>49684588.96441891</v>
      </c>
      <c r="T10" s="29">
        <f>'kWh Forecast'!Y20</f>
        <v>47934307.712073348</v>
      </c>
      <c r="U10" s="29">
        <f>'kWh Forecast'!Z20</f>
        <v>49363952.934894577</v>
      </c>
      <c r="V10" s="29">
        <f>'kWh Forecast'!AA20</f>
        <v>0</v>
      </c>
      <c r="W10" s="29">
        <f>'kWh Forecast'!AB20</f>
        <v>0</v>
      </c>
      <c r="X10" s="29">
        <f>'kWh Forecast'!AC20</f>
        <v>0</v>
      </c>
      <c r="Y10" s="29">
        <f>'kWh Forecast'!AD20</f>
        <v>0</v>
      </c>
      <c r="Z10" s="29">
        <f>'kWh Forecast'!AE20</f>
        <v>0</v>
      </c>
      <c r="AA10" s="29">
        <f>'kWh Forecast'!AF20</f>
        <v>0</v>
      </c>
      <c r="AB10" s="29">
        <f>'kWh Forecast'!AG20</f>
        <v>0</v>
      </c>
      <c r="AC10" s="29">
        <f>'kWh Forecast'!AH20</f>
        <v>0</v>
      </c>
      <c r="AD10" s="29">
        <f>'kWh Forecast'!AI20</f>
        <v>0</v>
      </c>
      <c r="AE10" s="29">
        <f>'kWh Forecast'!AJ20</f>
        <v>0</v>
      </c>
      <c r="AF10" s="29">
        <f>'kWh Forecast'!AK20</f>
        <v>0</v>
      </c>
      <c r="AG10" s="29">
        <f>'kWh Forecast'!AL20</f>
        <v>0</v>
      </c>
      <c r="AH10" s="31">
        <f t="shared" si="0"/>
        <v>663842363.50310946</v>
      </c>
    </row>
    <row r="11" spans="1:34" x14ac:dyDescent="0.25">
      <c r="B11" s="1" t="s">
        <v>57</v>
      </c>
      <c r="D11" s="29"/>
      <c r="E11" s="29"/>
      <c r="F11" s="29"/>
      <c r="G11" s="29"/>
      <c r="H11" s="29"/>
      <c r="I11" s="29"/>
      <c r="J11" s="29">
        <f>'kWh Forecast'!O21</f>
        <v>112977088.66465129</v>
      </c>
      <c r="K11" s="29">
        <f>'kWh Forecast'!P21</f>
        <v>108552418.62717734</v>
      </c>
      <c r="L11" s="29">
        <f>'kWh Forecast'!Q21</f>
        <v>100721399.38571118</v>
      </c>
      <c r="M11" s="29">
        <f>'kWh Forecast'!R21</f>
        <v>112819545.16367477</v>
      </c>
      <c r="N11" s="29">
        <f>'kWh Forecast'!S21</f>
        <v>110564910.48502697</v>
      </c>
      <c r="O11" s="29">
        <f>'kWh Forecast'!T21</f>
        <v>104642063.53924263</v>
      </c>
      <c r="P11" s="29">
        <f>'kWh Forecast'!U21</f>
        <v>102356312.41614927</v>
      </c>
      <c r="Q11" s="29">
        <f>'kWh Forecast'!V21</f>
        <v>104627299.63172153</v>
      </c>
      <c r="R11" s="29">
        <f>'kWh Forecast'!W21</f>
        <v>100434262.27371232</v>
      </c>
      <c r="S11" s="29">
        <f>'kWh Forecast'!X21</f>
        <v>97735561.821382791</v>
      </c>
      <c r="T11" s="29">
        <f>'kWh Forecast'!Y21</f>
        <v>100957379.1395191</v>
      </c>
      <c r="U11" s="29">
        <f>'kWh Forecast'!Z21</f>
        <v>106502920.78477423</v>
      </c>
      <c r="V11" s="29">
        <f>'kWh Forecast'!AA21</f>
        <v>0</v>
      </c>
      <c r="W11" s="29">
        <f>'kWh Forecast'!AB21</f>
        <v>0</v>
      </c>
      <c r="X11" s="29">
        <f>'kWh Forecast'!AC21</f>
        <v>0</v>
      </c>
      <c r="Y11" s="29">
        <f>'kWh Forecast'!AD21</f>
        <v>0</v>
      </c>
      <c r="Z11" s="29">
        <f>'kWh Forecast'!AE21</f>
        <v>0</v>
      </c>
      <c r="AA11" s="29">
        <f>'kWh Forecast'!AF21</f>
        <v>0</v>
      </c>
      <c r="AB11" s="29">
        <f>'kWh Forecast'!AG21</f>
        <v>0</v>
      </c>
      <c r="AC11" s="29">
        <f>'kWh Forecast'!AH21</f>
        <v>0</v>
      </c>
      <c r="AD11" s="29">
        <f>'kWh Forecast'!AI21</f>
        <v>0</v>
      </c>
      <c r="AE11" s="29">
        <f>'kWh Forecast'!AJ21</f>
        <v>0</v>
      </c>
      <c r="AF11" s="29">
        <f>'kWh Forecast'!AK21</f>
        <v>0</v>
      </c>
      <c r="AG11" s="29">
        <f>'kWh Forecast'!AL21</f>
        <v>0</v>
      </c>
      <c r="AH11" s="31">
        <f t="shared" si="0"/>
        <v>1262891161.9327435</v>
      </c>
    </row>
    <row r="12" spans="1:34" x14ac:dyDescent="0.25">
      <c r="B12" s="1" t="s">
        <v>58</v>
      </c>
      <c r="D12" s="29"/>
      <c r="E12" s="29"/>
      <c r="F12" s="29"/>
      <c r="G12" s="29"/>
      <c r="H12" s="29"/>
      <c r="I12" s="29"/>
      <c r="J12" s="29">
        <f>'kWh Forecast'!O22</f>
        <v>90445103</v>
      </c>
      <c r="K12" s="29">
        <f>'kWh Forecast'!P22</f>
        <v>97473252</v>
      </c>
      <c r="L12" s="29">
        <f>'kWh Forecast'!Q22</f>
        <v>86092179</v>
      </c>
      <c r="M12" s="29">
        <f>'kWh Forecast'!R22</f>
        <v>90154627</v>
      </c>
      <c r="N12" s="29">
        <f>'kWh Forecast'!S22</f>
        <v>84693081</v>
      </c>
      <c r="O12" s="29">
        <f>'kWh Forecast'!T22</f>
        <v>88860112</v>
      </c>
      <c r="P12" s="29">
        <f>'kWh Forecast'!U22</f>
        <v>92100698</v>
      </c>
      <c r="Q12" s="29">
        <f>'kWh Forecast'!V22</f>
        <v>82158979</v>
      </c>
      <c r="R12" s="29">
        <f>'kWh Forecast'!W22</f>
        <v>88703052</v>
      </c>
      <c r="S12" s="29">
        <f>'kWh Forecast'!X22</f>
        <v>88285754</v>
      </c>
      <c r="T12" s="29">
        <f>'kWh Forecast'!Y22</f>
        <v>87447967</v>
      </c>
      <c r="U12" s="29">
        <f>'kWh Forecast'!Z22</f>
        <v>88107928</v>
      </c>
      <c r="V12" s="29">
        <f>'kWh Forecast'!AA22</f>
        <v>0</v>
      </c>
      <c r="W12" s="29">
        <f>'kWh Forecast'!AB22</f>
        <v>0</v>
      </c>
      <c r="X12" s="29">
        <f>'kWh Forecast'!AC22</f>
        <v>0</v>
      </c>
      <c r="Y12" s="29">
        <f>'kWh Forecast'!AD22</f>
        <v>0</v>
      </c>
      <c r="Z12" s="29">
        <f>'kWh Forecast'!AE22</f>
        <v>0</v>
      </c>
      <c r="AA12" s="29">
        <f>'kWh Forecast'!AF22</f>
        <v>0</v>
      </c>
      <c r="AB12" s="29">
        <f>'kWh Forecast'!AG22</f>
        <v>0</v>
      </c>
      <c r="AC12" s="29">
        <f>'kWh Forecast'!AH22</f>
        <v>0</v>
      </c>
      <c r="AD12" s="29">
        <f>'kWh Forecast'!AI22</f>
        <v>0</v>
      </c>
      <c r="AE12" s="29">
        <f>'kWh Forecast'!AJ22</f>
        <v>0</v>
      </c>
      <c r="AF12" s="29">
        <f>'kWh Forecast'!AK22</f>
        <v>0</v>
      </c>
      <c r="AG12" s="29">
        <f>'kWh Forecast'!AL22</f>
        <v>0</v>
      </c>
      <c r="AH12" s="31">
        <f t="shared" si="0"/>
        <v>1064522732</v>
      </c>
    </row>
    <row r="13" spans="1:34" x14ac:dyDescent="0.25">
      <c r="B13" s="1" t="s">
        <v>59</v>
      </c>
      <c r="D13" s="29"/>
      <c r="E13" s="29"/>
      <c r="F13" s="29"/>
      <c r="G13" s="29"/>
      <c r="H13" s="29"/>
      <c r="I13" s="29"/>
      <c r="J13" s="29">
        <f>'kWh Forecast'!O23</f>
        <v>25353797.419315163</v>
      </c>
      <c r="K13" s="29">
        <f>'kWh Forecast'!P23</f>
        <v>28267567.740399349</v>
      </c>
      <c r="L13" s="29">
        <f>'kWh Forecast'!Q23</f>
        <v>22941972.701248884</v>
      </c>
      <c r="M13" s="29">
        <f>'kWh Forecast'!R23</f>
        <v>11303533.595424337</v>
      </c>
      <c r="N13" s="29">
        <f>'kWh Forecast'!S23</f>
        <v>2231416.5157431569</v>
      </c>
      <c r="O13" s="29">
        <f>'kWh Forecast'!T23</f>
        <v>2944362.1134637855</v>
      </c>
      <c r="P13" s="29">
        <f>'kWh Forecast'!U23</f>
        <v>4267894.1500995196</v>
      </c>
      <c r="Q13" s="29">
        <f>'kWh Forecast'!V23</f>
        <v>4148599.6709626261</v>
      </c>
      <c r="R13" s="29">
        <f>'kWh Forecast'!W23</f>
        <v>4312272.6219825391</v>
      </c>
      <c r="S13" s="29">
        <f>'kWh Forecast'!X23</f>
        <v>6091765.4881241657</v>
      </c>
      <c r="T13" s="29">
        <f>'kWh Forecast'!Y23</f>
        <v>13591455.061472366</v>
      </c>
      <c r="U13" s="29">
        <f>'kWh Forecast'!Z23</f>
        <v>21693328.266418211</v>
      </c>
      <c r="V13" s="29">
        <f>'kWh Forecast'!AA23</f>
        <v>0</v>
      </c>
      <c r="W13" s="29">
        <f>'kWh Forecast'!AB23</f>
        <v>0</v>
      </c>
      <c r="X13" s="29">
        <f>'kWh Forecast'!AC23</f>
        <v>0</v>
      </c>
      <c r="Y13" s="29">
        <f>'kWh Forecast'!AD23</f>
        <v>0</v>
      </c>
      <c r="Z13" s="29">
        <f>'kWh Forecast'!AE23</f>
        <v>0</v>
      </c>
      <c r="AA13" s="29">
        <f>'kWh Forecast'!AF23</f>
        <v>0</v>
      </c>
      <c r="AB13" s="29">
        <f>'kWh Forecast'!AG23</f>
        <v>0</v>
      </c>
      <c r="AC13" s="29">
        <f>'kWh Forecast'!AH23</f>
        <v>0</v>
      </c>
      <c r="AD13" s="29">
        <f>'kWh Forecast'!AI23</f>
        <v>0</v>
      </c>
      <c r="AE13" s="29">
        <f>'kWh Forecast'!AJ23</f>
        <v>0</v>
      </c>
      <c r="AF13" s="29">
        <f>'kWh Forecast'!AK23</f>
        <v>0</v>
      </c>
      <c r="AG13" s="29">
        <f>'kWh Forecast'!AL23</f>
        <v>0</v>
      </c>
      <c r="AH13" s="31">
        <f t="shared" si="0"/>
        <v>147147965.34465411</v>
      </c>
    </row>
    <row r="14" spans="1:34" x14ac:dyDescent="0.25">
      <c r="B14" s="1" t="s">
        <v>60</v>
      </c>
      <c r="D14" s="29"/>
      <c r="E14" s="29"/>
      <c r="F14" s="29"/>
      <c r="G14" s="29"/>
      <c r="H14" s="29"/>
      <c r="I14" s="29"/>
      <c r="J14" s="29">
        <f>'kWh Forecast'!O24</f>
        <v>1297254.7296365609</v>
      </c>
      <c r="K14" s="29">
        <f>'kWh Forecast'!P24</f>
        <v>1318572.8385579409</v>
      </c>
      <c r="L14" s="29">
        <f>'kWh Forecast'!Q24</f>
        <v>1317545.3920340193</v>
      </c>
      <c r="M14" s="29">
        <f>'kWh Forecast'!R24</f>
        <v>1291228.0263941458</v>
      </c>
      <c r="N14" s="29">
        <f>'kWh Forecast'!S24</f>
        <v>1295517.2293914184</v>
      </c>
      <c r="O14" s="29">
        <f>'kWh Forecast'!T24</f>
        <v>1323193.4273065061</v>
      </c>
      <c r="P14" s="29">
        <f>'kWh Forecast'!U24</f>
        <v>1294258.5860627098</v>
      </c>
      <c r="Q14" s="29">
        <f>'kWh Forecast'!V24</f>
        <v>1248484.9561865169</v>
      </c>
      <c r="R14" s="29">
        <f>'kWh Forecast'!W24</f>
        <v>1332499.7247278495</v>
      </c>
      <c r="S14" s="29">
        <f>'kWh Forecast'!X24</f>
        <v>1270727.8691569627</v>
      </c>
      <c r="T14" s="29">
        <f>'kWh Forecast'!Y24</f>
        <v>1274294.1390946764</v>
      </c>
      <c r="U14" s="29">
        <f>'kWh Forecast'!Z24</f>
        <v>1289909.0680508316</v>
      </c>
      <c r="V14" s="29">
        <f>'kWh Forecast'!AA24</f>
        <v>0</v>
      </c>
      <c r="W14" s="29">
        <f>'kWh Forecast'!AB24</f>
        <v>0</v>
      </c>
      <c r="X14" s="29">
        <f>'kWh Forecast'!AC24</f>
        <v>0</v>
      </c>
      <c r="Y14" s="29">
        <f>'kWh Forecast'!AD24</f>
        <v>0</v>
      </c>
      <c r="Z14" s="29">
        <f>'kWh Forecast'!AE24</f>
        <v>0</v>
      </c>
      <c r="AA14" s="29">
        <f>'kWh Forecast'!AF24</f>
        <v>0</v>
      </c>
      <c r="AB14" s="29">
        <f>'kWh Forecast'!AG24</f>
        <v>0</v>
      </c>
      <c r="AC14" s="29">
        <f>'kWh Forecast'!AH24</f>
        <v>0</v>
      </c>
      <c r="AD14" s="29">
        <f>'kWh Forecast'!AI24</f>
        <v>0</v>
      </c>
      <c r="AE14" s="29">
        <f>'kWh Forecast'!AJ24</f>
        <v>0</v>
      </c>
      <c r="AF14" s="29">
        <f>'kWh Forecast'!AK24</f>
        <v>0</v>
      </c>
      <c r="AG14" s="29">
        <f>'kWh Forecast'!AL24</f>
        <v>0</v>
      </c>
      <c r="AH14" s="31">
        <f t="shared" si="0"/>
        <v>15553485.986600136</v>
      </c>
    </row>
    <row r="15" spans="1:34" x14ac:dyDescent="0.25">
      <c r="A15" s="1" t="s">
        <v>61</v>
      </c>
      <c r="D15" s="30">
        <f t="shared" ref="D15:L15" si="1">SUM(D9:D14)</f>
        <v>0</v>
      </c>
      <c r="E15" s="30">
        <f t="shared" si="1"/>
        <v>0</v>
      </c>
      <c r="F15" s="30">
        <f t="shared" si="1"/>
        <v>0</v>
      </c>
      <c r="G15" s="30">
        <f t="shared" si="1"/>
        <v>0</v>
      </c>
      <c r="H15" s="30">
        <f t="shared" si="1"/>
        <v>0</v>
      </c>
      <c r="I15" s="30">
        <f t="shared" si="1"/>
        <v>0</v>
      </c>
      <c r="J15" s="30">
        <f t="shared" si="1"/>
        <v>482622198.15963167</v>
      </c>
      <c r="K15" s="30">
        <f t="shared" si="1"/>
        <v>500342319.73763025</v>
      </c>
      <c r="L15" s="30">
        <f t="shared" si="1"/>
        <v>417031527.33694649</v>
      </c>
      <c r="M15" s="30">
        <f t="shared" ref="M15:AG15" si="2">SUM(M9:M14)</f>
        <v>439744183.12765592</v>
      </c>
      <c r="N15" s="30">
        <f t="shared" si="2"/>
        <v>487824031.36197704</v>
      </c>
      <c r="O15" s="30">
        <f t="shared" si="2"/>
        <v>559479205.96991742</v>
      </c>
      <c r="P15" s="30">
        <f t="shared" si="2"/>
        <v>565909594.62262726</v>
      </c>
      <c r="Q15" s="30">
        <f t="shared" si="2"/>
        <v>507419480.81577486</v>
      </c>
      <c r="R15" s="30">
        <f t="shared" si="2"/>
        <v>478786777.489824</v>
      </c>
      <c r="S15" s="30">
        <f t="shared" si="2"/>
        <v>428295450.53653526</v>
      </c>
      <c r="T15" s="30">
        <f t="shared" si="2"/>
        <v>417209182.54159033</v>
      </c>
      <c r="U15" s="30">
        <f t="shared" si="2"/>
        <v>430487511.51599431</v>
      </c>
      <c r="V15" s="30">
        <f t="shared" si="2"/>
        <v>0</v>
      </c>
      <c r="W15" s="30">
        <f t="shared" si="2"/>
        <v>0</v>
      </c>
      <c r="X15" s="30">
        <f t="shared" si="2"/>
        <v>0</v>
      </c>
      <c r="Y15" s="30">
        <f t="shared" si="2"/>
        <v>0</v>
      </c>
      <c r="Z15" s="30">
        <f t="shared" si="2"/>
        <v>0</v>
      </c>
      <c r="AA15" s="30">
        <f t="shared" si="2"/>
        <v>0</v>
      </c>
      <c r="AB15" s="30">
        <f t="shared" si="2"/>
        <v>0</v>
      </c>
      <c r="AC15" s="30">
        <f t="shared" si="2"/>
        <v>0</v>
      </c>
      <c r="AD15" s="30">
        <f t="shared" si="2"/>
        <v>0</v>
      </c>
      <c r="AE15" s="30">
        <f t="shared" si="2"/>
        <v>0</v>
      </c>
      <c r="AF15" s="30">
        <f t="shared" si="2"/>
        <v>0</v>
      </c>
      <c r="AG15" s="30">
        <f t="shared" si="2"/>
        <v>0</v>
      </c>
      <c r="AH15" s="31">
        <f>SUM(AH9:AH14)</f>
        <v>5715151463.2161045</v>
      </c>
    </row>
    <row r="16" spans="1:34" x14ac:dyDescent="0.25">
      <c r="D16" s="31">
        <f>D15-'kWh Forecast'!I25</f>
        <v>0</v>
      </c>
      <c r="E16" s="31">
        <f>E15-'kWh Forecast'!J25</f>
        <v>0</v>
      </c>
      <c r="F16" s="31">
        <f>F15-'kWh Forecast'!K25</f>
        <v>0</v>
      </c>
      <c r="G16" s="31">
        <f>G15-'kWh Forecast'!L25</f>
        <v>0</v>
      </c>
      <c r="H16" s="31">
        <f>H15-'kWh Forecast'!M25</f>
        <v>0</v>
      </c>
      <c r="I16" s="31">
        <f>I15-'kWh Forecast'!N25</f>
        <v>0</v>
      </c>
      <c r="J16" s="31">
        <f>J15-'kWh Forecast'!O25</f>
        <v>0</v>
      </c>
      <c r="K16" s="31">
        <f>K15-'kWh Forecast'!P25</f>
        <v>0</v>
      </c>
      <c r="L16" s="31">
        <f>L15-'kWh Forecast'!Q25</f>
        <v>0</v>
      </c>
    </row>
    <row r="18" spans="1:34" x14ac:dyDescent="0.25">
      <c r="A18" s="1" t="s">
        <v>109</v>
      </c>
    </row>
    <row r="19" spans="1:34" x14ac:dyDescent="0.25">
      <c r="B19" s="1" t="s">
        <v>83</v>
      </c>
      <c r="D19" s="32"/>
      <c r="E19" s="32"/>
      <c r="F19" s="32"/>
      <c r="G19" s="32"/>
      <c r="H19" s="32"/>
      <c r="I19" s="32"/>
      <c r="J19" s="32">
        <f>'Rate Design'!$D$13</f>
        <v>6.0107242557542392E-3</v>
      </c>
      <c r="K19" s="32">
        <f>'Rate Design'!$D$13</f>
        <v>6.0107242557542392E-3</v>
      </c>
      <c r="L19" s="32">
        <f>'Rate Design'!$D$13</f>
        <v>6.0107242557542392E-3</v>
      </c>
      <c r="M19" s="32">
        <f>'Rate Design'!$D$13</f>
        <v>6.0107242557542392E-3</v>
      </c>
      <c r="N19" s="32">
        <f>'Rate Design'!$D$13</f>
        <v>6.0107242557542392E-3</v>
      </c>
      <c r="O19" s="32">
        <f>'Rate Design'!$D$13</f>
        <v>6.0107242557542392E-3</v>
      </c>
      <c r="P19" s="32">
        <f>'Rate Design'!$D$13</f>
        <v>6.0107242557542392E-3</v>
      </c>
      <c r="Q19" s="32">
        <f>'Rate Design'!$D$13</f>
        <v>6.0107242557542392E-3</v>
      </c>
      <c r="R19" s="32">
        <f>'Rate Design'!$D$13</f>
        <v>6.0107242557542392E-3</v>
      </c>
      <c r="S19" s="32">
        <f>'Rate Design'!$D$13</f>
        <v>6.0107242557542392E-3</v>
      </c>
      <c r="T19" s="32">
        <f>'Rate Design'!$D$13</f>
        <v>6.0107242557542392E-3</v>
      </c>
      <c r="U19" s="32">
        <f>'Rate Design'!$D$13</f>
        <v>6.0107242557542392E-3</v>
      </c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</row>
    <row r="20" spans="1:34" x14ac:dyDescent="0.25">
      <c r="B20" s="1" t="s">
        <v>56</v>
      </c>
      <c r="D20" s="32"/>
      <c r="E20" s="32"/>
      <c r="F20" s="32"/>
      <c r="G20" s="32"/>
      <c r="H20" s="32"/>
      <c r="I20" s="32"/>
      <c r="J20" s="32">
        <f>'Rate Design'!$E$13</f>
        <v>5.8898899915398413E-3</v>
      </c>
      <c r="K20" s="32">
        <f>'Rate Design'!$E$13</f>
        <v>5.8898899915398413E-3</v>
      </c>
      <c r="L20" s="32">
        <f>'Rate Design'!$E$13</f>
        <v>5.8898899915398413E-3</v>
      </c>
      <c r="M20" s="32">
        <f>'Rate Design'!$E$13</f>
        <v>5.8898899915398413E-3</v>
      </c>
      <c r="N20" s="32">
        <f>'Rate Design'!$E$13</f>
        <v>5.8898899915398413E-3</v>
      </c>
      <c r="O20" s="32">
        <f>'Rate Design'!$E$13</f>
        <v>5.8898899915398413E-3</v>
      </c>
      <c r="P20" s="32">
        <f>'Rate Design'!$E$13</f>
        <v>5.8898899915398413E-3</v>
      </c>
      <c r="Q20" s="32">
        <f>'Rate Design'!$E$13</f>
        <v>5.8898899915398413E-3</v>
      </c>
      <c r="R20" s="32">
        <f>'Rate Design'!$E$13</f>
        <v>5.8898899915398413E-3</v>
      </c>
      <c r="S20" s="32">
        <f>'Rate Design'!$E$13</f>
        <v>5.8898899915398413E-3</v>
      </c>
      <c r="T20" s="32">
        <f>'Rate Design'!$E$13</f>
        <v>5.8898899915398413E-3</v>
      </c>
      <c r="U20" s="32">
        <f>'Rate Design'!$E$13</f>
        <v>5.8898899915398413E-3</v>
      </c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</row>
    <row r="21" spans="1:34" x14ac:dyDescent="0.25">
      <c r="B21" s="1" t="s">
        <v>57</v>
      </c>
      <c r="D21" s="32"/>
      <c r="E21" s="32"/>
      <c r="F21" s="32"/>
      <c r="G21" s="32"/>
      <c r="H21" s="32"/>
      <c r="I21" s="32"/>
      <c r="J21" s="32">
        <f>'Rate Design'!$F$13</f>
        <v>6.334890317475461E-3</v>
      </c>
      <c r="K21" s="32">
        <f>'Rate Design'!$F$13</f>
        <v>6.334890317475461E-3</v>
      </c>
      <c r="L21" s="32">
        <f>'Rate Design'!$F$13</f>
        <v>6.334890317475461E-3</v>
      </c>
      <c r="M21" s="32">
        <f>'Rate Design'!$F$13</f>
        <v>6.334890317475461E-3</v>
      </c>
      <c r="N21" s="32">
        <f>'Rate Design'!$F$13</f>
        <v>6.334890317475461E-3</v>
      </c>
      <c r="O21" s="32">
        <f>'Rate Design'!$F$13</f>
        <v>6.334890317475461E-3</v>
      </c>
      <c r="P21" s="32">
        <f>'Rate Design'!$F$13</f>
        <v>6.334890317475461E-3</v>
      </c>
      <c r="Q21" s="32">
        <f>'Rate Design'!$F$13</f>
        <v>6.334890317475461E-3</v>
      </c>
      <c r="R21" s="32">
        <f>'Rate Design'!$F$13</f>
        <v>6.334890317475461E-3</v>
      </c>
      <c r="S21" s="32">
        <f>'Rate Design'!$F$13</f>
        <v>6.334890317475461E-3</v>
      </c>
      <c r="T21" s="32">
        <f>'Rate Design'!$F$13</f>
        <v>6.334890317475461E-3</v>
      </c>
      <c r="U21" s="32">
        <f>'Rate Design'!$F$13</f>
        <v>6.334890317475461E-3</v>
      </c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</row>
    <row r="22" spans="1:34" x14ac:dyDescent="0.25">
      <c r="B22" s="1" t="s">
        <v>58</v>
      </c>
      <c r="D22" s="32"/>
      <c r="E22" s="32"/>
      <c r="F22" s="32"/>
      <c r="G22" s="32"/>
      <c r="H22" s="32"/>
      <c r="I22" s="32"/>
      <c r="J22" s="32">
        <f>'Rate Design'!$G$13</f>
        <v>5.803458784598781E-3</v>
      </c>
      <c r="K22" s="32">
        <f>'Rate Design'!$G$13</f>
        <v>5.803458784598781E-3</v>
      </c>
      <c r="L22" s="32">
        <f>'Rate Design'!$G$13</f>
        <v>5.803458784598781E-3</v>
      </c>
      <c r="M22" s="32">
        <f>'Rate Design'!$G$13</f>
        <v>5.803458784598781E-3</v>
      </c>
      <c r="N22" s="32">
        <f>'Rate Design'!$G$13</f>
        <v>5.803458784598781E-3</v>
      </c>
      <c r="O22" s="32">
        <f>'Rate Design'!$G$13</f>
        <v>5.803458784598781E-3</v>
      </c>
      <c r="P22" s="32">
        <f>'Rate Design'!$G$13</f>
        <v>5.803458784598781E-3</v>
      </c>
      <c r="Q22" s="32">
        <f>'Rate Design'!$G$13</f>
        <v>5.803458784598781E-3</v>
      </c>
      <c r="R22" s="32">
        <f>'Rate Design'!$G$13</f>
        <v>5.803458784598781E-3</v>
      </c>
      <c r="S22" s="32">
        <f>'Rate Design'!$G$13</f>
        <v>5.803458784598781E-3</v>
      </c>
      <c r="T22" s="32">
        <f>'Rate Design'!$G$13</f>
        <v>5.803458784598781E-3</v>
      </c>
      <c r="U22" s="32">
        <f>'Rate Design'!$G$13</f>
        <v>5.803458784598781E-3</v>
      </c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</row>
    <row r="23" spans="1:34" x14ac:dyDescent="0.25">
      <c r="B23" s="1" t="s">
        <v>59</v>
      </c>
      <c r="D23" s="32"/>
      <c r="E23" s="32"/>
      <c r="F23" s="32"/>
      <c r="G23" s="32"/>
      <c r="H23" s="32"/>
      <c r="I23" s="32"/>
      <c r="J23" s="32">
        <f>'Rate Design'!$H$13</f>
        <v>6.8345718191814842E-3</v>
      </c>
      <c r="K23" s="32">
        <f>'Rate Design'!$H$13</f>
        <v>6.8345718191814842E-3</v>
      </c>
      <c r="L23" s="32">
        <f>'Rate Design'!$H$13</f>
        <v>6.8345718191814842E-3</v>
      </c>
      <c r="M23" s="32">
        <f>'Rate Design'!$H$13</f>
        <v>6.8345718191814842E-3</v>
      </c>
      <c r="N23" s="32">
        <f>'Rate Design'!$H$13</f>
        <v>6.8345718191814842E-3</v>
      </c>
      <c r="O23" s="32">
        <f>'Rate Design'!$H$13</f>
        <v>6.8345718191814842E-3</v>
      </c>
      <c r="P23" s="32">
        <f>'Rate Design'!$H$13</f>
        <v>6.8345718191814842E-3</v>
      </c>
      <c r="Q23" s="32">
        <f>'Rate Design'!$H$13</f>
        <v>6.8345718191814842E-3</v>
      </c>
      <c r="R23" s="32">
        <f>'Rate Design'!$H$13</f>
        <v>6.8345718191814842E-3</v>
      </c>
      <c r="S23" s="32">
        <f>'Rate Design'!$H$13</f>
        <v>6.8345718191814842E-3</v>
      </c>
      <c r="T23" s="32">
        <f>'Rate Design'!$H$13</f>
        <v>6.8345718191814842E-3</v>
      </c>
      <c r="U23" s="32">
        <f>'Rate Design'!$H$13</f>
        <v>6.8345718191814842E-3</v>
      </c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</row>
    <row r="24" spans="1:34" x14ac:dyDescent="0.25">
      <c r="B24" s="1" t="s">
        <v>60</v>
      </c>
      <c r="D24" s="32"/>
      <c r="E24" s="32"/>
      <c r="F24" s="32"/>
      <c r="G24" s="32"/>
      <c r="H24" s="32"/>
      <c r="I24" s="32"/>
      <c r="J24" s="32">
        <f>'Rate Design'!$I$13</f>
        <v>6.7241533660928063E-3</v>
      </c>
      <c r="K24" s="32">
        <f>'Rate Design'!$I$13</f>
        <v>6.7241533660928063E-3</v>
      </c>
      <c r="L24" s="32">
        <f>'Rate Design'!$I$13</f>
        <v>6.7241533660928063E-3</v>
      </c>
      <c r="M24" s="32">
        <f>'Rate Design'!$I$13</f>
        <v>6.7241533660928063E-3</v>
      </c>
      <c r="N24" s="32">
        <f>'Rate Design'!$I$13</f>
        <v>6.7241533660928063E-3</v>
      </c>
      <c r="O24" s="32">
        <f>'Rate Design'!$I$13</f>
        <v>6.7241533660928063E-3</v>
      </c>
      <c r="P24" s="32">
        <f>'Rate Design'!$I$13</f>
        <v>6.7241533660928063E-3</v>
      </c>
      <c r="Q24" s="32">
        <f>'Rate Design'!$I$13</f>
        <v>6.7241533660928063E-3</v>
      </c>
      <c r="R24" s="32">
        <f>'Rate Design'!$I$13</f>
        <v>6.7241533660928063E-3</v>
      </c>
      <c r="S24" s="32">
        <f>'Rate Design'!$I$13</f>
        <v>6.7241533660928063E-3</v>
      </c>
      <c r="T24" s="32">
        <f>'Rate Design'!$I$13</f>
        <v>6.7241533660928063E-3</v>
      </c>
      <c r="U24" s="32">
        <f>'Rate Design'!$I$13</f>
        <v>6.7241533660928063E-3</v>
      </c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</row>
    <row r="25" spans="1:34" x14ac:dyDescent="0.25">
      <c r="D25" s="33"/>
      <c r="E25" s="33"/>
      <c r="F25" s="33"/>
      <c r="G25" s="33"/>
      <c r="H25" s="33"/>
      <c r="I25" s="33"/>
      <c r="J25" s="33"/>
      <c r="K25" s="33"/>
      <c r="L25" s="33"/>
    </row>
    <row r="27" spans="1:34" x14ac:dyDescent="0.25">
      <c r="A27" s="1" t="s">
        <v>110</v>
      </c>
      <c r="D27" s="28">
        <f t="shared" ref="D27:AG27" si="3">D8</f>
        <v>44927</v>
      </c>
      <c r="E27" s="28">
        <f t="shared" si="3"/>
        <v>44958</v>
      </c>
      <c r="F27" s="28">
        <f t="shared" si="3"/>
        <v>44986</v>
      </c>
      <c r="G27" s="28">
        <f t="shared" si="3"/>
        <v>45017</v>
      </c>
      <c r="H27" s="28">
        <f t="shared" si="3"/>
        <v>45047</v>
      </c>
      <c r="I27" s="28">
        <f t="shared" si="3"/>
        <v>45078</v>
      </c>
      <c r="J27" s="28">
        <f t="shared" si="3"/>
        <v>45108</v>
      </c>
      <c r="K27" s="28">
        <f t="shared" si="3"/>
        <v>45139</v>
      </c>
      <c r="L27" s="28">
        <f t="shared" si="3"/>
        <v>45170</v>
      </c>
      <c r="M27" s="28">
        <f t="shared" si="3"/>
        <v>45200</v>
      </c>
      <c r="N27" s="28">
        <f t="shared" si="3"/>
        <v>45231</v>
      </c>
      <c r="O27" s="28">
        <f t="shared" si="3"/>
        <v>45261</v>
      </c>
      <c r="P27" s="28">
        <f t="shared" si="3"/>
        <v>45292</v>
      </c>
      <c r="Q27" s="28">
        <f t="shared" si="3"/>
        <v>45323</v>
      </c>
      <c r="R27" s="28">
        <f t="shared" si="3"/>
        <v>45352</v>
      </c>
      <c r="S27" s="28">
        <f t="shared" si="3"/>
        <v>45383</v>
      </c>
      <c r="T27" s="28">
        <f t="shared" si="3"/>
        <v>45413</v>
      </c>
      <c r="U27" s="28">
        <f t="shared" si="3"/>
        <v>45444</v>
      </c>
      <c r="V27" s="28">
        <f t="shared" si="3"/>
        <v>45474</v>
      </c>
      <c r="W27" s="28">
        <f t="shared" si="3"/>
        <v>45505</v>
      </c>
      <c r="X27" s="28">
        <f t="shared" si="3"/>
        <v>45536</v>
      </c>
      <c r="Y27" s="28">
        <f t="shared" si="3"/>
        <v>45566</v>
      </c>
      <c r="Z27" s="28">
        <f t="shared" si="3"/>
        <v>45597</v>
      </c>
      <c r="AA27" s="28">
        <f t="shared" si="3"/>
        <v>45627</v>
      </c>
      <c r="AB27" s="28">
        <f t="shared" si="3"/>
        <v>45658</v>
      </c>
      <c r="AC27" s="28">
        <f t="shared" si="3"/>
        <v>45689</v>
      </c>
      <c r="AD27" s="28">
        <f t="shared" si="3"/>
        <v>45717</v>
      </c>
      <c r="AE27" s="28">
        <f t="shared" si="3"/>
        <v>45748</v>
      </c>
      <c r="AF27" s="28">
        <f t="shared" si="3"/>
        <v>45778</v>
      </c>
      <c r="AG27" s="28">
        <f t="shared" si="3"/>
        <v>45809</v>
      </c>
      <c r="AH27" s="1" t="s">
        <v>0</v>
      </c>
    </row>
    <row r="28" spans="1:34" x14ac:dyDescent="0.25">
      <c r="B28" s="1" t="s">
        <v>55</v>
      </c>
      <c r="D28" s="34">
        <f t="shared" ref="D28:AG28" si="4">D9*D19</f>
        <v>0</v>
      </c>
      <c r="E28" s="34">
        <f t="shared" si="4"/>
        <v>0</v>
      </c>
      <c r="F28" s="34">
        <f t="shared" si="4"/>
        <v>0</v>
      </c>
      <c r="G28" s="34">
        <f t="shared" si="4"/>
        <v>0</v>
      </c>
      <c r="H28" s="34">
        <f t="shared" si="4"/>
        <v>0</v>
      </c>
      <c r="I28" s="34">
        <f t="shared" si="4"/>
        <v>0</v>
      </c>
      <c r="J28" s="34">
        <f t="shared" si="4"/>
        <v>1180829.2170277305</v>
      </c>
      <c r="K28" s="34">
        <f t="shared" si="4"/>
        <v>1257842.0109025131</v>
      </c>
      <c r="L28" s="34">
        <f t="shared" si="4"/>
        <v>936126.63362043921</v>
      </c>
      <c r="M28" s="34">
        <f t="shared" si="4"/>
        <v>1038869.7846837644</v>
      </c>
      <c r="N28" s="34">
        <f t="shared" si="4"/>
        <v>1384720.1767566164</v>
      </c>
      <c r="O28" s="34">
        <f t="shared" si="4"/>
        <v>1784691.8035989166</v>
      </c>
      <c r="P28" s="34">
        <f t="shared" si="4"/>
        <v>1815961.6010068271</v>
      </c>
      <c r="Q28" s="34">
        <f t="shared" si="4"/>
        <v>1534178.4651935978</v>
      </c>
      <c r="R28" s="34">
        <f t="shared" si="4"/>
        <v>1367327.4835380909</v>
      </c>
      <c r="S28" s="34">
        <f t="shared" si="4"/>
        <v>1113348.7366431856</v>
      </c>
      <c r="T28" s="34">
        <f t="shared" si="4"/>
        <v>997802.94392400002</v>
      </c>
      <c r="U28" s="34">
        <f t="shared" si="4"/>
        <v>982930.56665717519</v>
      </c>
      <c r="V28" s="34">
        <f t="shared" si="4"/>
        <v>0</v>
      </c>
      <c r="W28" s="34">
        <f t="shared" si="4"/>
        <v>0</v>
      </c>
      <c r="X28" s="34">
        <f t="shared" si="4"/>
        <v>0</v>
      </c>
      <c r="Y28" s="34">
        <f t="shared" si="4"/>
        <v>0</v>
      </c>
      <c r="Z28" s="34">
        <f t="shared" si="4"/>
        <v>0</v>
      </c>
      <c r="AA28" s="34">
        <f t="shared" si="4"/>
        <v>0</v>
      </c>
      <c r="AB28" s="34">
        <f t="shared" si="4"/>
        <v>0</v>
      </c>
      <c r="AC28" s="34">
        <f t="shared" si="4"/>
        <v>0</v>
      </c>
      <c r="AD28" s="34">
        <f t="shared" si="4"/>
        <v>0</v>
      </c>
      <c r="AE28" s="34">
        <f t="shared" si="4"/>
        <v>0</v>
      </c>
      <c r="AF28" s="34">
        <f t="shared" si="4"/>
        <v>0</v>
      </c>
      <c r="AG28" s="34">
        <f t="shared" si="4"/>
        <v>0</v>
      </c>
      <c r="AH28" s="31">
        <f t="shared" ref="AH28:AH34" si="5">SUM(D28:AG28)</f>
        <v>15394629.423552856</v>
      </c>
    </row>
    <row r="29" spans="1:34" x14ac:dyDescent="0.25">
      <c r="B29" s="1" t="s">
        <v>56</v>
      </c>
      <c r="D29" s="34">
        <f t="shared" ref="D29:AG29" si="6">D10*D20</f>
        <v>0</v>
      </c>
      <c r="E29" s="34">
        <f t="shared" si="6"/>
        <v>0</v>
      </c>
      <c r="F29" s="34">
        <f t="shared" si="6"/>
        <v>0</v>
      </c>
      <c r="G29" s="34">
        <f t="shared" si="6"/>
        <v>0</v>
      </c>
      <c r="H29" s="34">
        <f t="shared" si="6"/>
        <v>0</v>
      </c>
      <c r="I29" s="34">
        <f t="shared" si="6"/>
        <v>0</v>
      </c>
      <c r="J29" s="34">
        <f t="shared" si="6"/>
        <v>330394.68380693818</v>
      </c>
      <c r="K29" s="34">
        <f t="shared" si="6"/>
        <v>326678.10084788938</v>
      </c>
      <c r="L29" s="34">
        <f t="shared" si="6"/>
        <v>295764.9257273628</v>
      </c>
      <c r="M29" s="34">
        <f t="shared" si="6"/>
        <v>302382.28862716304</v>
      </c>
      <c r="N29" s="34">
        <f t="shared" si="6"/>
        <v>345525.5467142376</v>
      </c>
      <c r="O29" s="34">
        <f t="shared" si="6"/>
        <v>381615.07199944422</v>
      </c>
      <c r="P29" s="34">
        <f t="shared" si="6"/>
        <v>375599.26915583218</v>
      </c>
      <c r="Q29" s="34">
        <f t="shared" si="6"/>
        <v>353369.35042223864</v>
      </c>
      <c r="R29" s="34">
        <f t="shared" si="6"/>
        <v>332916.44060189906</v>
      </c>
      <c r="S29" s="34">
        <f t="shared" si="6"/>
        <v>292636.76327530178</v>
      </c>
      <c r="T29" s="34">
        <f t="shared" si="6"/>
        <v>282327.79924473184</v>
      </c>
      <c r="U29" s="34">
        <f t="shared" si="6"/>
        <v>290748.25233407936</v>
      </c>
      <c r="V29" s="34">
        <f t="shared" si="6"/>
        <v>0</v>
      </c>
      <c r="W29" s="34">
        <f t="shared" si="6"/>
        <v>0</v>
      </c>
      <c r="X29" s="34">
        <f t="shared" si="6"/>
        <v>0</v>
      </c>
      <c r="Y29" s="34">
        <f t="shared" si="6"/>
        <v>0</v>
      </c>
      <c r="Z29" s="34">
        <f t="shared" si="6"/>
        <v>0</v>
      </c>
      <c r="AA29" s="34">
        <f t="shared" si="6"/>
        <v>0</v>
      </c>
      <c r="AB29" s="34">
        <f t="shared" si="6"/>
        <v>0</v>
      </c>
      <c r="AC29" s="34">
        <f t="shared" si="6"/>
        <v>0</v>
      </c>
      <c r="AD29" s="34">
        <f t="shared" si="6"/>
        <v>0</v>
      </c>
      <c r="AE29" s="34">
        <f t="shared" si="6"/>
        <v>0</v>
      </c>
      <c r="AF29" s="34">
        <f t="shared" si="6"/>
        <v>0</v>
      </c>
      <c r="AG29" s="34">
        <f t="shared" si="6"/>
        <v>0</v>
      </c>
      <c r="AH29" s="31">
        <f t="shared" si="5"/>
        <v>3909958.4927571178</v>
      </c>
    </row>
    <row r="30" spans="1:34" x14ac:dyDescent="0.25">
      <c r="B30" s="1" t="s">
        <v>57</v>
      </c>
      <c r="D30" s="34">
        <f t="shared" ref="D30:AG30" si="7">D11*D21</f>
        <v>0</v>
      </c>
      <c r="E30" s="34">
        <f t="shared" si="7"/>
        <v>0</v>
      </c>
      <c r="F30" s="34">
        <f t="shared" si="7"/>
        <v>0</v>
      </c>
      <c r="G30" s="34">
        <f t="shared" si="7"/>
        <v>0</v>
      </c>
      <c r="H30" s="34">
        <f t="shared" si="7"/>
        <v>0</v>
      </c>
      <c r="I30" s="34">
        <f t="shared" si="7"/>
        <v>0</v>
      </c>
      <c r="J30" s="34">
        <f t="shared" si="7"/>
        <v>715697.4650782661</v>
      </c>
      <c r="K30" s="34">
        <f t="shared" si="7"/>
        <v>687667.66569984867</v>
      </c>
      <c r="L30" s="34">
        <f t="shared" si="7"/>
        <v>638059.01773112058</v>
      </c>
      <c r="M30" s="34">
        <f t="shared" si="7"/>
        <v>714699.44427934883</v>
      </c>
      <c r="N30" s="34">
        <f t="shared" si="7"/>
        <v>700416.58088413847</v>
      </c>
      <c r="O30" s="34">
        <f t="shared" si="7"/>
        <v>662895.99511540006</v>
      </c>
      <c r="P30" s="34">
        <f t="shared" si="7"/>
        <v>648416.01245755737</v>
      </c>
      <c r="Q30" s="34">
        <f t="shared" si="7"/>
        <v>662802.46738059656</v>
      </c>
      <c r="R30" s="34">
        <f t="shared" si="7"/>
        <v>636240.03562053118</v>
      </c>
      <c r="S30" s="34">
        <f t="shared" si="7"/>
        <v>619144.06425530219</v>
      </c>
      <c r="T30" s="34">
        <f t="shared" si="7"/>
        <v>639553.92358863866</v>
      </c>
      <c r="U30" s="34">
        <f t="shared" si="7"/>
        <v>674684.32166232227</v>
      </c>
      <c r="V30" s="34">
        <f t="shared" si="7"/>
        <v>0</v>
      </c>
      <c r="W30" s="34">
        <f t="shared" si="7"/>
        <v>0</v>
      </c>
      <c r="X30" s="34">
        <f t="shared" si="7"/>
        <v>0</v>
      </c>
      <c r="Y30" s="34">
        <f t="shared" si="7"/>
        <v>0</v>
      </c>
      <c r="Z30" s="34">
        <f t="shared" si="7"/>
        <v>0</v>
      </c>
      <c r="AA30" s="34">
        <f t="shared" si="7"/>
        <v>0</v>
      </c>
      <c r="AB30" s="34">
        <f t="shared" si="7"/>
        <v>0</v>
      </c>
      <c r="AC30" s="34">
        <f t="shared" si="7"/>
        <v>0</v>
      </c>
      <c r="AD30" s="34">
        <f t="shared" si="7"/>
        <v>0</v>
      </c>
      <c r="AE30" s="34">
        <f t="shared" si="7"/>
        <v>0</v>
      </c>
      <c r="AF30" s="34">
        <f t="shared" si="7"/>
        <v>0</v>
      </c>
      <c r="AG30" s="34">
        <f t="shared" si="7"/>
        <v>0</v>
      </c>
      <c r="AH30" s="31">
        <f t="shared" si="5"/>
        <v>8000276.9937530709</v>
      </c>
    </row>
    <row r="31" spans="1:34" x14ac:dyDescent="0.25">
      <c r="B31" s="1" t="s">
        <v>58</v>
      </c>
      <c r="D31" s="34">
        <f t="shared" ref="D31:AG31" si="8">D12*D22</f>
        <v>0</v>
      </c>
      <c r="E31" s="34">
        <f t="shared" si="8"/>
        <v>0</v>
      </c>
      <c r="F31" s="34">
        <f t="shared" si="8"/>
        <v>0</v>
      </c>
      <c r="G31" s="34">
        <f t="shared" si="8"/>
        <v>0</v>
      </c>
      <c r="H31" s="34">
        <f t="shared" si="8"/>
        <v>0</v>
      </c>
      <c r="I31" s="34">
        <f t="shared" si="8"/>
        <v>0</v>
      </c>
      <c r="J31" s="34">
        <f t="shared" si="8"/>
        <v>524894.4275292916</v>
      </c>
      <c r="K31" s="34">
        <f t="shared" si="8"/>
        <v>565682.00058281072</v>
      </c>
      <c r="L31" s="34">
        <f t="shared" si="8"/>
        <v>499632.4125028007</v>
      </c>
      <c r="M31" s="34">
        <f t="shared" si="8"/>
        <v>523208.66203537642</v>
      </c>
      <c r="N31" s="34">
        <f t="shared" si="8"/>
        <v>491512.80492418609</v>
      </c>
      <c r="O31" s="34">
        <f t="shared" si="8"/>
        <v>515695.99758683157</v>
      </c>
      <c r="P31" s="34">
        <f t="shared" si="8"/>
        <v>534502.60487577936</v>
      </c>
      <c r="Q31" s="34">
        <f t="shared" si="8"/>
        <v>476806.24841121677</v>
      </c>
      <c r="R31" s="34">
        <f t="shared" si="8"/>
        <v>514784.50635012245</v>
      </c>
      <c r="S31" s="34">
        <f t="shared" si="8"/>
        <v>512362.73460622696</v>
      </c>
      <c r="T31" s="34">
        <f t="shared" si="8"/>
        <v>507500.67228145432</v>
      </c>
      <c r="U31" s="34">
        <f t="shared" si="8"/>
        <v>511330.72874439688</v>
      </c>
      <c r="V31" s="34">
        <f t="shared" si="8"/>
        <v>0</v>
      </c>
      <c r="W31" s="34">
        <f t="shared" si="8"/>
        <v>0</v>
      </c>
      <c r="X31" s="34">
        <f t="shared" si="8"/>
        <v>0</v>
      </c>
      <c r="Y31" s="34">
        <f t="shared" si="8"/>
        <v>0</v>
      </c>
      <c r="Z31" s="34">
        <f t="shared" si="8"/>
        <v>0</v>
      </c>
      <c r="AA31" s="34">
        <f t="shared" si="8"/>
        <v>0</v>
      </c>
      <c r="AB31" s="34">
        <f t="shared" si="8"/>
        <v>0</v>
      </c>
      <c r="AC31" s="34">
        <f t="shared" si="8"/>
        <v>0</v>
      </c>
      <c r="AD31" s="34">
        <f t="shared" si="8"/>
        <v>0</v>
      </c>
      <c r="AE31" s="34">
        <f t="shared" si="8"/>
        <v>0</v>
      </c>
      <c r="AF31" s="34">
        <f t="shared" si="8"/>
        <v>0</v>
      </c>
      <c r="AG31" s="34">
        <f t="shared" si="8"/>
        <v>0</v>
      </c>
      <c r="AH31" s="31">
        <f t="shared" si="5"/>
        <v>6177913.8004304934</v>
      </c>
    </row>
    <row r="32" spans="1:34" x14ac:dyDescent="0.25">
      <c r="B32" s="1" t="s">
        <v>59</v>
      </c>
      <c r="D32" s="34">
        <f t="shared" ref="D32:AG32" si="9">D13*D23</f>
        <v>0</v>
      </c>
      <c r="E32" s="34">
        <f t="shared" si="9"/>
        <v>0</v>
      </c>
      <c r="F32" s="34">
        <f t="shared" si="9"/>
        <v>0</v>
      </c>
      <c r="G32" s="34">
        <f t="shared" si="9"/>
        <v>0</v>
      </c>
      <c r="H32" s="34">
        <f t="shared" si="9"/>
        <v>0</v>
      </c>
      <c r="I32" s="34">
        <f t="shared" si="9"/>
        <v>0</v>
      </c>
      <c r="J32" s="34">
        <f t="shared" si="9"/>
        <v>173282.34935128764</v>
      </c>
      <c r="K32" s="34">
        <f t="shared" si="9"/>
        <v>193196.72187533701</v>
      </c>
      <c r="L32" s="34">
        <f t="shared" si="9"/>
        <v>156798.56010038653</v>
      </c>
      <c r="M32" s="34">
        <f t="shared" si="9"/>
        <v>77254.812168458331</v>
      </c>
      <c r="N32" s="34">
        <f t="shared" si="9"/>
        <v>15250.776435354317</v>
      </c>
      <c r="O32" s="34">
        <f t="shared" si="9"/>
        <v>20123.454326145224</v>
      </c>
      <c r="P32" s="34">
        <f t="shared" si="9"/>
        <v>29169.229085519688</v>
      </c>
      <c r="Q32" s="34">
        <f t="shared" si="9"/>
        <v>28353.902400226743</v>
      </c>
      <c r="R32" s="34">
        <f t="shared" si="9"/>
        <v>29472.536938829711</v>
      </c>
      <c r="S32" s="34">
        <f t="shared" si="9"/>
        <v>41634.608734195761</v>
      </c>
      <c r="T32" s="34">
        <f t="shared" si="9"/>
        <v>92891.775744810569</v>
      </c>
      <c r="U32" s="34">
        <f t="shared" si="9"/>
        <v>148264.61003391503</v>
      </c>
      <c r="V32" s="34">
        <f t="shared" si="9"/>
        <v>0</v>
      </c>
      <c r="W32" s="34">
        <f t="shared" si="9"/>
        <v>0</v>
      </c>
      <c r="X32" s="34">
        <f t="shared" si="9"/>
        <v>0</v>
      </c>
      <c r="Y32" s="34">
        <f t="shared" si="9"/>
        <v>0</v>
      </c>
      <c r="Z32" s="34">
        <f t="shared" si="9"/>
        <v>0</v>
      </c>
      <c r="AA32" s="34">
        <f t="shared" si="9"/>
        <v>0</v>
      </c>
      <c r="AB32" s="34">
        <f t="shared" si="9"/>
        <v>0</v>
      </c>
      <c r="AC32" s="34">
        <f t="shared" si="9"/>
        <v>0</v>
      </c>
      <c r="AD32" s="34">
        <f t="shared" si="9"/>
        <v>0</v>
      </c>
      <c r="AE32" s="34">
        <f t="shared" si="9"/>
        <v>0</v>
      </c>
      <c r="AF32" s="34">
        <f t="shared" si="9"/>
        <v>0</v>
      </c>
      <c r="AG32" s="34">
        <f t="shared" si="9"/>
        <v>0</v>
      </c>
      <c r="AH32" s="31">
        <f t="shared" si="5"/>
        <v>1005693.3371944667</v>
      </c>
    </row>
    <row r="33" spans="1:34" x14ac:dyDescent="0.25">
      <c r="B33" s="1" t="s">
        <v>60</v>
      </c>
      <c r="D33" s="34">
        <f t="shared" ref="D33:AG33" si="10">D14*D24</f>
        <v>0</v>
      </c>
      <c r="E33" s="34">
        <f t="shared" si="10"/>
        <v>0</v>
      </c>
      <c r="F33" s="34">
        <f t="shared" si="10"/>
        <v>0</v>
      </c>
      <c r="G33" s="34">
        <f t="shared" si="10"/>
        <v>0</v>
      </c>
      <c r="H33" s="34">
        <f t="shared" si="10"/>
        <v>0</v>
      </c>
      <c r="I33" s="34">
        <f t="shared" si="10"/>
        <v>0</v>
      </c>
      <c r="J33" s="34">
        <f t="shared" si="10"/>
        <v>8722.9397569654939</v>
      </c>
      <c r="K33" s="34">
        <f t="shared" si="10"/>
        <v>8866.2859908279243</v>
      </c>
      <c r="L33" s="34">
        <f t="shared" si="10"/>
        <v>8859.3772828256169</v>
      </c>
      <c r="M33" s="34">
        <f t="shared" si="10"/>
        <v>8682.4152800715656</v>
      </c>
      <c r="N33" s="34">
        <f t="shared" si="10"/>
        <v>8711.2565388435323</v>
      </c>
      <c r="O33" s="34">
        <f t="shared" si="10"/>
        <v>8897.3555382149207</v>
      </c>
      <c r="P33" s="34">
        <f t="shared" si="10"/>
        <v>8702.793228068087</v>
      </c>
      <c r="Q33" s="34">
        <f t="shared" si="10"/>
        <v>8395.0043206577975</v>
      </c>
      <c r="R33" s="34">
        <f t="shared" si="10"/>
        <v>8959.9325093465068</v>
      </c>
      <c r="S33" s="34">
        <f t="shared" si="10"/>
        <v>8544.5690787797303</v>
      </c>
      <c r="T33" s="34">
        <f t="shared" si="10"/>
        <v>8568.5492247858019</v>
      </c>
      <c r="U33" s="34">
        <f t="shared" si="10"/>
        <v>8673.5464018876337</v>
      </c>
      <c r="V33" s="34">
        <f t="shared" si="10"/>
        <v>0</v>
      </c>
      <c r="W33" s="34">
        <f t="shared" si="10"/>
        <v>0</v>
      </c>
      <c r="X33" s="34">
        <f t="shared" si="10"/>
        <v>0</v>
      </c>
      <c r="Y33" s="34">
        <f t="shared" si="10"/>
        <v>0</v>
      </c>
      <c r="Z33" s="34">
        <f t="shared" si="10"/>
        <v>0</v>
      </c>
      <c r="AA33" s="34">
        <f t="shared" si="10"/>
        <v>0</v>
      </c>
      <c r="AB33" s="34">
        <f t="shared" si="10"/>
        <v>0</v>
      </c>
      <c r="AC33" s="34">
        <f t="shared" si="10"/>
        <v>0</v>
      </c>
      <c r="AD33" s="34">
        <f t="shared" si="10"/>
        <v>0</v>
      </c>
      <c r="AE33" s="34">
        <f t="shared" si="10"/>
        <v>0</v>
      </c>
      <c r="AF33" s="34">
        <f t="shared" si="10"/>
        <v>0</v>
      </c>
      <c r="AG33" s="34">
        <f t="shared" si="10"/>
        <v>0</v>
      </c>
      <c r="AH33" s="31">
        <f t="shared" si="5"/>
        <v>104584.02515127462</v>
      </c>
    </row>
    <row r="34" spans="1:34" x14ac:dyDescent="0.25">
      <c r="B34" s="1" t="s">
        <v>0</v>
      </c>
      <c r="D34" s="34">
        <f t="shared" ref="D34:L34" si="11">SUM(D28:D33)</f>
        <v>0</v>
      </c>
      <c r="E34" s="34">
        <f t="shared" si="11"/>
        <v>0</v>
      </c>
      <c r="F34" s="34">
        <f t="shared" si="11"/>
        <v>0</v>
      </c>
      <c r="G34" s="34">
        <f t="shared" si="11"/>
        <v>0</v>
      </c>
      <c r="H34" s="34">
        <f t="shared" si="11"/>
        <v>0</v>
      </c>
      <c r="I34" s="34">
        <f t="shared" si="11"/>
        <v>0</v>
      </c>
      <c r="J34" s="34">
        <f t="shared" si="11"/>
        <v>2933821.0825504796</v>
      </c>
      <c r="K34" s="34">
        <f t="shared" si="11"/>
        <v>3039932.7858992266</v>
      </c>
      <c r="L34" s="34">
        <f t="shared" si="11"/>
        <v>2535240.9269649354</v>
      </c>
      <c r="M34" s="34">
        <f t="shared" ref="M34:AG34" si="12">SUM(M28:M33)</f>
        <v>2665097.4070741828</v>
      </c>
      <c r="N34" s="34">
        <f t="shared" si="12"/>
        <v>2946137.142253377</v>
      </c>
      <c r="O34" s="34">
        <f t="shared" si="12"/>
        <v>3373919.6781649529</v>
      </c>
      <c r="P34" s="34">
        <f t="shared" si="12"/>
        <v>3412351.5098095839</v>
      </c>
      <c r="Q34" s="34">
        <f t="shared" si="12"/>
        <v>3063905.4381285342</v>
      </c>
      <c r="R34" s="34">
        <f t="shared" si="12"/>
        <v>2889700.9355588197</v>
      </c>
      <c r="S34" s="34">
        <f t="shared" si="12"/>
        <v>2587671.476592992</v>
      </c>
      <c r="T34" s="34">
        <f t="shared" si="12"/>
        <v>2528645.6640084214</v>
      </c>
      <c r="U34" s="34">
        <f t="shared" si="12"/>
        <v>2616632.0258337762</v>
      </c>
      <c r="V34" s="34">
        <f t="shared" si="12"/>
        <v>0</v>
      </c>
      <c r="W34" s="34">
        <f t="shared" si="12"/>
        <v>0</v>
      </c>
      <c r="X34" s="34">
        <f t="shared" si="12"/>
        <v>0</v>
      </c>
      <c r="Y34" s="34">
        <f t="shared" si="12"/>
        <v>0</v>
      </c>
      <c r="Z34" s="34">
        <f t="shared" si="12"/>
        <v>0</v>
      </c>
      <c r="AA34" s="34">
        <f t="shared" si="12"/>
        <v>0</v>
      </c>
      <c r="AB34" s="34">
        <f t="shared" si="12"/>
        <v>0</v>
      </c>
      <c r="AC34" s="34">
        <f t="shared" si="12"/>
        <v>0</v>
      </c>
      <c r="AD34" s="34">
        <f t="shared" si="12"/>
        <v>0</v>
      </c>
      <c r="AE34" s="34">
        <f t="shared" si="12"/>
        <v>0</v>
      </c>
      <c r="AF34" s="34">
        <f t="shared" si="12"/>
        <v>0</v>
      </c>
      <c r="AG34" s="34">
        <f t="shared" si="12"/>
        <v>0</v>
      </c>
      <c r="AH34" s="31">
        <f t="shared" si="5"/>
        <v>34593056.072839275</v>
      </c>
    </row>
    <row r="36" spans="1:34" ht="36" customHeight="1" x14ac:dyDescent="0.25">
      <c r="A36" s="1" t="s">
        <v>111</v>
      </c>
      <c r="B36" s="75"/>
      <c r="C36" s="180">
        <f>'CF WA Elec'!E19</f>
        <v>0.9560685516223647</v>
      </c>
      <c r="D36" s="28">
        <f t="shared" ref="D36:L36" si="13">D8</f>
        <v>44927</v>
      </c>
      <c r="E36" s="28">
        <f t="shared" si="13"/>
        <v>44958</v>
      </c>
      <c r="F36" s="28">
        <f t="shared" si="13"/>
        <v>44986</v>
      </c>
      <c r="G36" s="28">
        <f t="shared" si="13"/>
        <v>45017</v>
      </c>
      <c r="H36" s="28">
        <f t="shared" si="13"/>
        <v>45047</v>
      </c>
      <c r="I36" s="28">
        <f t="shared" si="13"/>
        <v>45078</v>
      </c>
      <c r="J36" s="28">
        <f t="shared" si="13"/>
        <v>45108</v>
      </c>
      <c r="K36" s="28">
        <f t="shared" si="13"/>
        <v>45139</v>
      </c>
      <c r="L36" s="28">
        <f t="shared" si="13"/>
        <v>45170</v>
      </c>
      <c r="M36" s="28">
        <f t="shared" ref="M36:AG36" si="14">M8</f>
        <v>45200</v>
      </c>
      <c r="N36" s="28">
        <f t="shared" si="14"/>
        <v>45231</v>
      </c>
      <c r="O36" s="28">
        <f t="shared" si="14"/>
        <v>45261</v>
      </c>
      <c r="P36" s="28">
        <f t="shared" si="14"/>
        <v>45292</v>
      </c>
      <c r="Q36" s="28">
        <f t="shared" si="14"/>
        <v>45323</v>
      </c>
      <c r="R36" s="28">
        <f t="shared" si="14"/>
        <v>45352</v>
      </c>
      <c r="S36" s="28">
        <f t="shared" si="14"/>
        <v>45383</v>
      </c>
      <c r="T36" s="28">
        <f t="shared" si="14"/>
        <v>45413</v>
      </c>
      <c r="U36" s="28">
        <f t="shared" si="14"/>
        <v>45444</v>
      </c>
      <c r="V36" s="28">
        <f t="shared" si="14"/>
        <v>45474</v>
      </c>
      <c r="W36" s="28">
        <f t="shared" si="14"/>
        <v>45505</v>
      </c>
      <c r="X36" s="28">
        <f t="shared" si="14"/>
        <v>45536</v>
      </c>
      <c r="Y36" s="28">
        <f t="shared" si="14"/>
        <v>45566</v>
      </c>
      <c r="Z36" s="28">
        <f t="shared" si="14"/>
        <v>45597</v>
      </c>
      <c r="AA36" s="28">
        <f t="shared" si="14"/>
        <v>45627</v>
      </c>
      <c r="AB36" s="28">
        <f t="shared" si="14"/>
        <v>45658</v>
      </c>
      <c r="AC36" s="28">
        <f t="shared" si="14"/>
        <v>45689</v>
      </c>
      <c r="AD36" s="28">
        <f t="shared" si="14"/>
        <v>45717</v>
      </c>
      <c r="AE36" s="28">
        <f t="shared" si="14"/>
        <v>45748</v>
      </c>
      <c r="AF36" s="28">
        <f t="shared" si="14"/>
        <v>45778</v>
      </c>
      <c r="AG36" s="28">
        <f t="shared" si="14"/>
        <v>45809</v>
      </c>
    </row>
    <row r="37" spans="1:34" x14ac:dyDescent="0.25">
      <c r="B37" s="1" t="s">
        <v>55</v>
      </c>
      <c r="D37" s="34">
        <f t="shared" ref="D37:AG37" si="15">D28*$C$36</f>
        <v>0</v>
      </c>
      <c r="E37" s="34">
        <f t="shared" si="15"/>
        <v>0</v>
      </c>
      <c r="F37" s="34">
        <f t="shared" si="15"/>
        <v>0</v>
      </c>
      <c r="G37" s="34">
        <f t="shared" si="15"/>
        <v>0</v>
      </c>
      <c r="H37" s="34">
        <f t="shared" si="15"/>
        <v>0</v>
      </c>
      <c r="I37" s="34">
        <f t="shared" si="15"/>
        <v>0</v>
      </c>
      <c r="J37" s="34">
        <f t="shared" si="15"/>
        <v>1128953.6792370733</v>
      </c>
      <c r="K37" s="34">
        <f t="shared" si="15"/>
        <v>1202583.1895333284</v>
      </c>
      <c r="L37" s="34">
        <f t="shared" si="15"/>
        <v>895001.23474061338</v>
      </c>
      <c r="M37" s="34">
        <f t="shared" si="15"/>
        <v>993230.73036684457</v>
      </c>
      <c r="N37" s="34">
        <f t="shared" si="15"/>
        <v>1323887.4137939631</v>
      </c>
      <c r="O37" s="34">
        <f t="shared" si="15"/>
        <v>1706287.7077591219</v>
      </c>
      <c r="P37" s="34">
        <f t="shared" si="15"/>
        <v>1736183.7776764277</v>
      </c>
      <c r="Q37" s="34">
        <f t="shared" si="15"/>
        <v>1466779.7831478654</v>
      </c>
      <c r="R37" s="34">
        <f t="shared" si="15"/>
        <v>1307258.8067797152</v>
      </c>
      <c r="S37" s="34">
        <f t="shared" si="15"/>
        <v>1064437.71409304</v>
      </c>
      <c r="T37" s="34">
        <f t="shared" si="15"/>
        <v>953968.01540195034</v>
      </c>
      <c r="U37" s="34">
        <f t="shared" si="15"/>
        <v>939749.00320927566</v>
      </c>
      <c r="V37" s="34">
        <f t="shared" si="15"/>
        <v>0</v>
      </c>
      <c r="W37" s="34">
        <f t="shared" si="15"/>
        <v>0</v>
      </c>
      <c r="X37" s="34">
        <f t="shared" si="15"/>
        <v>0</v>
      </c>
      <c r="Y37" s="34">
        <f t="shared" si="15"/>
        <v>0</v>
      </c>
      <c r="Z37" s="34">
        <f t="shared" si="15"/>
        <v>0</v>
      </c>
      <c r="AA37" s="34">
        <f t="shared" si="15"/>
        <v>0</v>
      </c>
      <c r="AB37" s="34">
        <f t="shared" si="15"/>
        <v>0</v>
      </c>
      <c r="AC37" s="34">
        <f t="shared" si="15"/>
        <v>0</v>
      </c>
      <c r="AD37" s="34">
        <f t="shared" si="15"/>
        <v>0</v>
      </c>
      <c r="AE37" s="34">
        <f t="shared" si="15"/>
        <v>0</v>
      </c>
      <c r="AF37" s="34">
        <f t="shared" si="15"/>
        <v>0</v>
      </c>
      <c r="AG37" s="34">
        <f t="shared" si="15"/>
        <v>0</v>
      </c>
      <c r="AH37" s="31">
        <f t="shared" ref="AH37:AH42" si="16">SUM(D37:AG37)</f>
        <v>14718321.05573922</v>
      </c>
    </row>
    <row r="38" spans="1:34" x14ac:dyDescent="0.25">
      <c r="B38" s="1" t="s">
        <v>56</v>
      </c>
      <c r="D38" s="34">
        <f t="shared" ref="D38:AG38" si="17">D29*$C$36</f>
        <v>0</v>
      </c>
      <c r="E38" s="34">
        <f t="shared" si="17"/>
        <v>0</v>
      </c>
      <c r="F38" s="34">
        <f t="shared" si="17"/>
        <v>0</v>
      </c>
      <c r="G38" s="34">
        <f t="shared" si="17"/>
        <v>0</v>
      </c>
      <c r="H38" s="34">
        <f t="shared" si="17"/>
        <v>0</v>
      </c>
      <c r="I38" s="34">
        <f t="shared" si="17"/>
        <v>0</v>
      </c>
      <c r="J38" s="34">
        <f t="shared" si="17"/>
        <v>315879.96681102854</v>
      </c>
      <c r="K38" s="34">
        <f t="shared" si="17"/>
        <v>312326.65872438636</v>
      </c>
      <c r="L38" s="34">
        <f t="shared" si="17"/>
        <v>282771.54416085605</v>
      </c>
      <c r="M38" s="34">
        <f t="shared" si="17"/>
        <v>289098.19672402763</v>
      </c>
      <c r="N38" s="34">
        <f t="shared" si="17"/>
        <v>330346.10899560683</v>
      </c>
      <c r="O38" s="34">
        <f t="shared" si="17"/>
        <v>364850.16916377307</v>
      </c>
      <c r="P38" s="34">
        <f t="shared" si="17"/>
        <v>359098.64925223519</v>
      </c>
      <c r="Q38" s="34">
        <f t="shared" si="17"/>
        <v>337845.32304592553</v>
      </c>
      <c r="R38" s="34">
        <f t="shared" si="17"/>
        <v>318290.93917753064</v>
      </c>
      <c r="S38" s="34">
        <f t="shared" si="17"/>
        <v>279780.80641607457</v>
      </c>
      <c r="T38" s="34">
        <f t="shared" si="17"/>
        <v>269924.73010664055</v>
      </c>
      <c r="U38" s="34">
        <f t="shared" si="17"/>
        <v>277975.26049577707</v>
      </c>
      <c r="V38" s="34">
        <f t="shared" si="17"/>
        <v>0</v>
      </c>
      <c r="W38" s="34">
        <f t="shared" si="17"/>
        <v>0</v>
      </c>
      <c r="X38" s="34">
        <f t="shared" si="17"/>
        <v>0</v>
      </c>
      <c r="Y38" s="34">
        <f t="shared" si="17"/>
        <v>0</v>
      </c>
      <c r="Z38" s="34">
        <f t="shared" si="17"/>
        <v>0</v>
      </c>
      <c r="AA38" s="34">
        <f t="shared" si="17"/>
        <v>0</v>
      </c>
      <c r="AB38" s="34">
        <f t="shared" si="17"/>
        <v>0</v>
      </c>
      <c r="AC38" s="34">
        <f t="shared" si="17"/>
        <v>0</v>
      </c>
      <c r="AD38" s="34">
        <f t="shared" si="17"/>
        <v>0</v>
      </c>
      <c r="AE38" s="34">
        <f t="shared" si="17"/>
        <v>0</v>
      </c>
      <c r="AF38" s="34">
        <f t="shared" si="17"/>
        <v>0</v>
      </c>
      <c r="AG38" s="34">
        <f t="shared" si="17"/>
        <v>0</v>
      </c>
      <c r="AH38" s="31">
        <f t="shared" si="16"/>
        <v>3738188.3530738628</v>
      </c>
    </row>
    <row r="39" spans="1:34" x14ac:dyDescent="0.25">
      <c r="B39" s="1" t="s">
        <v>57</v>
      </c>
      <c r="D39" s="34">
        <f t="shared" ref="D39:AG39" si="18">D30*$C$36</f>
        <v>0</v>
      </c>
      <c r="E39" s="34">
        <f t="shared" si="18"/>
        <v>0</v>
      </c>
      <c r="F39" s="34">
        <f t="shared" si="18"/>
        <v>0</v>
      </c>
      <c r="G39" s="34">
        <f t="shared" si="18"/>
        <v>0</v>
      </c>
      <c r="H39" s="34">
        <f t="shared" si="18"/>
        <v>0</v>
      </c>
      <c r="I39" s="34">
        <f t="shared" si="18"/>
        <v>0</v>
      </c>
      <c r="J39" s="34">
        <f t="shared" si="18"/>
        <v>684255.83883717586</v>
      </c>
      <c r="K39" s="34">
        <f t="shared" si="18"/>
        <v>657457.42914318678</v>
      </c>
      <c r="L39" s="34">
        <f t="shared" si="18"/>
        <v>610028.16093178117</v>
      </c>
      <c r="M39" s="34">
        <f t="shared" si="18"/>
        <v>683301.66253746604</v>
      </c>
      <c r="N39" s="34">
        <f t="shared" si="18"/>
        <v>669646.26601818716</v>
      </c>
      <c r="O39" s="34">
        <f t="shared" si="18"/>
        <v>633774.01392624667</v>
      </c>
      <c r="P39" s="34">
        <f t="shared" si="18"/>
        <v>619930.15787904605</v>
      </c>
      <c r="Q39" s="34">
        <f t="shared" si="18"/>
        <v>633684.5950002966</v>
      </c>
      <c r="R39" s="34">
        <f t="shared" si="18"/>
        <v>608289.08933988295</v>
      </c>
      <c r="S39" s="34">
        <f t="shared" si="18"/>
        <v>591944.16875815112</v>
      </c>
      <c r="T39" s="34">
        <f t="shared" si="18"/>
        <v>611457.39340979024</v>
      </c>
      <c r="U39" s="34">
        <f t="shared" si="18"/>
        <v>645044.46221401403</v>
      </c>
      <c r="V39" s="34">
        <f t="shared" si="18"/>
        <v>0</v>
      </c>
      <c r="W39" s="34">
        <f t="shared" si="18"/>
        <v>0</v>
      </c>
      <c r="X39" s="34">
        <f t="shared" si="18"/>
        <v>0</v>
      </c>
      <c r="Y39" s="34">
        <f t="shared" si="18"/>
        <v>0</v>
      </c>
      <c r="Z39" s="34">
        <f t="shared" si="18"/>
        <v>0</v>
      </c>
      <c r="AA39" s="34">
        <f t="shared" si="18"/>
        <v>0</v>
      </c>
      <c r="AB39" s="34">
        <f t="shared" si="18"/>
        <v>0</v>
      </c>
      <c r="AC39" s="34">
        <f t="shared" si="18"/>
        <v>0</v>
      </c>
      <c r="AD39" s="34">
        <f t="shared" si="18"/>
        <v>0</v>
      </c>
      <c r="AE39" s="34">
        <f t="shared" si="18"/>
        <v>0</v>
      </c>
      <c r="AF39" s="34">
        <f t="shared" si="18"/>
        <v>0</v>
      </c>
      <c r="AG39" s="34">
        <f t="shared" si="18"/>
        <v>0</v>
      </c>
      <c r="AH39" s="31">
        <f t="shared" si="16"/>
        <v>7648813.2379952259</v>
      </c>
    </row>
    <row r="40" spans="1:34" x14ac:dyDescent="0.25">
      <c r="B40" s="1" t="s">
        <v>58</v>
      </c>
      <c r="D40" s="34">
        <f t="shared" ref="D40:AG40" si="19">D31*$C$36</f>
        <v>0</v>
      </c>
      <c r="E40" s="34">
        <f t="shared" si="19"/>
        <v>0</v>
      </c>
      <c r="F40" s="34">
        <f t="shared" si="19"/>
        <v>0</v>
      </c>
      <c r="G40" s="34">
        <f t="shared" si="19"/>
        <v>0</v>
      </c>
      <c r="H40" s="34">
        <f t="shared" si="19"/>
        <v>0</v>
      </c>
      <c r="I40" s="34">
        <f t="shared" si="19"/>
        <v>0</v>
      </c>
      <c r="J40" s="34">
        <f t="shared" si="19"/>
        <v>501835.05508258007</v>
      </c>
      <c r="K40" s="34">
        <f t="shared" si="19"/>
        <v>540830.77097604948</v>
      </c>
      <c r="L40" s="34">
        <f t="shared" si="19"/>
        <v>477682.83696514054</v>
      </c>
      <c r="M40" s="34">
        <f t="shared" si="19"/>
        <v>500223.34770843765</v>
      </c>
      <c r="N40" s="34">
        <f t="shared" si="19"/>
        <v>469919.93550771248</v>
      </c>
      <c r="O40" s="34">
        <f t="shared" si="19"/>
        <v>493040.72549029253</v>
      </c>
      <c r="P40" s="34">
        <f t="shared" si="19"/>
        <v>511021.13128196745</v>
      </c>
      <c r="Q40" s="34">
        <f t="shared" si="19"/>
        <v>455859.45932300546</v>
      </c>
      <c r="R40" s="34">
        <f t="shared" si="19"/>
        <v>492169.27738379559</v>
      </c>
      <c r="S40" s="34">
        <f t="shared" si="19"/>
        <v>489853.89758024947</v>
      </c>
      <c r="T40" s="34">
        <f t="shared" si="19"/>
        <v>485205.43269550637</v>
      </c>
      <c r="U40" s="34">
        <f t="shared" si="19"/>
        <v>488867.2292306638</v>
      </c>
      <c r="V40" s="34">
        <f t="shared" si="19"/>
        <v>0</v>
      </c>
      <c r="W40" s="34">
        <f t="shared" si="19"/>
        <v>0</v>
      </c>
      <c r="X40" s="34">
        <f t="shared" si="19"/>
        <v>0</v>
      </c>
      <c r="Y40" s="34">
        <f t="shared" si="19"/>
        <v>0</v>
      </c>
      <c r="Z40" s="34">
        <f t="shared" si="19"/>
        <v>0</v>
      </c>
      <c r="AA40" s="34">
        <f t="shared" si="19"/>
        <v>0</v>
      </c>
      <c r="AB40" s="34">
        <f t="shared" si="19"/>
        <v>0</v>
      </c>
      <c r="AC40" s="34">
        <f t="shared" si="19"/>
        <v>0</v>
      </c>
      <c r="AD40" s="34">
        <f t="shared" si="19"/>
        <v>0</v>
      </c>
      <c r="AE40" s="34">
        <f t="shared" si="19"/>
        <v>0</v>
      </c>
      <c r="AF40" s="34">
        <f t="shared" si="19"/>
        <v>0</v>
      </c>
      <c r="AG40" s="34">
        <f t="shared" si="19"/>
        <v>0</v>
      </c>
      <c r="AH40" s="31">
        <f t="shared" si="16"/>
        <v>5906509.0992254</v>
      </c>
    </row>
    <row r="41" spans="1:34" x14ac:dyDescent="0.25">
      <c r="B41" s="1" t="s">
        <v>59</v>
      </c>
      <c r="D41" s="34">
        <f t="shared" ref="D41:AG41" si="20">D32*$C$36</f>
        <v>0</v>
      </c>
      <c r="E41" s="34">
        <f t="shared" si="20"/>
        <v>0</v>
      </c>
      <c r="F41" s="34">
        <f t="shared" si="20"/>
        <v>0</v>
      </c>
      <c r="G41" s="34">
        <f t="shared" si="20"/>
        <v>0</v>
      </c>
      <c r="H41" s="34">
        <f t="shared" si="20"/>
        <v>0</v>
      </c>
      <c r="I41" s="34">
        <f t="shared" si="20"/>
        <v>0</v>
      </c>
      <c r="J41" s="34">
        <f t="shared" si="20"/>
        <v>165669.80476600619</v>
      </c>
      <c r="K41" s="34">
        <f t="shared" si="20"/>
        <v>184709.31006154229</v>
      </c>
      <c r="L41" s="34">
        <f t="shared" si="20"/>
        <v>149910.17225164885</v>
      </c>
      <c r="M41" s="34">
        <f t="shared" si="20"/>
        <v>73860.896375755794</v>
      </c>
      <c r="N41" s="34">
        <f t="shared" si="20"/>
        <v>14580.787737665692</v>
      </c>
      <c r="O41" s="34">
        <f t="shared" si="20"/>
        <v>19239.401831236471</v>
      </c>
      <c r="P41" s="34">
        <f t="shared" si="20"/>
        <v>27887.782603733762</v>
      </c>
      <c r="Q41" s="34">
        <f t="shared" si="20"/>
        <v>27108.274400626673</v>
      </c>
      <c r="R41" s="34">
        <f t="shared" si="20"/>
        <v>28177.765703743564</v>
      </c>
      <c r="S41" s="34">
        <f t="shared" si="20"/>
        <v>39805.540069866394</v>
      </c>
      <c r="T41" s="34">
        <f t="shared" si="20"/>
        <v>88810.905493970553</v>
      </c>
      <c r="U41" s="34">
        <f t="shared" si="20"/>
        <v>141751.13097197987</v>
      </c>
      <c r="V41" s="34">
        <f t="shared" si="20"/>
        <v>0</v>
      </c>
      <c r="W41" s="34">
        <f t="shared" si="20"/>
        <v>0</v>
      </c>
      <c r="X41" s="34">
        <f t="shared" si="20"/>
        <v>0</v>
      </c>
      <c r="Y41" s="34">
        <f t="shared" si="20"/>
        <v>0</v>
      </c>
      <c r="Z41" s="34">
        <f t="shared" si="20"/>
        <v>0</v>
      </c>
      <c r="AA41" s="34">
        <f t="shared" si="20"/>
        <v>0</v>
      </c>
      <c r="AB41" s="34">
        <f t="shared" si="20"/>
        <v>0</v>
      </c>
      <c r="AC41" s="34">
        <f t="shared" si="20"/>
        <v>0</v>
      </c>
      <c r="AD41" s="34">
        <f t="shared" si="20"/>
        <v>0</v>
      </c>
      <c r="AE41" s="34">
        <f t="shared" si="20"/>
        <v>0</v>
      </c>
      <c r="AF41" s="34">
        <f t="shared" si="20"/>
        <v>0</v>
      </c>
      <c r="AG41" s="34">
        <f t="shared" si="20"/>
        <v>0</v>
      </c>
      <c r="AH41" s="31">
        <f t="shared" si="16"/>
        <v>961511.77226777584</v>
      </c>
    </row>
    <row r="42" spans="1:34" x14ac:dyDescent="0.25">
      <c r="B42" s="66" t="s">
        <v>60</v>
      </c>
      <c r="D42" s="36">
        <f t="shared" ref="D42:AG42" si="21">D33*$C$36</f>
        <v>0</v>
      </c>
      <c r="E42" s="36">
        <f t="shared" si="21"/>
        <v>0</v>
      </c>
      <c r="F42" s="36">
        <f t="shared" si="21"/>
        <v>0</v>
      </c>
      <c r="G42" s="36">
        <f t="shared" si="21"/>
        <v>0</v>
      </c>
      <c r="H42" s="36">
        <f t="shared" si="21"/>
        <v>0</v>
      </c>
      <c r="I42" s="36">
        <f t="shared" si="21"/>
        <v>0</v>
      </c>
      <c r="J42" s="36">
        <f t="shared" si="21"/>
        <v>8339.7283793311417</v>
      </c>
      <c r="K42" s="36">
        <f t="shared" si="21"/>
        <v>8476.7772055205169</v>
      </c>
      <c r="L42" s="36">
        <f t="shared" si="21"/>
        <v>8470.172007067169</v>
      </c>
      <c r="M42" s="36">
        <f t="shared" si="21"/>
        <v>8300.9842014019105</v>
      </c>
      <c r="N42" s="36">
        <f t="shared" si="21"/>
        <v>8328.5584219029897</v>
      </c>
      <c r="O42" s="36">
        <f t="shared" si="21"/>
        <v>8506.4818226903644</v>
      </c>
      <c r="P42" s="36">
        <f t="shared" si="21"/>
        <v>8320.46691662798</v>
      </c>
      <c r="Q42" s="36">
        <f t="shared" si="21"/>
        <v>8026.1996217147944</v>
      </c>
      <c r="R42" s="36">
        <f t="shared" si="21"/>
        <v>8566.3096968450536</v>
      </c>
      <c r="S42" s="36">
        <f t="shared" si="21"/>
        <v>8169.1937833861793</v>
      </c>
      <c r="T42" s="36">
        <f t="shared" si="21"/>
        <v>8192.1204468458982</v>
      </c>
      <c r="U42" s="36">
        <f t="shared" si="21"/>
        <v>8292.5049458820831</v>
      </c>
      <c r="V42" s="36">
        <f t="shared" si="21"/>
        <v>0</v>
      </c>
      <c r="W42" s="36">
        <f t="shared" si="21"/>
        <v>0</v>
      </c>
      <c r="X42" s="36">
        <f t="shared" si="21"/>
        <v>0</v>
      </c>
      <c r="Y42" s="36">
        <f t="shared" si="21"/>
        <v>0</v>
      </c>
      <c r="Z42" s="36">
        <f t="shared" si="21"/>
        <v>0</v>
      </c>
      <c r="AA42" s="36">
        <f t="shared" si="21"/>
        <v>0</v>
      </c>
      <c r="AB42" s="36">
        <f t="shared" si="21"/>
        <v>0</v>
      </c>
      <c r="AC42" s="36">
        <f t="shared" si="21"/>
        <v>0</v>
      </c>
      <c r="AD42" s="36">
        <f t="shared" si="21"/>
        <v>0</v>
      </c>
      <c r="AE42" s="36">
        <f t="shared" si="21"/>
        <v>0</v>
      </c>
      <c r="AF42" s="36">
        <f t="shared" si="21"/>
        <v>0</v>
      </c>
      <c r="AG42" s="36">
        <f t="shared" si="21"/>
        <v>0</v>
      </c>
      <c r="AH42" s="31">
        <f t="shared" si="16"/>
        <v>99989.497449216084</v>
      </c>
    </row>
    <row r="43" spans="1:34" x14ac:dyDescent="0.25">
      <c r="B43" s="1" t="s">
        <v>0</v>
      </c>
      <c r="C43" s="24"/>
      <c r="D43" s="35">
        <f t="shared" ref="D43:L43" si="22">SUM(D37:D42)</f>
        <v>0</v>
      </c>
      <c r="E43" s="35">
        <f t="shared" si="22"/>
        <v>0</v>
      </c>
      <c r="F43" s="35">
        <f t="shared" si="22"/>
        <v>0</v>
      </c>
      <c r="G43" s="35">
        <f t="shared" si="22"/>
        <v>0</v>
      </c>
      <c r="H43" s="35">
        <f t="shared" si="22"/>
        <v>0</v>
      </c>
      <c r="I43" s="35">
        <f t="shared" si="22"/>
        <v>0</v>
      </c>
      <c r="J43" s="35">
        <f t="shared" si="22"/>
        <v>2804934.0731131951</v>
      </c>
      <c r="K43" s="35">
        <f t="shared" si="22"/>
        <v>2906384.1356440135</v>
      </c>
      <c r="L43" s="35">
        <f t="shared" si="22"/>
        <v>2423864.1210571071</v>
      </c>
      <c r="M43" s="35">
        <f t="shared" ref="M43:AG43" si="23">SUM(M37:M42)</f>
        <v>2548015.8179139337</v>
      </c>
      <c r="N43" s="35">
        <f t="shared" si="23"/>
        <v>2816709.0704750381</v>
      </c>
      <c r="O43" s="35">
        <f t="shared" si="23"/>
        <v>3225698.4999933611</v>
      </c>
      <c r="P43" s="35">
        <f t="shared" si="23"/>
        <v>3262441.965610038</v>
      </c>
      <c r="Q43" s="35">
        <f t="shared" si="23"/>
        <v>2929303.6345394342</v>
      </c>
      <c r="R43" s="35">
        <f t="shared" si="23"/>
        <v>2762752.1880815132</v>
      </c>
      <c r="S43" s="35">
        <f t="shared" si="23"/>
        <v>2473991.3207007675</v>
      </c>
      <c r="T43" s="35">
        <f t="shared" si="23"/>
        <v>2417558.5975547037</v>
      </c>
      <c r="U43" s="35">
        <f t="shared" si="23"/>
        <v>2501679.5910675926</v>
      </c>
      <c r="V43" s="35">
        <f t="shared" si="23"/>
        <v>0</v>
      </c>
      <c r="W43" s="35">
        <f t="shared" si="23"/>
        <v>0</v>
      </c>
      <c r="X43" s="35">
        <f t="shared" si="23"/>
        <v>0</v>
      </c>
      <c r="Y43" s="35">
        <f t="shared" si="23"/>
        <v>0</v>
      </c>
      <c r="Z43" s="35">
        <f t="shared" si="23"/>
        <v>0</v>
      </c>
      <c r="AA43" s="35">
        <f t="shared" si="23"/>
        <v>0</v>
      </c>
      <c r="AB43" s="35">
        <f t="shared" si="23"/>
        <v>0</v>
      </c>
      <c r="AC43" s="35">
        <f t="shared" si="23"/>
        <v>0</v>
      </c>
      <c r="AD43" s="35">
        <f t="shared" si="23"/>
        <v>0</v>
      </c>
      <c r="AE43" s="35">
        <f t="shared" si="23"/>
        <v>0</v>
      </c>
      <c r="AF43" s="35">
        <f t="shared" si="23"/>
        <v>0</v>
      </c>
      <c r="AG43" s="35">
        <f t="shared" si="23"/>
        <v>0</v>
      </c>
      <c r="AH43" s="31">
        <f>SUM(AH37:AH42)</f>
        <v>33073333.015750699</v>
      </c>
    </row>
    <row r="44" spans="1:34" x14ac:dyDescent="0.25">
      <c r="C44" s="64"/>
    </row>
    <row r="45" spans="1:34" x14ac:dyDescent="0.25">
      <c r="C45" s="64"/>
      <c r="D45" s="34"/>
      <c r="E45" s="34"/>
      <c r="F45" s="34"/>
      <c r="G45" s="34"/>
      <c r="H45" s="34"/>
      <c r="I45" s="34"/>
      <c r="J45" s="34"/>
      <c r="K45" s="34"/>
      <c r="L45" s="34"/>
    </row>
    <row r="47" spans="1:34" x14ac:dyDescent="0.25">
      <c r="D47" s="35"/>
      <c r="E47" s="35"/>
      <c r="F47" s="35"/>
      <c r="G47" s="35"/>
      <c r="H47" s="35"/>
      <c r="I47" s="35"/>
      <c r="J47" s="35"/>
      <c r="K47" s="35"/>
      <c r="L47" s="35"/>
    </row>
  </sheetData>
  <pageMargins left="0.7" right="0.7" top="0.75" bottom="0.75" header="0.3" footer="0.3"/>
  <pageSetup scale="37" orientation="landscape" r:id="rId1"/>
  <headerFooter>
    <oddFooter>&amp;L&amp;F&amp;RPage: &amp;P of &amp;N</oddFooter>
  </headerFooter>
  <colBreaks count="2" manualBreakCount="2">
    <brk id="12" max="1048575" man="1"/>
    <brk id="24" max="1048575" man="1"/>
  </colBreaks>
  <customProperties>
    <customPr name="xxe4aP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AP70"/>
  <sheetViews>
    <sheetView topLeftCell="M1" zoomScaleNormal="100" workbookViewId="0">
      <selection activeCell="O70" sqref="O70:Z70"/>
    </sheetView>
  </sheetViews>
  <sheetFormatPr defaultColWidth="9.140625" defaultRowHeight="15" x14ac:dyDescent="0.25"/>
  <cols>
    <col min="1" max="1" width="19.42578125" style="45" customWidth="1"/>
    <col min="2" max="3" width="15.140625" style="45" hidden="1" customWidth="1"/>
    <col min="4" max="4" width="2.42578125" style="45" customWidth="1"/>
    <col min="5" max="17" width="17.85546875" style="45" customWidth="1"/>
    <col min="18" max="19" width="15.28515625" style="45" bestFit="1" customWidth="1"/>
    <col min="20" max="20" width="14.5703125" style="45" customWidth="1"/>
    <col min="21" max="41" width="15.28515625" style="45" bestFit="1" customWidth="1"/>
    <col min="42" max="42" width="16.7109375" style="45" customWidth="1"/>
    <col min="43" max="16384" width="9.140625" style="45"/>
  </cols>
  <sheetData>
    <row r="3" spans="1:42" x14ac:dyDescent="0.25">
      <c r="A3" s="2" t="s">
        <v>45</v>
      </c>
    </row>
    <row r="4" spans="1:42" x14ac:dyDescent="0.25">
      <c r="A4" s="45" t="s">
        <v>69</v>
      </c>
    </row>
    <row r="6" spans="1:42" x14ac:dyDescent="0.25">
      <c r="B6" s="46">
        <v>43539</v>
      </c>
      <c r="C6" s="46">
        <v>43570</v>
      </c>
      <c r="D6" s="46">
        <v>43600</v>
      </c>
      <c r="E6" s="46">
        <v>43631</v>
      </c>
      <c r="F6" s="46">
        <v>43662</v>
      </c>
      <c r="G6" s="46">
        <v>43693</v>
      </c>
      <c r="H6" s="46">
        <v>43724</v>
      </c>
      <c r="I6" s="46">
        <v>43754</v>
      </c>
      <c r="J6" s="46">
        <v>43785</v>
      </c>
      <c r="K6" s="46">
        <v>43815</v>
      </c>
      <c r="L6" s="46">
        <v>43846</v>
      </c>
      <c r="M6" s="46">
        <v>43877</v>
      </c>
      <c r="N6" s="46">
        <v>43906</v>
      </c>
      <c r="O6" s="46">
        <v>45123</v>
      </c>
      <c r="P6" s="46">
        <v>45154</v>
      </c>
      <c r="Q6" s="46">
        <v>45185</v>
      </c>
      <c r="R6" s="46">
        <v>45215</v>
      </c>
      <c r="S6" s="46">
        <v>45246</v>
      </c>
      <c r="T6" s="46">
        <v>45276</v>
      </c>
      <c r="U6" s="46">
        <v>45307</v>
      </c>
      <c r="V6" s="46">
        <v>45338</v>
      </c>
      <c r="W6" s="46">
        <v>45367</v>
      </c>
      <c r="X6" s="46">
        <v>45398</v>
      </c>
      <c r="Y6" s="46">
        <v>45428</v>
      </c>
      <c r="Z6" s="46">
        <v>45459</v>
      </c>
      <c r="AA6" s="46">
        <v>45489</v>
      </c>
      <c r="AB6" s="46">
        <v>45520</v>
      </c>
      <c r="AC6" s="46">
        <v>45551</v>
      </c>
      <c r="AD6" s="46">
        <v>45581</v>
      </c>
      <c r="AE6" s="46">
        <v>45612</v>
      </c>
      <c r="AF6" s="46">
        <v>45642</v>
      </c>
      <c r="AG6" s="46">
        <v>45673</v>
      </c>
      <c r="AH6" s="46">
        <v>45704</v>
      </c>
      <c r="AI6" s="46">
        <v>45732</v>
      </c>
      <c r="AJ6" s="46">
        <v>45763</v>
      </c>
      <c r="AK6" s="46">
        <v>45793</v>
      </c>
      <c r="AL6" s="46">
        <v>45824</v>
      </c>
      <c r="AM6" s="46">
        <v>45854</v>
      </c>
      <c r="AN6" s="46">
        <v>45885</v>
      </c>
      <c r="AO6" s="46">
        <v>45916</v>
      </c>
      <c r="AP6" s="45" t="s">
        <v>0</v>
      </c>
    </row>
    <row r="7" spans="1:42" x14ac:dyDescent="0.25">
      <c r="A7" s="47" t="s">
        <v>82</v>
      </c>
      <c r="B7" s="70">
        <v>213189988.19073486</v>
      </c>
      <c r="C7" s="70">
        <v>171239526.06262755</v>
      </c>
      <c r="D7" s="70">
        <v>156633831.35472667</v>
      </c>
      <c r="E7" s="70"/>
      <c r="F7" s="71"/>
      <c r="G7" s="71"/>
      <c r="H7" s="71"/>
      <c r="I7" s="71"/>
      <c r="J7" s="71"/>
      <c r="K7" s="71"/>
      <c r="L7" s="71"/>
      <c r="M7" s="71"/>
      <c r="N7" s="71"/>
      <c r="O7" s="93">
        <f>O58+O59</f>
        <v>196453732.82550579</v>
      </c>
      <c r="P7" s="93">
        <f t="shared" ref="P7:Z7" si="0">P58+P59</f>
        <v>209266297.60104942</v>
      </c>
      <c r="Q7" s="93">
        <f t="shared" si="0"/>
        <v>155742734.78345945</v>
      </c>
      <c r="R7" s="93">
        <f t="shared" si="0"/>
        <v>172836041.1291908</v>
      </c>
      <c r="S7" s="93">
        <f t="shared" si="0"/>
        <v>230374929.5155212</v>
      </c>
      <c r="T7" s="93">
        <f t="shared" si="0"/>
        <v>296917929.96332842</v>
      </c>
      <c r="U7" s="93">
        <f t="shared" si="0"/>
        <v>302120264.33725601</v>
      </c>
      <c r="V7" s="93">
        <f t="shared" si="0"/>
        <v>255240200.66714668</v>
      </c>
      <c r="W7" s="93">
        <f t="shared" si="0"/>
        <v>227481319.28180018</v>
      </c>
      <c r="X7" s="93">
        <f t="shared" si="0"/>
        <v>185227052.39345241</v>
      </c>
      <c r="Y7" s="93">
        <f t="shared" si="0"/>
        <v>166003779.48943084</v>
      </c>
      <c r="Z7" s="93">
        <f t="shared" si="0"/>
        <v>163529472.4618564</v>
      </c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>
        <f>SUM(F7:AO7)</f>
        <v>2561193754.4489975</v>
      </c>
    </row>
    <row r="8" spans="1:42" x14ac:dyDescent="0.25">
      <c r="A8" s="47" t="s">
        <v>34</v>
      </c>
      <c r="B8" s="70">
        <v>48272611.324739918</v>
      </c>
      <c r="C8" s="70">
        <v>42495410.712577581</v>
      </c>
      <c r="D8" s="70">
        <v>42493743.40239609</v>
      </c>
      <c r="E8" s="70"/>
      <c r="F8" s="71"/>
      <c r="G8" s="71"/>
      <c r="H8" s="71"/>
      <c r="I8" s="71"/>
      <c r="J8" s="71"/>
      <c r="K8" s="71"/>
      <c r="L8" s="71"/>
      <c r="M8" s="71"/>
      <c r="N8" s="71"/>
      <c r="O8" s="93">
        <f>O60+O61+O62</f>
        <v>56095221.520522907</v>
      </c>
      <c r="P8" s="93">
        <f t="shared" ref="P8:Z8" si="1">P60+P61+P62</f>
        <v>55464210.93044614</v>
      </c>
      <c r="Q8" s="93">
        <f t="shared" si="1"/>
        <v>50215696.074492998</v>
      </c>
      <c r="R8" s="93">
        <f t="shared" si="1"/>
        <v>51339208.212971874</v>
      </c>
      <c r="S8" s="93">
        <f t="shared" si="1"/>
        <v>58664176.616294332</v>
      </c>
      <c r="T8" s="93">
        <f t="shared" si="1"/>
        <v>64791544.926576048</v>
      </c>
      <c r="U8" s="93">
        <f t="shared" si="1"/>
        <v>63770167.133059852</v>
      </c>
      <c r="V8" s="93">
        <f t="shared" si="1"/>
        <v>59995916.889757469</v>
      </c>
      <c r="W8" s="93">
        <f t="shared" si="1"/>
        <v>56523371.587601081</v>
      </c>
      <c r="X8" s="93">
        <f t="shared" si="1"/>
        <v>49684588.96441891</v>
      </c>
      <c r="Y8" s="93">
        <f t="shared" si="1"/>
        <v>47934307.712073348</v>
      </c>
      <c r="Z8" s="93">
        <f t="shared" si="1"/>
        <v>49363952.934894577</v>
      </c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>
        <f t="shared" ref="AP8:AP15" si="2">SUM(F8:AO8)</f>
        <v>663842363.50310946</v>
      </c>
    </row>
    <row r="9" spans="1:42" x14ac:dyDescent="0.25">
      <c r="A9" s="47" t="s">
        <v>35</v>
      </c>
      <c r="B9" s="70">
        <v>5724182.9146942534</v>
      </c>
      <c r="C9" s="70">
        <v>4651895.7785043996</v>
      </c>
      <c r="D9" s="70">
        <v>4290584.0575502384</v>
      </c>
      <c r="E9" s="70"/>
      <c r="F9" s="71"/>
      <c r="G9" s="71"/>
      <c r="H9" s="71"/>
      <c r="I9" s="71"/>
      <c r="J9" s="71"/>
      <c r="K9" s="71"/>
      <c r="L9" s="71"/>
      <c r="M9" s="71"/>
      <c r="N9" s="71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>
        <f t="shared" si="2"/>
        <v>0</v>
      </c>
    </row>
    <row r="10" spans="1:42" x14ac:dyDescent="0.25">
      <c r="A10" s="47" t="s">
        <v>36</v>
      </c>
      <c r="B10" s="70">
        <v>112945883.74407679</v>
      </c>
      <c r="C10" s="70">
        <v>105471432.77641559</v>
      </c>
      <c r="D10" s="70">
        <v>110218481.38479108</v>
      </c>
      <c r="E10" s="70"/>
      <c r="F10" s="71"/>
      <c r="G10" s="71"/>
      <c r="H10" s="71"/>
      <c r="I10" s="71"/>
      <c r="J10" s="71"/>
      <c r="K10" s="71"/>
      <c r="L10" s="71"/>
      <c r="M10" s="71"/>
      <c r="N10" s="71"/>
      <c r="O10" s="93">
        <f>O63+O64+O65</f>
        <v>112977088.66465129</v>
      </c>
      <c r="P10" s="93">
        <f t="shared" ref="P10:Z10" si="3">P63+P64+P65</f>
        <v>108552418.62717734</v>
      </c>
      <c r="Q10" s="93">
        <f t="shared" si="3"/>
        <v>100721399.38571118</v>
      </c>
      <c r="R10" s="93">
        <f t="shared" si="3"/>
        <v>112819545.16367477</v>
      </c>
      <c r="S10" s="93">
        <f t="shared" si="3"/>
        <v>110564910.48502697</v>
      </c>
      <c r="T10" s="93">
        <f t="shared" si="3"/>
        <v>104642063.53924263</v>
      </c>
      <c r="U10" s="93">
        <f t="shared" si="3"/>
        <v>102356312.41614927</v>
      </c>
      <c r="V10" s="93">
        <f t="shared" si="3"/>
        <v>104627299.63172153</v>
      </c>
      <c r="W10" s="93">
        <f t="shared" si="3"/>
        <v>100434262.27371232</v>
      </c>
      <c r="X10" s="93">
        <f t="shared" si="3"/>
        <v>97735561.821382791</v>
      </c>
      <c r="Y10" s="93">
        <f t="shared" si="3"/>
        <v>100957379.1395191</v>
      </c>
      <c r="Z10" s="93">
        <f t="shared" si="3"/>
        <v>106502920.78477423</v>
      </c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>
        <f t="shared" si="2"/>
        <v>1262891161.9327435</v>
      </c>
    </row>
    <row r="11" spans="1:42" x14ac:dyDescent="0.25">
      <c r="A11" s="47" t="s">
        <v>37</v>
      </c>
      <c r="B11" s="70">
        <v>2778910.7181493258</v>
      </c>
      <c r="C11" s="70">
        <v>2414495.3206309257</v>
      </c>
      <c r="D11" s="70">
        <v>2350597.7023464972</v>
      </c>
      <c r="E11" s="70"/>
      <c r="F11" s="71"/>
      <c r="G11" s="71"/>
      <c r="H11" s="71"/>
      <c r="I11" s="71"/>
      <c r="J11" s="71"/>
      <c r="K11" s="71"/>
      <c r="L11" s="71"/>
      <c r="M11" s="71"/>
      <c r="N11" s="71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>
        <f t="shared" si="2"/>
        <v>0</v>
      </c>
    </row>
    <row r="12" spans="1:42" x14ac:dyDescent="0.25">
      <c r="A12" s="48" t="s">
        <v>38</v>
      </c>
      <c r="B12" s="71">
        <v>92097651.340277776</v>
      </c>
      <c r="C12" s="71">
        <v>95221310.400462955</v>
      </c>
      <c r="D12" s="71">
        <v>95100347.010513127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93">
        <f>O66+O70</f>
        <v>90445103</v>
      </c>
      <c r="P12" s="93">
        <f t="shared" ref="P12:Z12" si="4">P66+P70</f>
        <v>97473252</v>
      </c>
      <c r="Q12" s="93">
        <f t="shared" si="4"/>
        <v>86092179</v>
      </c>
      <c r="R12" s="93">
        <f t="shared" si="4"/>
        <v>90154627</v>
      </c>
      <c r="S12" s="93">
        <f t="shared" si="4"/>
        <v>84693081</v>
      </c>
      <c r="T12" s="93">
        <f t="shared" si="4"/>
        <v>88860112</v>
      </c>
      <c r="U12" s="93">
        <f t="shared" si="4"/>
        <v>92100698</v>
      </c>
      <c r="V12" s="93">
        <f t="shared" si="4"/>
        <v>82158979</v>
      </c>
      <c r="W12" s="93">
        <f t="shared" si="4"/>
        <v>88703052</v>
      </c>
      <c r="X12" s="93">
        <f t="shared" si="4"/>
        <v>88285754</v>
      </c>
      <c r="Y12" s="93">
        <f t="shared" si="4"/>
        <v>87447967</v>
      </c>
      <c r="Z12" s="93">
        <f t="shared" si="4"/>
        <v>88107928</v>
      </c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>
        <f t="shared" si="2"/>
        <v>1064522732</v>
      </c>
    </row>
    <row r="13" spans="1:42" x14ac:dyDescent="0.25">
      <c r="A13" s="47" t="s">
        <v>39</v>
      </c>
      <c r="B13" s="71">
        <v>4601847.4064209629</v>
      </c>
      <c r="C13" s="71">
        <v>7353678.9318030719</v>
      </c>
      <c r="D13" s="71">
        <v>13405805.779335853</v>
      </c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93">
        <f>O67+O68</f>
        <v>25353797.419315163</v>
      </c>
      <c r="P13" s="93">
        <f t="shared" ref="P13:Z13" si="5">P67+P68</f>
        <v>28267567.740399349</v>
      </c>
      <c r="Q13" s="93">
        <f t="shared" si="5"/>
        <v>22941972.701248884</v>
      </c>
      <c r="R13" s="93">
        <f t="shared" si="5"/>
        <v>11303533.595424337</v>
      </c>
      <c r="S13" s="93">
        <f t="shared" si="5"/>
        <v>2231416.5157431569</v>
      </c>
      <c r="T13" s="93">
        <f t="shared" si="5"/>
        <v>2944362.1134637855</v>
      </c>
      <c r="U13" s="93">
        <f t="shared" si="5"/>
        <v>4267894.1500995196</v>
      </c>
      <c r="V13" s="93">
        <f t="shared" si="5"/>
        <v>4148599.6709626261</v>
      </c>
      <c r="W13" s="93">
        <f t="shared" si="5"/>
        <v>4312272.6219825391</v>
      </c>
      <c r="X13" s="93">
        <f t="shared" si="5"/>
        <v>6091765.4881241657</v>
      </c>
      <c r="Y13" s="93">
        <f t="shared" si="5"/>
        <v>13591455.061472366</v>
      </c>
      <c r="Z13" s="93">
        <f t="shared" si="5"/>
        <v>21693328.266418211</v>
      </c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>
        <f t="shared" si="2"/>
        <v>147147965.34465411</v>
      </c>
    </row>
    <row r="14" spans="1:42" x14ac:dyDescent="0.25">
      <c r="A14" s="47" t="s">
        <v>40</v>
      </c>
      <c r="B14" s="71">
        <v>278375.15504453034</v>
      </c>
      <c r="C14" s="71">
        <v>458730.60320466821</v>
      </c>
      <c r="D14" s="71">
        <v>761795.99607833149</v>
      </c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>
        <f t="shared" si="2"/>
        <v>0</v>
      </c>
    </row>
    <row r="15" spans="1:42" x14ac:dyDescent="0.25">
      <c r="A15" s="49" t="s">
        <v>41</v>
      </c>
      <c r="B15" s="71">
        <v>1244744.6911135332</v>
      </c>
      <c r="C15" s="71">
        <v>1228321.4036251963</v>
      </c>
      <c r="D15" s="71">
        <v>1181518.1785057436</v>
      </c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93">
        <f>O69</f>
        <v>1297254.7296365609</v>
      </c>
      <c r="P15" s="93">
        <f t="shared" ref="P15:Z15" si="6">P69</f>
        <v>1318572.8385579409</v>
      </c>
      <c r="Q15" s="93">
        <f t="shared" si="6"/>
        <v>1317545.3920340193</v>
      </c>
      <c r="R15" s="93">
        <f t="shared" si="6"/>
        <v>1291228.0263941458</v>
      </c>
      <c r="S15" s="93">
        <f t="shared" si="6"/>
        <v>1295517.2293914184</v>
      </c>
      <c r="T15" s="93">
        <f t="shared" si="6"/>
        <v>1323193.4273065061</v>
      </c>
      <c r="U15" s="93">
        <f t="shared" si="6"/>
        <v>1294258.5860627098</v>
      </c>
      <c r="V15" s="93">
        <f t="shared" si="6"/>
        <v>1248484.9561865169</v>
      </c>
      <c r="W15" s="93">
        <f t="shared" si="6"/>
        <v>1332499.7247278495</v>
      </c>
      <c r="X15" s="93">
        <f t="shared" si="6"/>
        <v>1270727.8691569627</v>
      </c>
      <c r="Y15" s="93">
        <f t="shared" si="6"/>
        <v>1274294.1390946764</v>
      </c>
      <c r="Z15" s="93">
        <f t="shared" si="6"/>
        <v>1289909.0680508316</v>
      </c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>
        <f t="shared" si="2"/>
        <v>15553485.986600136</v>
      </c>
    </row>
    <row r="16" spans="1:42" x14ac:dyDescent="0.25">
      <c r="A16" s="49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</row>
    <row r="17" spans="1:42" x14ac:dyDescent="0.25">
      <c r="A17" s="50" t="s">
        <v>0</v>
      </c>
      <c r="B17" s="53">
        <f t="shared" ref="B17:AP17" si="7">SUM(B7:B15)</f>
        <v>481134195.48525196</v>
      </c>
      <c r="C17" s="53">
        <f t="shared" si="7"/>
        <v>430534801.98985189</v>
      </c>
      <c r="D17" s="53">
        <f t="shared" si="7"/>
        <v>426436704.8662436</v>
      </c>
      <c r="E17" s="53">
        <f t="shared" si="7"/>
        <v>0</v>
      </c>
      <c r="F17" s="53">
        <f t="shared" si="7"/>
        <v>0</v>
      </c>
      <c r="G17" s="53">
        <f t="shared" si="7"/>
        <v>0</v>
      </c>
      <c r="H17" s="53">
        <f t="shared" si="7"/>
        <v>0</v>
      </c>
      <c r="I17" s="53">
        <f t="shared" si="7"/>
        <v>0</v>
      </c>
      <c r="J17" s="53">
        <f t="shared" si="7"/>
        <v>0</v>
      </c>
      <c r="K17" s="53">
        <f t="shared" si="7"/>
        <v>0</v>
      </c>
      <c r="L17" s="53">
        <f t="shared" si="7"/>
        <v>0</v>
      </c>
      <c r="M17" s="53">
        <f t="shared" si="7"/>
        <v>0</v>
      </c>
      <c r="N17" s="53">
        <f t="shared" si="7"/>
        <v>0</v>
      </c>
      <c r="O17" s="53">
        <f t="shared" si="7"/>
        <v>482622198.15963167</v>
      </c>
      <c r="P17" s="53">
        <f t="shared" si="7"/>
        <v>500342319.73763025</v>
      </c>
      <c r="Q17" s="53">
        <f t="shared" si="7"/>
        <v>417031527.33694649</v>
      </c>
      <c r="R17" s="53">
        <f t="shared" si="7"/>
        <v>439744183.12765592</v>
      </c>
      <c r="S17" s="53">
        <f t="shared" si="7"/>
        <v>487824031.36197704</v>
      </c>
      <c r="T17" s="53">
        <f t="shared" si="7"/>
        <v>559479205.96991742</v>
      </c>
      <c r="U17" s="53">
        <f t="shared" si="7"/>
        <v>565909594.62262726</v>
      </c>
      <c r="V17" s="53">
        <f t="shared" si="7"/>
        <v>507419480.81577486</v>
      </c>
      <c r="W17" s="53">
        <f t="shared" si="7"/>
        <v>478786777.489824</v>
      </c>
      <c r="X17" s="53">
        <f t="shared" si="7"/>
        <v>428295450.53653526</v>
      </c>
      <c r="Y17" s="53">
        <f t="shared" si="7"/>
        <v>417209182.54159033</v>
      </c>
      <c r="Z17" s="53">
        <f t="shared" si="7"/>
        <v>430487511.51599431</v>
      </c>
      <c r="AA17" s="53">
        <f t="shared" si="7"/>
        <v>0</v>
      </c>
      <c r="AB17" s="53">
        <f t="shared" si="7"/>
        <v>0</v>
      </c>
      <c r="AC17" s="53">
        <f t="shared" si="7"/>
        <v>0</v>
      </c>
      <c r="AD17" s="53">
        <f t="shared" si="7"/>
        <v>0</v>
      </c>
      <c r="AE17" s="53">
        <f t="shared" si="7"/>
        <v>0</v>
      </c>
      <c r="AF17" s="53">
        <f t="shared" si="7"/>
        <v>0</v>
      </c>
      <c r="AG17" s="53">
        <f t="shared" si="7"/>
        <v>0</v>
      </c>
      <c r="AH17" s="53">
        <f t="shared" si="7"/>
        <v>0</v>
      </c>
      <c r="AI17" s="53">
        <f t="shared" si="7"/>
        <v>0</v>
      </c>
      <c r="AJ17" s="53">
        <f t="shared" si="7"/>
        <v>0</v>
      </c>
      <c r="AK17" s="53">
        <f t="shared" si="7"/>
        <v>0</v>
      </c>
      <c r="AL17" s="53">
        <f t="shared" si="7"/>
        <v>0</v>
      </c>
      <c r="AM17" s="53">
        <f t="shared" si="7"/>
        <v>0</v>
      </c>
      <c r="AN17" s="53">
        <f t="shared" si="7"/>
        <v>0</v>
      </c>
      <c r="AO17" s="53">
        <f t="shared" si="7"/>
        <v>0</v>
      </c>
      <c r="AP17" s="52">
        <f t="shared" si="7"/>
        <v>5715151463.2161045</v>
      </c>
    </row>
    <row r="18" spans="1:42" x14ac:dyDescent="0.25">
      <c r="A18" s="51"/>
      <c r="B18" s="51"/>
      <c r="F18" s="51"/>
      <c r="R18" s="52"/>
    </row>
    <row r="19" spans="1:42" x14ac:dyDescent="0.25">
      <c r="A19" s="50" t="s">
        <v>82</v>
      </c>
      <c r="B19" s="53">
        <f t="shared" ref="B19:AO19" si="8">B7</f>
        <v>213189988.19073486</v>
      </c>
      <c r="C19" s="52">
        <f t="shared" si="8"/>
        <v>171239526.06262755</v>
      </c>
      <c r="D19" s="52">
        <f t="shared" si="8"/>
        <v>156633831.35472667</v>
      </c>
      <c r="E19" s="52">
        <f t="shared" si="8"/>
        <v>0</v>
      </c>
      <c r="F19" s="53">
        <f t="shared" si="8"/>
        <v>0</v>
      </c>
      <c r="G19" s="52">
        <f t="shared" si="8"/>
        <v>0</v>
      </c>
      <c r="H19" s="52">
        <f t="shared" si="8"/>
        <v>0</v>
      </c>
      <c r="I19" s="52">
        <f t="shared" si="8"/>
        <v>0</v>
      </c>
      <c r="J19" s="52">
        <f t="shared" si="8"/>
        <v>0</v>
      </c>
      <c r="K19" s="52">
        <f t="shared" si="8"/>
        <v>0</v>
      </c>
      <c r="L19" s="52">
        <f t="shared" si="8"/>
        <v>0</v>
      </c>
      <c r="M19" s="52">
        <f t="shared" si="8"/>
        <v>0</v>
      </c>
      <c r="N19" s="52">
        <f t="shared" si="8"/>
        <v>0</v>
      </c>
      <c r="O19" s="52">
        <f t="shared" si="8"/>
        <v>196453732.82550579</v>
      </c>
      <c r="P19" s="52">
        <f t="shared" si="8"/>
        <v>209266297.60104942</v>
      </c>
      <c r="Q19" s="52">
        <f t="shared" si="8"/>
        <v>155742734.78345945</v>
      </c>
      <c r="R19" s="52">
        <f t="shared" si="8"/>
        <v>172836041.1291908</v>
      </c>
      <c r="S19" s="52">
        <f t="shared" si="8"/>
        <v>230374929.5155212</v>
      </c>
      <c r="T19" s="52">
        <f t="shared" si="8"/>
        <v>296917929.96332842</v>
      </c>
      <c r="U19" s="52">
        <f t="shared" si="8"/>
        <v>302120264.33725601</v>
      </c>
      <c r="V19" s="52">
        <f t="shared" si="8"/>
        <v>255240200.66714668</v>
      </c>
      <c r="W19" s="52">
        <f t="shared" si="8"/>
        <v>227481319.28180018</v>
      </c>
      <c r="X19" s="52">
        <f t="shared" si="8"/>
        <v>185227052.39345241</v>
      </c>
      <c r="Y19" s="52">
        <f t="shared" si="8"/>
        <v>166003779.48943084</v>
      </c>
      <c r="Z19" s="52">
        <f t="shared" si="8"/>
        <v>163529472.4618564</v>
      </c>
      <c r="AA19" s="52">
        <f t="shared" si="8"/>
        <v>0</v>
      </c>
      <c r="AB19" s="52">
        <f t="shared" si="8"/>
        <v>0</v>
      </c>
      <c r="AC19" s="52">
        <f t="shared" si="8"/>
        <v>0</v>
      </c>
      <c r="AD19" s="52">
        <f t="shared" si="8"/>
        <v>0</v>
      </c>
      <c r="AE19" s="52">
        <f t="shared" si="8"/>
        <v>0</v>
      </c>
      <c r="AF19" s="52">
        <f t="shared" si="8"/>
        <v>0</v>
      </c>
      <c r="AG19" s="52">
        <f t="shared" si="8"/>
        <v>0</v>
      </c>
      <c r="AH19" s="52">
        <f t="shared" si="8"/>
        <v>0</v>
      </c>
      <c r="AI19" s="52">
        <f t="shared" si="8"/>
        <v>0</v>
      </c>
      <c r="AJ19" s="52">
        <f t="shared" si="8"/>
        <v>0</v>
      </c>
      <c r="AK19" s="52">
        <f t="shared" si="8"/>
        <v>0</v>
      </c>
      <c r="AL19" s="52">
        <f t="shared" si="8"/>
        <v>0</v>
      </c>
      <c r="AM19" s="52">
        <f t="shared" si="8"/>
        <v>0</v>
      </c>
      <c r="AN19" s="52">
        <f t="shared" si="8"/>
        <v>0</v>
      </c>
      <c r="AO19" s="52">
        <f t="shared" si="8"/>
        <v>0</v>
      </c>
      <c r="AP19" s="52">
        <f>SUM(F19:AO19)</f>
        <v>2561193754.4489975</v>
      </c>
    </row>
    <row r="20" spans="1:42" x14ac:dyDescent="0.25">
      <c r="A20" s="50" t="s">
        <v>42</v>
      </c>
      <c r="B20" s="53">
        <f t="shared" ref="B20:AO20" si="9">B8+B9</f>
        <v>53996794.239434168</v>
      </c>
      <c r="C20" s="52">
        <f t="shared" si="9"/>
        <v>47147306.491081983</v>
      </c>
      <c r="D20" s="52">
        <f t="shared" si="9"/>
        <v>46784327.459946327</v>
      </c>
      <c r="E20" s="52">
        <f t="shared" si="9"/>
        <v>0</v>
      </c>
      <c r="F20" s="53">
        <f t="shared" si="9"/>
        <v>0</v>
      </c>
      <c r="G20" s="52">
        <f t="shared" si="9"/>
        <v>0</v>
      </c>
      <c r="H20" s="52">
        <f t="shared" si="9"/>
        <v>0</v>
      </c>
      <c r="I20" s="52">
        <f t="shared" si="9"/>
        <v>0</v>
      </c>
      <c r="J20" s="52">
        <f t="shared" si="9"/>
        <v>0</v>
      </c>
      <c r="K20" s="52">
        <f t="shared" si="9"/>
        <v>0</v>
      </c>
      <c r="L20" s="52">
        <f t="shared" si="9"/>
        <v>0</v>
      </c>
      <c r="M20" s="52">
        <f t="shared" si="9"/>
        <v>0</v>
      </c>
      <c r="N20" s="52">
        <f t="shared" si="9"/>
        <v>0</v>
      </c>
      <c r="O20" s="52">
        <f t="shared" si="9"/>
        <v>56095221.520522907</v>
      </c>
      <c r="P20" s="52">
        <f t="shared" si="9"/>
        <v>55464210.93044614</v>
      </c>
      <c r="Q20" s="52">
        <f t="shared" si="9"/>
        <v>50215696.074492998</v>
      </c>
      <c r="R20" s="52">
        <f t="shared" si="9"/>
        <v>51339208.212971874</v>
      </c>
      <c r="S20" s="52">
        <f t="shared" si="9"/>
        <v>58664176.616294332</v>
      </c>
      <c r="T20" s="52">
        <f t="shared" si="9"/>
        <v>64791544.926576048</v>
      </c>
      <c r="U20" s="52">
        <f t="shared" si="9"/>
        <v>63770167.133059852</v>
      </c>
      <c r="V20" s="52">
        <f t="shared" si="9"/>
        <v>59995916.889757469</v>
      </c>
      <c r="W20" s="52">
        <f t="shared" si="9"/>
        <v>56523371.587601081</v>
      </c>
      <c r="X20" s="52">
        <f t="shared" si="9"/>
        <v>49684588.96441891</v>
      </c>
      <c r="Y20" s="52">
        <f t="shared" si="9"/>
        <v>47934307.712073348</v>
      </c>
      <c r="Z20" s="52">
        <f t="shared" si="9"/>
        <v>49363952.934894577</v>
      </c>
      <c r="AA20" s="52">
        <f t="shared" si="9"/>
        <v>0</v>
      </c>
      <c r="AB20" s="52">
        <f t="shared" si="9"/>
        <v>0</v>
      </c>
      <c r="AC20" s="52">
        <f t="shared" si="9"/>
        <v>0</v>
      </c>
      <c r="AD20" s="52">
        <f t="shared" si="9"/>
        <v>0</v>
      </c>
      <c r="AE20" s="52">
        <f t="shared" si="9"/>
        <v>0</v>
      </c>
      <c r="AF20" s="52">
        <f t="shared" si="9"/>
        <v>0</v>
      </c>
      <c r="AG20" s="52">
        <f t="shared" si="9"/>
        <v>0</v>
      </c>
      <c r="AH20" s="52">
        <f t="shared" si="9"/>
        <v>0</v>
      </c>
      <c r="AI20" s="52">
        <f t="shared" si="9"/>
        <v>0</v>
      </c>
      <c r="AJ20" s="52">
        <f t="shared" si="9"/>
        <v>0</v>
      </c>
      <c r="AK20" s="52">
        <f t="shared" si="9"/>
        <v>0</v>
      </c>
      <c r="AL20" s="52">
        <f t="shared" si="9"/>
        <v>0</v>
      </c>
      <c r="AM20" s="52">
        <f t="shared" si="9"/>
        <v>0</v>
      </c>
      <c r="AN20" s="52">
        <f t="shared" si="9"/>
        <v>0</v>
      </c>
      <c r="AO20" s="52">
        <f t="shared" si="9"/>
        <v>0</v>
      </c>
      <c r="AP20" s="52">
        <f t="shared" ref="AP20:AP24" si="10">SUM(F20:AO20)</f>
        <v>663842363.50310946</v>
      </c>
    </row>
    <row r="21" spans="1:42" x14ac:dyDescent="0.25">
      <c r="A21" s="50" t="s">
        <v>43</v>
      </c>
      <c r="B21" s="53">
        <f t="shared" ref="B21:AO21" si="11">B10+B11</f>
        <v>115724794.46222611</v>
      </c>
      <c r="C21" s="52">
        <f t="shared" si="11"/>
        <v>107885928.09704651</v>
      </c>
      <c r="D21" s="52">
        <f t="shared" si="11"/>
        <v>112569079.08713758</v>
      </c>
      <c r="E21" s="52">
        <f t="shared" si="11"/>
        <v>0</v>
      </c>
      <c r="F21" s="53">
        <f t="shared" si="11"/>
        <v>0</v>
      </c>
      <c r="G21" s="52">
        <f t="shared" si="11"/>
        <v>0</v>
      </c>
      <c r="H21" s="52">
        <f t="shared" si="11"/>
        <v>0</v>
      </c>
      <c r="I21" s="52">
        <f t="shared" si="11"/>
        <v>0</v>
      </c>
      <c r="J21" s="52">
        <f t="shared" si="11"/>
        <v>0</v>
      </c>
      <c r="K21" s="52">
        <f t="shared" si="11"/>
        <v>0</v>
      </c>
      <c r="L21" s="52">
        <f t="shared" si="11"/>
        <v>0</v>
      </c>
      <c r="M21" s="52">
        <f t="shared" si="11"/>
        <v>0</v>
      </c>
      <c r="N21" s="52">
        <f t="shared" si="11"/>
        <v>0</v>
      </c>
      <c r="O21" s="52">
        <f t="shared" si="11"/>
        <v>112977088.66465129</v>
      </c>
      <c r="P21" s="52">
        <f t="shared" si="11"/>
        <v>108552418.62717734</v>
      </c>
      <c r="Q21" s="52">
        <f t="shared" si="11"/>
        <v>100721399.38571118</v>
      </c>
      <c r="R21" s="52">
        <f t="shared" si="11"/>
        <v>112819545.16367477</v>
      </c>
      <c r="S21" s="52">
        <f t="shared" si="11"/>
        <v>110564910.48502697</v>
      </c>
      <c r="T21" s="52">
        <f t="shared" si="11"/>
        <v>104642063.53924263</v>
      </c>
      <c r="U21" s="52">
        <f t="shared" si="11"/>
        <v>102356312.41614927</v>
      </c>
      <c r="V21" s="52">
        <f t="shared" si="11"/>
        <v>104627299.63172153</v>
      </c>
      <c r="W21" s="52">
        <f t="shared" si="11"/>
        <v>100434262.27371232</v>
      </c>
      <c r="X21" s="52">
        <f t="shared" si="11"/>
        <v>97735561.821382791</v>
      </c>
      <c r="Y21" s="52">
        <f t="shared" si="11"/>
        <v>100957379.1395191</v>
      </c>
      <c r="Z21" s="52">
        <f t="shared" si="11"/>
        <v>106502920.78477423</v>
      </c>
      <c r="AA21" s="52">
        <f t="shared" si="11"/>
        <v>0</v>
      </c>
      <c r="AB21" s="52">
        <f t="shared" si="11"/>
        <v>0</v>
      </c>
      <c r="AC21" s="52">
        <f t="shared" si="11"/>
        <v>0</v>
      </c>
      <c r="AD21" s="52">
        <f t="shared" si="11"/>
        <v>0</v>
      </c>
      <c r="AE21" s="52">
        <f t="shared" si="11"/>
        <v>0</v>
      </c>
      <c r="AF21" s="52">
        <f t="shared" si="11"/>
        <v>0</v>
      </c>
      <c r="AG21" s="52">
        <f t="shared" si="11"/>
        <v>0</v>
      </c>
      <c r="AH21" s="52">
        <f t="shared" si="11"/>
        <v>0</v>
      </c>
      <c r="AI21" s="52">
        <f t="shared" si="11"/>
        <v>0</v>
      </c>
      <c r="AJ21" s="52">
        <f t="shared" si="11"/>
        <v>0</v>
      </c>
      <c r="AK21" s="52">
        <f t="shared" si="11"/>
        <v>0</v>
      </c>
      <c r="AL21" s="52">
        <f t="shared" si="11"/>
        <v>0</v>
      </c>
      <c r="AM21" s="52">
        <f t="shared" si="11"/>
        <v>0</v>
      </c>
      <c r="AN21" s="52">
        <f t="shared" si="11"/>
        <v>0</v>
      </c>
      <c r="AO21" s="52">
        <f t="shared" si="11"/>
        <v>0</v>
      </c>
      <c r="AP21" s="52">
        <f t="shared" si="10"/>
        <v>1262891161.9327435</v>
      </c>
    </row>
    <row r="22" spans="1:42" x14ac:dyDescent="0.25">
      <c r="A22" s="50" t="s">
        <v>38</v>
      </c>
      <c r="B22" s="53">
        <f t="shared" ref="B22:AO22" si="12">B12</f>
        <v>92097651.340277776</v>
      </c>
      <c r="C22" s="52">
        <f t="shared" si="12"/>
        <v>95221310.400462955</v>
      </c>
      <c r="D22" s="52">
        <f t="shared" si="12"/>
        <v>95100347.010513127</v>
      </c>
      <c r="E22" s="52">
        <f t="shared" si="12"/>
        <v>0</v>
      </c>
      <c r="F22" s="53">
        <f t="shared" si="12"/>
        <v>0</v>
      </c>
      <c r="G22" s="52">
        <f t="shared" si="12"/>
        <v>0</v>
      </c>
      <c r="H22" s="52">
        <f t="shared" si="12"/>
        <v>0</v>
      </c>
      <c r="I22" s="52">
        <f t="shared" si="12"/>
        <v>0</v>
      </c>
      <c r="J22" s="52">
        <f t="shared" si="12"/>
        <v>0</v>
      </c>
      <c r="K22" s="52">
        <f t="shared" si="12"/>
        <v>0</v>
      </c>
      <c r="L22" s="52">
        <f t="shared" si="12"/>
        <v>0</v>
      </c>
      <c r="M22" s="52">
        <f t="shared" si="12"/>
        <v>0</v>
      </c>
      <c r="N22" s="52">
        <f t="shared" si="12"/>
        <v>0</v>
      </c>
      <c r="O22" s="52">
        <f t="shared" si="12"/>
        <v>90445103</v>
      </c>
      <c r="P22" s="52">
        <f t="shared" si="12"/>
        <v>97473252</v>
      </c>
      <c r="Q22" s="52">
        <f t="shared" si="12"/>
        <v>86092179</v>
      </c>
      <c r="R22" s="52">
        <f t="shared" si="12"/>
        <v>90154627</v>
      </c>
      <c r="S22" s="52">
        <f t="shared" si="12"/>
        <v>84693081</v>
      </c>
      <c r="T22" s="52">
        <f t="shared" si="12"/>
        <v>88860112</v>
      </c>
      <c r="U22" s="52">
        <f t="shared" si="12"/>
        <v>92100698</v>
      </c>
      <c r="V22" s="52">
        <f t="shared" si="12"/>
        <v>82158979</v>
      </c>
      <c r="W22" s="52">
        <f t="shared" si="12"/>
        <v>88703052</v>
      </c>
      <c r="X22" s="52">
        <f t="shared" si="12"/>
        <v>88285754</v>
      </c>
      <c r="Y22" s="52">
        <f t="shared" si="12"/>
        <v>87447967</v>
      </c>
      <c r="Z22" s="52">
        <f t="shared" si="12"/>
        <v>88107928</v>
      </c>
      <c r="AA22" s="52">
        <f t="shared" si="12"/>
        <v>0</v>
      </c>
      <c r="AB22" s="52">
        <f t="shared" si="12"/>
        <v>0</v>
      </c>
      <c r="AC22" s="52">
        <f t="shared" si="12"/>
        <v>0</v>
      </c>
      <c r="AD22" s="52">
        <f t="shared" si="12"/>
        <v>0</v>
      </c>
      <c r="AE22" s="52">
        <f t="shared" si="12"/>
        <v>0</v>
      </c>
      <c r="AF22" s="52">
        <f t="shared" si="12"/>
        <v>0</v>
      </c>
      <c r="AG22" s="52">
        <f t="shared" si="12"/>
        <v>0</v>
      </c>
      <c r="AH22" s="52">
        <f t="shared" si="12"/>
        <v>0</v>
      </c>
      <c r="AI22" s="52">
        <f t="shared" si="12"/>
        <v>0</v>
      </c>
      <c r="AJ22" s="52">
        <f t="shared" si="12"/>
        <v>0</v>
      </c>
      <c r="AK22" s="52">
        <f t="shared" si="12"/>
        <v>0</v>
      </c>
      <c r="AL22" s="52">
        <f t="shared" si="12"/>
        <v>0</v>
      </c>
      <c r="AM22" s="52">
        <f t="shared" si="12"/>
        <v>0</v>
      </c>
      <c r="AN22" s="52">
        <f t="shared" si="12"/>
        <v>0</v>
      </c>
      <c r="AO22" s="52">
        <f t="shared" si="12"/>
        <v>0</v>
      </c>
      <c r="AP22" s="52">
        <f t="shared" si="10"/>
        <v>1064522732</v>
      </c>
    </row>
    <row r="23" spans="1:42" x14ac:dyDescent="0.25">
      <c r="A23" s="50" t="s">
        <v>44</v>
      </c>
      <c r="B23" s="53">
        <f>B13+B14</f>
        <v>4880222.5614654934</v>
      </c>
      <c r="C23" s="52">
        <f>C13+C14</f>
        <v>7812409.5350077404</v>
      </c>
      <c r="D23" s="52">
        <f>D13+D14</f>
        <v>14167601.775414184</v>
      </c>
      <c r="E23" s="52">
        <f>E13+E14</f>
        <v>0</v>
      </c>
      <c r="F23" s="53">
        <f>F13+F14</f>
        <v>0</v>
      </c>
      <c r="G23" s="52">
        <f t="shared" ref="G23:Q23" si="13">G13+G14</f>
        <v>0</v>
      </c>
      <c r="H23" s="52">
        <f t="shared" si="13"/>
        <v>0</v>
      </c>
      <c r="I23" s="52">
        <f t="shared" si="13"/>
        <v>0</v>
      </c>
      <c r="J23" s="52">
        <f t="shared" si="13"/>
        <v>0</v>
      </c>
      <c r="K23" s="52">
        <f t="shared" si="13"/>
        <v>0</v>
      </c>
      <c r="L23" s="52">
        <f t="shared" si="13"/>
        <v>0</v>
      </c>
      <c r="M23" s="52">
        <f t="shared" si="13"/>
        <v>0</v>
      </c>
      <c r="N23" s="52">
        <f t="shared" si="13"/>
        <v>0</v>
      </c>
      <c r="O23" s="52">
        <f t="shared" si="13"/>
        <v>25353797.419315163</v>
      </c>
      <c r="P23" s="52">
        <f t="shared" si="13"/>
        <v>28267567.740399349</v>
      </c>
      <c r="Q23" s="52">
        <f t="shared" si="13"/>
        <v>22941972.701248884</v>
      </c>
      <c r="R23" s="52">
        <f t="shared" ref="R23:AO23" si="14">R13+R14</f>
        <v>11303533.595424337</v>
      </c>
      <c r="S23" s="52">
        <f t="shared" si="14"/>
        <v>2231416.5157431569</v>
      </c>
      <c r="T23" s="52">
        <f t="shared" si="14"/>
        <v>2944362.1134637855</v>
      </c>
      <c r="U23" s="52">
        <f t="shared" si="14"/>
        <v>4267894.1500995196</v>
      </c>
      <c r="V23" s="52">
        <f t="shared" si="14"/>
        <v>4148599.6709626261</v>
      </c>
      <c r="W23" s="52">
        <f t="shared" si="14"/>
        <v>4312272.6219825391</v>
      </c>
      <c r="X23" s="52">
        <f t="shared" si="14"/>
        <v>6091765.4881241657</v>
      </c>
      <c r="Y23" s="52">
        <f t="shared" si="14"/>
        <v>13591455.061472366</v>
      </c>
      <c r="Z23" s="52">
        <f t="shared" si="14"/>
        <v>21693328.266418211</v>
      </c>
      <c r="AA23" s="52">
        <f t="shared" si="14"/>
        <v>0</v>
      </c>
      <c r="AB23" s="52">
        <f t="shared" si="14"/>
        <v>0</v>
      </c>
      <c r="AC23" s="52">
        <f t="shared" si="14"/>
        <v>0</v>
      </c>
      <c r="AD23" s="52">
        <f t="shared" si="14"/>
        <v>0</v>
      </c>
      <c r="AE23" s="52">
        <f t="shared" si="14"/>
        <v>0</v>
      </c>
      <c r="AF23" s="52">
        <f t="shared" si="14"/>
        <v>0</v>
      </c>
      <c r="AG23" s="52">
        <f t="shared" si="14"/>
        <v>0</v>
      </c>
      <c r="AH23" s="52">
        <f t="shared" si="14"/>
        <v>0</v>
      </c>
      <c r="AI23" s="52">
        <f t="shared" si="14"/>
        <v>0</v>
      </c>
      <c r="AJ23" s="52">
        <f t="shared" si="14"/>
        <v>0</v>
      </c>
      <c r="AK23" s="52">
        <f t="shared" si="14"/>
        <v>0</v>
      </c>
      <c r="AL23" s="52">
        <f t="shared" si="14"/>
        <v>0</v>
      </c>
      <c r="AM23" s="52">
        <f t="shared" si="14"/>
        <v>0</v>
      </c>
      <c r="AN23" s="52">
        <f t="shared" si="14"/>
        <v>0</v>
      </c>
      <c r="AO23" s="52">
        <f t="shared" si="14"/>
        <v>0</v>
      </c>
      <c r="AP23" s="52">
        <f t="shared" si="10"/>
        <v>147147965.34465411</v>
      </c>
    </row>
    <row r="24" spans="1:42" x14ac:dyDescent="0.25">
      <c r="A24" s="50" t="s">
        <v>41</v>
      </c>
      <c r="B24" s="53">
        <f>B15</f>
        <v>1244744.6911135332</v>
      </c>
      <c r="C24" s="52">
        <f>C15</f>
        <v>1228321.4036251963</v>
      </c>
      <c r="D24" s="52">
        <f>D15</f>
        <v>1181518.1785057436</v>
      </c>
      <c r="E24" s="52">
        <f>E15</f>
        <v>0</v>
      </c>
      <c r="F24" s="53">
        <f>F15</f>
        <v>0</v>
      </c>
      <c r="G24" s="52">
        <f t="shared" ref="G24:Q24" si="15">G15</f>
        <v>0</v>
      </c>
      <c r="H24" s="52">
        <f t="shared" si="15"/>
        <v>0</v>
      </c>
      <c r="I24" s="52">
        <f t="shared" si="15"/>
        <v>0</v>
      </c>
      <c r="J24" s="52">
        <f t="shared" si="15"/>
        <v>0</v>
      </c>
      <c r="K24" s="52">
        <f t="shared" si="15"/>
        <v>0</v>
      </c>
      <c r="L24" s="52">
        <f t="shared" si="15"/>
        <v>0</v>
      </c>
      <c r="M24" s="52">
        <f t="shared" si="15"/>
        <v>0</v>
      </c>
      <c r="N24" s="52">
        <f t="shared" si="15"/>
        <v>0</v>
      </c>
      <c r="O24" s="52">
        <f t="shared" si="15"/>
        <v>1297254.7296365609</v>
      </c>
      <c r="P24" s="52">
        <f t="shared" si="15"/>
        <v>1318572.8385579409</v>
      </c>
      <c r="Q24" s="52">
        <f t="shared" si="15"/>
        <v>1317545.3920340193</v>
      </c>
      <c r="R24" s="52">
        <f t="shared" ref="R24:AO24" si="16">R15</f>
        <v>1291228.0263941458</v>
      </c>
      <c r="S24" s="52">
        <f t="shared" si="16"/>
        <v>1295517.2293914184</v>
      </c>
      <c r="T24" s="52">
        <f t="shared" si="16"/>
        <v>1323193.4273065061</v>
      </c>
      <c r="U24" s="52">
        <f t="shared" si="16"/>
        <v>1294258.5860627098</v>
      </c>
      <c r="V24" s="52">
        <f t="shared" si="16"/>
        <v>1248484.9561865169</v>
      </c>
      <c r="W24" s="52">
        <f t="shared" si="16"/>
        <v>1332499.7247278495</v>
      </c>
      <c r="X24" s="52">
        <f t="shared" si="16"/>
        <v>1270727.8691569627</v>
      </c>
      <c r="Y24" s="52">
        <f t="shared" si="16"/>
        <v>1274294.1390946764</v>
      </c>
      <c r="Z24" s="52">
        <f t="shared" si="16"/>
        <v>1289909.0680508316</v>
      </c>
      <c r="AA24" s="52">
        <f t="shared" si="16"/>
        <v>0</v>
      </c>
      <c r="AB24" s="52">
        <f t="shared" si="16"/>
        <v>0</v>
      </c>
      <c r="AC24" s="52">
        <f t="shared" si="16"/>
        <v>0</v>
      </c>
      <c r="AD24" s="52">
        <f t="shared" si="16"/>
        <v>0</v>
      </c>
      <c r="AE24" s="52">
        <f t="shared" si="16"/>
        <v>0</v>
      </c>
      <c r="AF24" s="52">
        <f t="shared" si="16"/>
        <v>0</v>
      </c>
      <c r="AG24" s="52">
        <f t="shared" si="16"/>
        <v>0</v>
      </c>
      <c r="AH24" s="52">
        <f t="shared" si="16"/>
        <v>0</v>
      </c>
      <c r="AI24" s="52">
        <f t="shared" si="16"/>
        <v>0</v>
      </c>
      <c r="AJ24" s="52">
        <f t="shared" si="16"/>
        <v>0</v>
      </c>
      <c r="AK24" s="52">
        <f t="shared" si="16"/>
        <v>0</v>
      </c>
      <c r="AL24" s="52">
        <f t="shared" si="16"/>
        <v>0</v>
      </c>
      <c r="AM24" s="52">
        <f t="shared" si="16"/>
        <v>0</v>
      </c>
      <c r="AN24" s="52">
        <f t="shared" si="16"/>
        <v>0</v>
      </c>
      <c r="AO24" s="52">
        <f t="shared" si="16"/>
        <v>0</v>
      </c>
      <c r="AP24" s="52">
        <f t="shared" si="10"/>
        <v>15553485.986600136</v>
      </c>
    </row>
    <row r="25" spans="1:42" x14ac:dyDescent="0.25">
      <c r="A25" s="50" t="s">
        <v>0</v>
      </c>
      <c r="B25" s="53">
        <f>SUM(B19:B24)</f>
        <v>481134195.48525196</v>
      </c>
      <c r="C25" s="52">
        <f>SUM(C19:C24)</f>
        <v>430534801.98985189</v>
      </c>
      <c r="D25" s="52">
        <f>SUM(D19:D24)</f>
        <v>426436704.8662436</v>
      </c>
      <c r="E25" s="52">
        <f>SUM(E19:E24)</f>
        <v>0</v>
      </c>
      <c r="F25" s="53">
        <f>SUM(F19:F24)</f>
        <v>0</v>
      </c>
      <c r="G25" s="52">
        <f t="shared" ref="G25:Q25" si="17">SUM(G19:G24)</f>
        <v>0</v>
      </c>
      <c r="H25" s="52">
        <f t="shared" si="17"/>
        <v>0</v>
      </c>
      <c r="I25" s="52">
        <f t="shared" si="17"/>
        <v>0</v>
      </c>
      <c r="J25" s="52">
        <f t="shared" si="17"/>
        <v>0</v>
      </c>
      <c r="K25" s="52">
        <f t="shared" si="17"/>
        <v>0</v>
      </c>
      <c r="L25" s="52">
        <f t="shared" si="17"/>
        <v>0</v>
      </c>
      <c r="M25" s="52">
        <f t="shared" si="17"/>
        <v>0</v>
      </c>
      <c r="N25" s="52">
        <f t="shared" si="17"/>
        <v>0</v>
      </c>
      <c r="O25" s="52">
        <f t="shared" si="17"/>
        <v>482622198.15963167</v>
      </c>
      <c r="P25" s="52">
        <f t="shared" si="17"/>
        <v>500342319.73763025</v>
      </c>
      <c r="Q25" s="52">
        <f t="shared" si="17"/>
        <v>417031527.33694649</v>
      </c>
      <c r="R25" s="52">
        <f t="shared" ref="R25:AP25" si="18">SUM(R19:R24)</f>
        <v>439744183.12765592</v>
      </c>
      <c r="S25" s="52">
        <f t="shared" si="18"/>
        <v>487824031.36197704</v>
      </c>
      <c r="T25" s="52">
        <f t="shared" si="18"/>
        <v>559479205.96991742</v>
      </c>
      <c r="U25" s="52">
        <f t="shared" si="18"/>
        <v>565909594.62262726</v>
      </c>
      <c r="V25" s="52">
        <f t="shared" si="18"/>
        <v>507419480.81577486</v>
      </c>
      <c r="W25" s="52">
        <f t="shared" si="18"/>
        <v>478786777.489824</v>
      </c>
      <c r="X25" s="52">
        <f t="shared" si="18"/>
        <v>428295450.53653526</v>
      </c>
      <c r="Y25" s="52">
        <f t="shared" si="18"/>
        <v>417209182.54159033</v>
      </c>
      <c r="Z25" s="52">
        <f t="shared" si="18"/>
        <v>430487511.51599431</v>
      </c>
      <c r="AA25" s="52">
        <f t="shared" si="18"/>
        <v>0</v>
      </c>
      <c r="AB25" s="52">
        <f t="shared" si="18"/>
        <v>0</v>
      </c>
      <c r="AC25" s="52">
        <f t="shared" si="18"/>
        <v>0</v>
      </c>
      <c r="AD25" s="52">
        <f t="shared" si="18"/>
        <v>0</v>
      </c>
      <c r="AE25" s="52">
        <f t="shared" si="18"/>
        <v>0</v>
      </c>
      <c r="AF25" s="52">
        <f t="shared" si="18"/>
        <v>0</v>
      </c>
      <c r="AG25" s="52">
        <f t="shared" si="18"/>
        <v>0</v>
      </c>
      <c r="AH25" s="52">
        <f t="shared" si="18"/>
        <v>0</v>
      </c>
      <c r="AI25" s="52">
        <f t="shared" si="18"/>
        <v>0</v>
      </c>
      <c r="AJ25" s="52">
        <f t="shared" si="18"/>
        <v>0</v>
      </c>
      <c r="AK25" s="52">
        <f t="shared" si="18"/>
        <v>0</v>
      </c>
      <c r="AL25" s="52">
        <f t="shared" si="18"/>
        <v>0</v>
      </c>
      <c r="AM25" s="52">
        <f t="shared" si="18"/>
        <v>0</v>
      </c>
      <c r="AN25" s="52">
        <f t="shared" si="18"/>
        <v>0</v>
      </c>
      <c r="AO25" s="52">
        <f t="shared" si="18"/>
        <v>0</v>
      </c>
      <c r="AP25" s="52">
        <f t="shared" si="18"/>
        <v>5715151463.2161045</v>
      </c>
    </row>
    <row r="26" spans="1:42" x14ac:dyDescent="0.25">
      <c r="A26" s="51"/>
      <c r="B26" s="51"/>
      <c r="F26" s="51"/>
    </row>
    <row r="27" spans="1:42" x14ac:dyDescent="0.25">
      <c r="A27" s="50" t="s">
        <v>78</v>
      </c>
      <c r="B27" s="52">
        <f t="shared" ref="B27:AP27" si="19">SUM(B7:B15)-SUM(B19:B24)</f>
        <v>0</v>
      </c>
      <c r="C27" s="52">
        <f t="shared" si="19"/>
        <v>0</v>
      </c>
      <c r="D27" s="52">
        <f t="shared" si="19"/>
        <v>0</v>
      </c>
      <c r="E27" s="52">
        <f t="shared" si="19"/>
        <v>0</v>
      </c>
      <c r="F27" s="52">
        <f t="shared" si="19"/>
        <v>0</v>
      </c>
      <c r="G27" s="52">
        <f t="shared" si="19"/>
        <v>0</v>
      </c>
      <c r="H27" s="52">
        <f t="shared" si="19"/>
        <v>0</v>
      </c>
      <c r="I27" s="52">
        <f t="shared" si="19"/>
        <v>0</v>
      </c>
      <c r="J27" s="52">
        <f t="shared" si="19"/>
        <v>0</v>
      </c>
      <c r="K27" s="52">
        <f t="shared" si="19"/>
        <v>0</v>
      </c>
      <c r="L27" s="52">
        <f t="shared" si="19"/>
        <v>0</v>
      </c>
      <c r="M27" s="52">
        <f t="shared" si="19"/>
        <v>0</v>
      </c>
      <c r="N27" s="52">
        <f t="shared" si="19"/>
        <v>0</v>
      </c>
      <c r="O27" s="52">
        <f t="shared" si="19"/>
        <v>0</v>
      </c>
      <c r="P27" s="52">
        <f t="shared" si="19"/>
        <v>0</v>
      </c>
      <c r="Q27" s="52">
        <f t="shared" si="19"/>
        <v>0</v>
      </c>
      <c r="R27" s="52">
        <f t="shared" si="19"/>
        <v>0</v>
      </c>
      <c r="S27" s="52">
        <f t="shared" si="19"/>
        <v>0</v>
      </c>
      <c r="T27" s="52">
        <f t="shared" si="19"/>
        <v>0</v>
      </c>
      <c r="U27" s="52">
        <f t="shared" si="19"/>
        <v>0</v>
      </c>
      <c r="V27" s="52">
        <f t="shared" si="19"/>
        <v>0</v>
      </c>
      <c r="W27" s="52">
        <f t="shared" si="19"/>
        <v>0</v>
      </c>
      <c r="X27" s="52">
        <f t="shared" si="19"/>
        <v>0</v>
      </c>
      <c r="Y27" s="52">
        <f t="shared" si="19"/>
        <v>0</v>
      </c>
      <c r="Z27" s="52">
        <f t="shared" si="19"/>
        <v>0</v>
      </c>
      <c r="AA27" s="52">
        <f t="shared" si="19"/>
        <v>0</v>
      </c>
      <c r="AB27" s="52">
        <f t="shared" si="19"/>
        <v>0</v>
      </c>
      <c r="AC27" s="52">
        <f t="shared" si="19"/>
        <v>0</v>
      </c>
      <c r="AD27" s="52">
        <f t="shared" si="19"/>
        <v>0</v>
      </c>
      <c r="AE27" s="52">
        <f t="shared" si="19"/>
        <v>0</v>
      </c>
      <c r="AF27" s="52">
        <f t="shared" si="19"/>
        <v>0</v>
      </c>
      <c r="AG27" s="52">
        <f t="shared" si="19"/>
        <v>0</v>
      </c>
      <c r="AH27" s="52">
        <f t="shared" si="19"/>
        <v>0</v>
      </c>
      <c r="AI27" s="52">
        <f t="shared" si="19"/>
        <v>0</v>
      </c>
      <c r="AJ27" s="52">
        <f t="shared" si="19"/>
        <v>0</v>
      </c>
      <c r="AK27" s="52">
        <f t="shared" si="19"/>
        <v>0</v>
      </c>
      <c r="AL27" s="52">
        <f t="shared" si="19"/>
        <v>0</v>
      </c>
      <c r="AM27" s="52">
        <f t="shared" si="19"/>
        <v>0</v>
      </c>
      <c r="AN27" s="52">
        <f t="shared" si="19"/>
        <v>0</v>
      </c>
      <c r="AO27" s="52">
        <f t="shared" si="19"/>
        <v>0</v>
      </c>
      <c r="AP27" s="52">
        <f t="shared" si="19"/>
        <v>0</v>
      </c>
    </row>
    <row r="30" spans="1:42" hidden="1" x14ac:dyDescent="0.25">
      <c r="A30" s="2" t="s">
        <v>46</v>
      </c>
    </row>
    <row r="31" spans="1:42" hidden="1" x14ac:dyDescent="0.25">
      <c r="A31" s="45" t="s">
        <v>70</v>
      </c>
      <c r="F31" s="68"/>
    </row>
    <row r="32" spans="1:42" hidden="1" x14ac:dyDescent="0.25"/>
    <row r="33" spans="1:42" hidden="1" x14ac:dyDescent="0.25">
      <c r="B33" s="46">
        <f t="shared" ref="B33:AO33" si="20">B6</f>
        <v>43539</v>
      </c>
      <c r="C33" s="46">
        <f t="shared" si="20"/>
        <v>43570</v>
      </c>
      <c r="D33" s="46">
        <f t="shared" si="20"/>
        <v>43600</v>
      </c>
      <c r="E33" s="46">
        <f t="shared" si="20"/>
        <v>43631</v>
      </c>
      <c r="F33" s="46">
        <f t="shared" si="20"/>
        <v>43662</v>
      </c>
      <c r="G33" s="46">
        <f t="shared" si="20"/>
        <v>43693</v>
      </c>
      <c r="H33" s="46">
        <f t="shared" si="20"/>
        <v>43724</v>
      </c>
      <c r="I33" s="46">
        <f t="shared" si="20"/>
        <v>43754</v>
      </c>
      <c r="J33" s="46">
        <f t="shared" si="20"/>
        <v>43785</v>
      </c>
      <c r="K33" s="46">
        <f t="shared" si="20"/>
        <v>43815</v>
      </c>
      <c r="L33" s="46">
        <f t="shared" si="20"/>
        <v>43846</v>
      </c>
      <c r="M33" s="46">
        <f t="shared" si="20"/>
        <v>43877</v>
      </c>
      <c r="N33" s="46">
        <f t="shared" si="20"/>
        <v>43906</v>
      </c>
      <c r="O33" s="46">
        <f t="shared" si="20"/>
        <v>45123</v>
      </c>
      <c r="P33" s="46">
        <f t="shared" si="20"/>
        <v>45154</v>
      </c>
      <c r="Q33" s="46">
        <f t="shared" si="20"/>
        <v>45185</v>
      </c>
      <c r="R33" s="46">
        <f t="shared" si="20"/>
        <v>45215</v>
      </c>
      <c r="S33" s="46">
        <f t="shared" si="20"/>
        <v>45246</v>
      </c>
      <c r="T33" s="46">
        <f t="shared" si="20"/>
        <v>45276</v>
      </c>
      <c r="U33" s="46">
        <f t="shared" si="20"/>
        <v>45307</v>
      </c>
      <c r="V33" s="46">
        <f t="shared" si="20"/>
        <v>45338</v>
      </c>
      <c r="W33" s="46">
        <f t="shared" si="20"/>
        <v>45367</v>
      </c>
      <c r="X33" s="46">
        <f t="shared" si="20"/>
        <v>45398</v>
      </c>
      <c r="Y33" s="46">
        <f t="shared" si="20"/>
        <v>45428</v>
      </c>
      <c r="Z33" s="46">
        <f t="shared" si="20"/>
        <v>45459</v>
      </c>
      <c r="AA33" s="46">
        <f t="shared" si="20"/>
        <v>45489</v>
      </c>
      <c r="AB33" s="46">
        <f t="shared" si="20"/>
        <v>45520</v>
      </c>
      <c r="AC33" s="46">
        <f t="shared" si="20"/>
        <v>45551</v>
      </c>
      <c r="AD33" s="46">
        <f t="shared" si="20"/>
        <v>45581</v>
      </c>
      <c r="AE33" s="46">
        <f t="shared" si="20"/>
        <v>45612</v>
      </c>
      <c r="AF33" s="46">
        <f t="shared" si="20"/>
        <v>45642</v>
      </c>
      <c r="AG33" s="46">
        <f t="shared" si="20"/>
        <v>45673</v>
      </c>
      <c r="AH33" s="46">
        <f t="shared" si="20"/>
        <v>45704</v>
      </c>
      <c r="AI33" s="46">
        <f t="shared" si="20"/>
        <v>45732</v>
      </c>
      <c r="AJ33" s="46">
        <f t="shared" si="20"/>
        <v>45763</v>
      </c>
      <c r="AK33" s="46">
        <f t="shared" si="20"/>
        <v>45793</v>
      </c>
      <c r="AL33" s="46">
        <f t="shared" si="20"/>
        <v>45824</v>
      </c>
      <c r="AM33" s="46">
        <f t="shared" si="20"/>
        <v>45854</v>
      </c>
      <c r="AN33" s="46">
        <f t="shared" si="20"/>
        <v>45885</v>
      </c>
      <c r="AO33" s="46">
        <f t="shared" si="20"/>
        <v>45916</v>
      </c>
    </row>
    <row r="34" spans="1:42" hidden="1" x14ac:dyDescent="0.25">
      <c r="A34" s="47" t="s">
        <v>33</v>
      </c>
      <c r="B34" s="72">
        <v>217768</v>
      </c>
      <c r="C34" s="72">
        <v>216936</v>
      </c>
      <c r="D34" s="72">
        <v>217365</v>
      </c>
      <c r="E34" s="72">
        <v>216228</v>
      </c>
      <c r="F34" s="72">
        <v>217064</v>
      </c>
      <c r="G34" s="72">
        <v>216842</v>
      </c>
      <c r="H34" s="72">
        <v>217510</v>
      </c>
      <c r="I34" s="72">
        <v>218588</v>
      </c>
      <c r="J34" s="72">
        <v>218524</v>
      </c>
      <c r="K34" s="72">
        <v>219540</v>
      </c>
      <c r="L34" s="72">
        <v>218232</v>
      </c>
      <c r="M34" s="72">
        <v>218666</v>
      </c>
      <c r="N34" s="72">
        <v>218348</v>
      </c>
      <c r="O34" s="72">
        <v>218086</v>
      </c>
      <c r="P34" s="72">
        <v>218090</v>
      </c>
      <c r="Q34" s="72">
        <v>217185</v>
      </c>
      <c r="R34" s="71">
        <v>218045</v>
      </c>
      <c r="S34" s="93">
        <v>217588</v>
      </c>
      <c r="T34" s="93">
        <v>218667</v>
      </c>
      <c r="U34" s="93">
        <v>219268</v>
      </c>
      <c r="V34" s="93">
        <v>219678</v>
      </c>
      <c r="W34" s="93">
        <v>220333</v>
      </c>
      <c r="X34" s="93">
        <v>220232</v>
      </c>
      <c r="Y34" s="93">
        <v>220667</v>
      </c>
      <c r="Z34" s="93">
        <v>220173</v>
      </c>
      <c r="AA34" s="93">
        <v>220240</v>
      </c>
      <c r="AB34" s="93">
        <v>219854</v>
      </c>
      <c r="AC34" s="93">
        <v>219346</v>
      </c>
      <c r="AD34" s="93">
        <v>219883</v>
      </c>
      <c r="AE34" s="93">
        <v>219595</v>
      </c>
      <c r="AF34" s="93">
        <v>220645</v>
      </c>
      <c r="AG34" s="93">
        <v>221099</v>
      </c>
      <c r="AH34" s="93">
        <v>221756</v>
      </c>
      <c r="AI34" s="93">
        <v>222077</v>
      </c>
      <c r="AJ34" s="93">
        <v>222291</v>
      </c>
      <c r="AK34" s="93">
        <v>222450</v>
      </c>
      <c r="AL34" s="93">
        <v>222104</v>
      </c>
      <c r="AM34" s="93">
        <v>222134</v>
      </c>
      <c r="AN34" s="93">
        <v>221636</v>
      </c>
      <c r="AO34" s="93">
        <v>221322</v>
      </c>
      <c r="AP34" s="52">
        <f>SUM(F34:AO34)</f>
        <v>7907758</v>
      </c>
    </row>
    <row r="35" spans="1:42" hidden="1" x14ac:dyDescent="0.25">
      <c r="A35" s="47" t="s">
        <v>34</v>
      </c>
      <c r="B35" s="72">
        <v>22969.358042038632</v>
      </c>
      <c r="C35" s="72">
        <v>22928.471212208518</v>
      </c>
      <c r="D35" s="72">
        <v>22975.468813225893</v>
      </c>
      <c r="E35" s="72">
        <v>22962.469686550274</v>
      </c>
      <c r="F35" s="72">
        <v>22966.467449781314</v>
      </c>
      <c r="G35" s="72">
        <v>23005.461578505376</v>
      </c>
      <c r="H35" s="72">
        <v>23002.465371393297</v>
      </c>
      <c r="I35" s="72">
        <v>23083.46659102292</v>
      </c>
      <c r="J35" s="72">
        <v>23073.464782178358</v>
      </c>
      <c r="K35" s="72">
        <v>23167.466376088712</v>
      </c>
      <c r="L35" s="72">
        <v>23152.465007996772</v>
      </c>
      <c r="M35" s="72">
        <v>23234.446284277787</v>
      </c>
      <c r="N35" s="72">
        <v>23203.455932938989</v>
      </c>
      <c r="O35" s="72">
        <v>23204.464090514019</v>
      </c>
      <c r="P35" s="72">
        <v>23227.463497039476</v>
      </c>
      <c r="Q35" s="72">
        <v>23225.463054023941</v>
      </c>
      <c r="R35" s="71">
        <v>23228.462501313414</v>
      </c>
      <c r="S35" s="93">
        <v>23251.462088941087</v>
      </c>
      <c r="T35" s="93">
        <v>23272.462131477398</v>
      </c>
      <c r="U35" s="93">
        <v>23326.461861484408</v>
      </c>
      <c r="V35" s="93">
        <v>23346.461467356195</v>
      </c>
      <c r="W35" s="93">
        <v>23421.461191121016</v>
      </c>
      <c r="X35" s="93">
        <v>23417.460759040376</v>
      </c>
      <c r="Y35" s="93">
        <v>23496.460404960675</v>
      </c>
      <c r="Z35" s="93">
        <v>23457.461581684249</v>
      </c>
      <c r="AA35" s="93">
        <v>23476.462052413022</v>
      </c>
      <c r="AB35" s="93">
        <v>23476.461882571271</v>
      </c>
      <c r="AC35" s="93">
        <v>23498.461748032256</v>
      </c>
      <c r="AD35" s="93">
        <v>23483.461639199613</v>
      </c>
      <c r="AE35" s="93">
        <v>23515.461567356797</v>
      </c>
      <c r="AF35" s="93">
        <v>23535.461523891441</v>
      </c>
      <c r="AG35" s="93">
        <v>23580.461473259274</v>
      </c>
      <c r="AH35" s="93">
        <v>23614.461440907184</v>
      </c>
      <c r="AI35" s="93">
        <v>23670.461438703096</v>
      </c>
      <c r="AJ35" s="93">
        <v>23684.461459334936</v>
      </c>
      <c r="AK35" s="93">
        <v>23747.461517692816</v>
      </c>
      <c r="AL35" s="93">
        <v>23717.461610420498</v>
      </c>
      <c r="AM35" s="93">
        <v>23734.461612815183</v>
      </c>
      <c r="AN35" s="93">
        <v>23727.461576182031</v>
      </c>
      <c r="AO35" s="93">
        <v>23760.461550649594</v>
      </c>
      <c r="AP35" s="52">
        <f t="shared" ref="AP35:AP42" si="21">SUM(F35:AO35)</f>
        <v>841987.62809656886</v>
      </c>
    </row>
    <row r="36" spans="1:42" hidden="1" x14ac:dyDescent="0.25">
      <c r="A36" s="47" t="s">
        <v>35</v>
      </c>
      <c r="B36" s="72">
        <v>9678</v>
      </c>
      <c r="C36" s="72">
        <v>9685</v>
      </c>
      <c r="D36" s="72">
        <v>9697</v>
      </c>
      <c r="E36" s="72">
        <v>9712</v>
      </c>
      <c r="F36" s="72">
        <v>9726</v>
      </c>
      <c r="G36" s="72">
        <v>9757</v>
      </c>
      <c r="H36" s="72">
        <v>9773</v>
      </c>
      <c r="I36" s="72">
        <v>9807</v>
      </c>
      <c r="J36" s="72">
        <v>9816</v>
      </c>
      <c r="K36" s="72">
        <v>9850</v>
      </c>
      <c r="L36" s="72">
        <v>9860</v>
      </c>
      <c r="M36" s="72">
        <v>9877</v>
      </c>
      <c r="N36" s="72">
        <v>9883</v>
      </c>
      <c r="O36" s="72">
        <v>9892</v>
      </c>
      <c r="P36" s="72">
        <v>9902</v>
      </c>
      <c r="Q36" s="72">
        <v>9914</v>
      </c>
      <c r="R36" s="71">
        <v>9929</v>
      </c>
      <c r="S36" s="93">
        <v>9960</v>
      </c>
      <c r="T36" s="93">
        <v>9976</v>
      </c>
      <c r="U36" s="93">
        <v>10008</v>
      </c>
      <c r="V36" s="93">
        <v>10018</v>
      </c>
      <c r="W36" s="93">
        <v>10052</v>
      </c>
      <c r="X36" s="93">
        <v>10062</v>
      </c>
      <c r="Y36" s="93">
        <v>10079</v>
      </c>
      <c r="Z36" s="93">
        <v>10085</v>
      </c>
      <c r="AA36" s="93">
        <v>10094</v>
      </c>
      <c r="AB36" s="93">
        <v>10104</v>
      </c>
      <c r="AC36" s="93">
        <v>10116</v>
      </c>
      <c r="AD36" s="93">
        <v>10131</v>
      </c>
      <c r="AE36" s="93">
        <v>10161</v>
      </c>
      <c r="AF36" s="93">
        <v>10177</v>
      </c>
      <c r="AG36" s="93">
        <v>10209</v>
      </c>
      <c r="AH36" s="93">
        <v>10218</v>
      </c>
      <c r="AI36" s="93">
        <v>10251</v>
      </c>
      <c r="AJ36" s="93">
        <v>10261</v>
      </c>
      <c r="AK36" s="93">
        <v>10278</v>
      </c>
      <c r="AL36" s="93">
        <v>10283</v>
      </c>
      <c r="AM36" s="93">
        <v>10292</v>
      </c>
      <c r="AN36" s="93">
        <v>10301</v>
      </c>
      <c r="AO36" s="93">
        <v>10313</v>
      </c>
      <c r="AP36" s="52">
        <f t="shared" si="21"/>
        <v>361415</v>
      </c>
    </row>
    <row r="37" spans="1:42" hidden="1" x14ac:dyDescent="0.25">
      <c r="A37" s="47" t="s">
        <v>36</v>
      </c>
      <c r="B37" s="72">
        <v>1859.6319464693654</v>
      </c>
      <c r="C37" s="72">
        <v>1858.6846086751459</v>
      </c>
      <c r="D37" s="72">
        <v>1858.8736038425193</v>
      </c>
      <c r="E37" s="72">
        <v>1859.0615661997665</v>
      </c>
      <c r="F37" s="72">
        <v>1859.1636778120926</v>
      </c>
      <c r="G37" s="72">
        <v>1859.2823804834193</v>
      </c>
      <c r="H37" s="72">
        <v>1859.3433413929386</v>
      </c>
      <c r="I37" s="72">
        <v>1859.4125014784652</v>
      </c>
      <c r="J37" s="72">
        <v>1858.4560817074616</v>
      </c>
      <c r="K37" s="72">
        <v>1860.4346162699128</v>
      </c>
      <c r="L37" s="72">
        <v>1859.371683803138</v>
      </c>
      <c r="M37" s="72">
        <v>1859.2813555344703</v>
      </c>
      <c r="N37" s="72">
        <v>1859.2497803057247</v>
      </c>
      <c r="O37" s="72">
        <v>1859.2179331254213</v>
      </c>
      <c r="P37" s="72">
        <v>1859.262376829611</v>
      </c>
      <c r="Q37" s="72">
        <v>1859.294774578535</v>
      </c>
      <c r="R37" s="71">
        <v>1859.3142086100993</v>
      </c>
      <c r="S37" s="93">
        <v>1859.3267528432661</v>
      </c>
      <c r="T37" s="93">
        <v>1859.3304505399199</v>
      </c>
      <c r="U37" s="93">
        <v>1859.3293763021686</v>
      </c>
      <c r="V37" s="93">
        <v>1858.3224492041443</v>
      </c>
      <c r="W37" s="93">
        <v>1860.3113131622008</v>
      </c>
      <c r="X37" s="93">
        <v>1859.3010379032248</v>
      </c>
      <c r="Y37" s="93">
        <v>1859.2951507448988</v>
      </c>
      <c r="Z37" s="93">
        <v>1859.2963003457678</v>
      </c>
      <c r="AA37" s="93">
        <v>1859.3001770157716</v>
      </c>
      <c r="AB37" s="93">
        <v>1859.3070306733007</v>
      </c>
      <c r="AC37" s="93">
        <v>1859.3107518269412</v>
      </c>
      <c r="AD37" s="93">
        <v>1859.3120832643087</v>
      </c>
      <c r="AE37" s="93">
        <v>1859.3119061521597</v>
      </c>
      <c r="AF37" s="93">
        <v>1859.3106689279009</v>
      </c>
      <c r="AG37" s="93">
        <v>1859.3090204602324</v>
      </c>
      <c r="AH37" s="93">
        <v>1858.3073241400712</v>
      </c>
      <c r="AI37" s="93">
        <v>1860.3060637180645</v>
      </c>
      <c r="AJ37" s="93">
        <v>1859.3056262643868</v>
      </c>
      <c r="AK37" s="93">
        <v>1859.3060086278169</v>
      </c>
      <c r="AL37" s="93">
        <v>1859.3069134513937</v>
      </c>
      <c r="AM37" s="93">
        <v>1859.3077978768627</v>
      </c>
      <c r="AN37" s="93">
        <v>1859.3084329486201</v>
      </c>
      <c r="AO37" s="93">
        <v>1859.3085498048965</v>
      </c>
      <c r="AP37" s="52">
        <f t="shared" si="21"/>
        <v>66935.215898129623</v>
      </c>
    </row>
    <row r="38" spans="1:42" hidden="1" x14ac:dyDescent="0.25">
      <c r="A38" s="47" t="s">
        <v>37</v>
      </c>
      <c r="B38" s="72">
        <v>46.618000000000002</v>
      </c>
      <c r="C38" s="72">
        <v>46.5989</v>
      </c>
      <c r="D38" s="72">
        <v>46.579799999999999</v>
      </c>
      <c r="E38" s="72">
        <v>46.560699999999997</v>
      </c>
      <c r="F38" s="72">
        <v>46.541499999999999</v>
      </c>
      <c r="G38" s="72">
        <v>46.522399999999998</v>
      </c>
      <c r="H38" s="72">
        <v>46.503300000000003</v>
      </c>
      <c r="I38" s="72">
        <v>46.484200000000001</v>
      </c>
      <c r="J38" s="72">
        <v>46.4651</v>
      </c>
      <c r="K38" s="72">
        <v>46.445999999999998</v>
      </c>
      <c r="L38" s="72">
        <v>46.4268</v>
      </c>
      <c r="M38" s="72">
        <v>46.407699999999998</v>
      </c>
      <c r="N38" s="72">
        <v>46.388599999999997</v>
      </c>
      <c r="O38" s="72">
        <v>46.369500000000002</v>
      </c>
      <c r="P38" s="72">
        <v>46.3504</v>
      </c>
      <c r="Q38" s="72">
        <v>46.331200000000003</v>
      </c>
      <c r="R38" s="71">
        <v>46.312100000000001</v>
      </c>
      <c r="S38" s="93">
        <v>46.292999999999999</v>
      </c>
      <c r="T38" s="93">
        <v>46.273899999999998</v>
      </c>
      <c r="U38" s="93">
        <v>46.254800000000003</v>
      </c>
      <c r="V38" s="93">
        <v>46.235599999999998</v>
      </c>
      <c r="W38" s="93">
        <v>46.216500000000003</v>
      </c>
      <c r="X38" s="93">
        <v>46.197400000000002</v>
      </c>
      <c r="Y38" s="93">
        <v>46.1783</v>
      </c>
      <c r="Z38" s="93">
        <v>46.159199999999998</v>
      </c>
      <c r="AA38" s="93">
        <v>46.140099999999997</v>
      </c>
      <c r="AB38" s="93">
        <v>46.120899999999999</v>
      </c>
      <c r="AC38" s="93">
        <v>46.101799999999997</v>
      </c>
      <c r="AD38" s="93">
        <v>46.082700000000003</v>
      </c>
      <c r="AE38" s="93">
        <v>46.063600000000001</v>
      </c>
      <c r="AF38" s="93">
        <v>46.044499999999999</v>
      </c>
      <c r="AG38" s="93">
        <v>46.025300000000001</v>
      </c>
      <c r="AH38" s="93">
        <v>46.0062</v>
      </c>
      <c r="AI38" s="93">
        <v>45.987099999999998</v>
      </c>
      <c r="AJ38" s="93">
        <v>45.968000000000004</v>
      </c>
      <c r="AK38" s="93">
        <v>45.948900000000002</v>
      </c>
      <c r="AL38" s="93">
        <v>45.929699999999997</v>
      </c>
      <c r="AM38" s="93">
        <v>45.910600000000002</v>
      </c>
      <c r="AN38" s="93">
        <v>45.891500000000001</v>
      </c>
      <c r="AO38" s="93">
        <v>45.872399999999999</v>
      </c>
      <c r="AP38" s="52">
        <f t="shared" si="21"/>
        <v>1663.4507999999998</v>
      </c>
    </row>
    <row r="39" spans="1:42" hidden="1" x14ac:dyDescent="0.25">
      <c r="A39" s="48" t="s">
        <v>38</v>
      </c>
      <c r="B39" s="72">
        <v>22.993055555555557</v>
      </c>
      <c r="C39" s="72">
        <v>22.992476851851848</v>
      </c>
      <c r="D39" s="72">
        <v>22.991849922839506</v>
      </c>
      <c r="E39" s="72">
        <v>22.9911707497428</v>
      </c>
      <c r="F39" s="72">
        <v>22.990434978888032</v>
      </c>
      <c r="G39" s="72">
        <v>22.989637893795368</v>
      </c>
      <c r="H39" s="72">
        <v>22.988774384944982</v>
      </c>
      <c r="I39" s="72">
        <v>22.98783891702373</v>
      </c>
      <c r="J39" s="72">
        <v>22.986825493442375</v>
      </c>
      <c r="K39" s="72">
        <v>22.985727617895904</v>
      </c>
      <c r="L39" s="72">
        <v>22.984538252720562</v>
      </c>
      <c r="M39" s="72">
        <v>22.983249773780614</v>
      </c>
      <c r="N39" s="72">
        <v>22.988798366040108</v>
      </c>
      <c r="O39" s="72">
        <v>22.988443600247152</v>
      </c>
      <c r="P39" s="72">
        <v>22.988107495946764</v>
      </c>
      <c r="Q39" s="72">
        <v>22.987795627039034</v>
      </c>
      <c r="R39" s="71">
        <v>22.98751436681372</v>
      </c>
      <c r="S39" s="93">
        <v>22.987270982474193</v>
      </c>
      <c r="T39" s="93">
        <v>22.987073739864094</v>
      </c>
      <c r="U39" s="93">
        <v>22.986932019440687</v>
      </c>
      <c r="V39" s="93">
        <v>22.9868564446421</v>
      </c>
      <c r="W39" s="93">
        <v>22.986859023908742</v>
      </c>
      <c r="X39" s="93">
        <v>22.98695330774315</v>
      </c>
      <c r="Y39" s="93">
        <v>22.987154562328364</v>
      </c>
      <c r="Z39" s="93">
        <v>22.987479961374007</v>
      </c>
      <c r="AA39" s="93">
        <v>22.9873700943185</v>
      </c>
      <c r="AB39" s="93">
        <v>22.987280635491111</v>
      </c>
      <c r="AC39" s="93">
        <v>22.98721173045314</v>
      </c>
      <c r="AD39" s="93">
        <v>22.987163072404314</v>
      </c>
      <c r="AE39" s="93">
        <v>22.9871337978702</v>
      </c>
      <c r="AF39" s="93">
        <v>22.987122365819864</v>
      </c>
      <c r="AG39" s="93">
        <v>22.98712641798285</v>
      </c>
      <c r="AH39" s="93">
        <v>22.987142617861359</v>
      </c>
      <c r="AI39" s="93">
        <v>22.987166465629635</v>
      </c>
      <c r="AJ39" s="93">
        <v>22.987192085773039</v>
      </c>
      <c r="AK39" s="93">
        <v>22.987211983942203</v>
      </c>
      <c r="AL39" s="93">
        <v>22.987216769076689</v>
      </c>
      <c r="AM39" s="93">
        <v>22.987194836385243</v>
      </c>
      <c r="AN39" s="93">
        <v>22.987180231557474</v>
      </c>
      <c r="AO39" s="93">
        <v>22.987171864563003</v>
      </c>
      <c r="AP39" s="52">
        <f t="shared" si="21"/>
        <v>827.54215177948231</v>
      </c>
    </row>
    <row r="40" spans="1:42" hidden="1" x14ac:dyDescent="0.25">
      <c r="A40" s="47" t="s">
        <v>39</v>
      </c>
      <c r="B40" s="71">
        <v>1248.8870194422775</v>
      </c>
      <c r="C40" s="71">
        <v>1245.9801377291342</v>
      </c>
      <c r="D40" s="71">
        <v>1256.4279436510064</v>
      </c>
      <c r="E40" s="71">
        <v>1274.835484325627</v>
      </c>
      <c r="F40" s="71">
        <v>1260.6512377262195</v>
      </c>
      <c r="G40" s="71">
        <v>1263.0359216635384</v>
      </c>
      <c r="H40" s="71">
        <v>1261.4409519673113</v>
      </c>
      <c r="I40" s="71">
        <v>1270.4021309212721</v>
      </c>
      <c r="J40" s="71">
        <v>1271.050778923342</v>
      </c>
      <c r="K40" s="71">
        <v>1253.6527888776927</v>
      </c>
      <c r="L40" s="71">
        <v>1259.9299867485786</v>
      </c>
      <c r="M40" s="71">
        <v>1260.7407544807393</v>
      </c>
      <c r="N40" s="71">
        <v>1267.0468363713949</v>
      </c>
      <c r="O40" s="71">
        <v>1261.9348461154882</v>
      </c>
      <c r="P40" s="71">
        <v>1259.8528301476842</v>
      </c>
      <c r="Q40" s="71">
        <v>1277.5896290224073</v>
      </c>
      <c r="R40" s="71">
        <v>1276.332582747139</v>
      </c>
      <c r="S40" s="93">
        <v>1279.2347948322158</v>
      </c>
      <c r="T40" s="93">
        <v>1269.105542596272</v>
      </c>
      <c r="U40" s="93">
        <v>1271.3363168153523</v>
      </c>
      <c r="V40" s="93">
        <v>1281.015015639859</v>
      </c>
      <c r="W40" s="93">
        <v>1272.7463103662353</v>
      </c>
      <c r="X40" s="93">
        <v>1270.9602788236139</v>
      </c>
      <c r="Y40" s="93">
        <v>1263.8899531632001</v>
      </c>
      <c r="Z40" s="93">
        <v>1272.6318113867383</v>
      </c>
      <c r="AA40" s="93">
        <v>1278.203167638017</v>
      </c>
      <c r="AB40" s="93">
        <v>1275.1409610982278</v>
      </c>
      <c r="AC40" s="93">
        <v>1281.9101220107732</v>
      </c>
      <c r="AD40" s="93">
        <v>1280.6219714264703</v>
      </c>
      <c r="AE40" s="93">
        <v>1291.2633038164145</v>
      </c>
      <c r="AF40" s="93">
        <v>1286.4557795650978</v>
      </c>
      <c r="AG40" s="93">
        <v>1280.3631576458333</v>
      </c>
      <c r="AH40" s="93">
        <v>1283.3729443817069</v>
      </c>
      <c r="AI40" s="93">
        <v>1282.2404217768608</v>
      </c>
      <c r="AJ40" s="93">
        <v>1286.7145393944129</v>
      </c>
      <c r="AK40" s="93">
        <v>1276.9072527753128</v>
      </c>
      <c r="AL40" s="93">
        <v>1276.4725277429889</v>
      </c>
      <c r="AM40" s="93">
        <v>1283.8800457726763</v>
      </c>
      <c r="AN40" s="93">
        <v>1289.8905106172313</v>
      </c>
      <c r="AO40" s="93">
        <v>1296.3137564104816</v>
      </c>
      <c r="AP40" s="52">
        <f t="shared" si="21"/>
        <v>45874.331761408816</v>
      </c>
    </row>
    <row r="41" spans="1:42" hidden="1" x14ac:dyDescent="0.25">
      <c r="A41" s="47" t="s">
        <v>40</v>
      </c>
      <c r="B41" s="71">
        <v>1215.0198</v>
      </c>
      <c r="C41" s="71">
        <v>1208.0163</v>
      </c>
      <c r="D41" s="71">
        <v>1214.0134</v>
      </c>
      <c r="E41" s="71">
        <v>1216.0110999999999</v>
      </c>
      <c r="F41" s="71">
        <v>1201.0092</v>
      </c>
      <c r="G41" s="71">
        <v>1217.0077000000001</v>
      </c>
      <c r="H41" s="71">
        <v>1225.0065</v>
      </c>
      <c r="I41" s="71">
        <v>1212.0055</v>
      </c>
      <c r="J41" s="71">
        <v>1222.0047</v>
      </c>
      <c r="K41" s="71">
        <v>1215.0041000000001</v>
      </c>
      <c r="L41" s="71">
        <v>1211.0036</v>
      </c>
      <c r="M41" s="71">
        <v>1218.0030999999999</v>
      </c>
      <c r="N41" s="71">
        <v>1207.0028</v>
      </c>
      <c r="O41" s="71">
        <v>1211.0025000000001</v>
      </c>
      <c r="P41" s="71">
        <v>1212.0023000000001</v>
      </c>
      <c r="Q41" s="71">
        <v>1207.0021999999999</v>
      </c>
      <c r="R41" s="71">
        <v>1223.002</v>
      </c>
      <c r="S41" s="93">
        <v>1216.0019</v>
      </c>
      <c r="T41" s="93">
        <v>1215.0018</v>
      </c>
      <c r="U41" s="93">
        <v>1226.0017</v>
      </c>
      <c r="V41" s="93">
        <v>1213.0017</v>
      </c>
      <c r="W41" s="93">
        <v>1214.0016000000001</v>
      </c>
      <c r="X41" s="93">
        <v>1218.0016000000001</v>
      </c>
      <c r="Y41" s="93">
        <v>1208.0016000000001</v>
      </c>
      <c r="Z41" s="93">
        <v>1214.0015000000001</v>
      </c>
      <c r="AA41" s="93">
        <v>1211.0015000000001</v>
      </c>
      <c r="AB41" s="93">
        <v>1211.0015000000001</v>
      </c>
      <c r="AC41" s="93">
        <v>1220.0015000000001</v>
      </c>
      <c r="AD41" s="93">
        <v>1212.0015000000001</v>
      </c>
      <c r="AE41" s="93">
        <v>1215.0015000000001</v>
      </c>
      <c r="AF41" s="93">
        <v>1227.0015000000001</v>
      </c>
      <c r="AG41" s="93">
        <v>1215.0015000000001</v>
      </c>
      <c r="AH41" s="93">
        <v>1217.0015000000001</v>
      </c>
      <c r="AI41" s="93">
        <v>1217.0015000000001</v>
      </c>
      <c r="AJ41" s="93">
        <v>1211.0014000000001</v>
      </c>
      <c r="AK41" s="93">
        <v>1218.0014000000001</v>
      </c>
      <c r="AL41" s="93">
        <v>1211.0014000000001</v>
      </c>
      <c r="AM41" s="93">
        <v>1211.0014000000001</v>
      </c>
      <c r="AN41" s="93">
        <v>1218.0014000000001</v>
      </c>
      <c r="AO41" s="93">
        <v>1210.0014000000001</v>
      </c>
      <c r="AP41" s="52">
        <f t="shared" si="21"/>
        <v>43729.091499999995</v>
      </c>
    </row>
    <row r="42" spans="1:42" hidden="1" x14ac:dyDescent="0.25">
      <c r="A42" s="49" t="s">
        <v>41</v>
      </c>
      <c r="B42" s="71">
        <v>433.19310000000002</v>
      </c>
      <c r="C42" s="71">
        <v>434.83139999999997</v>
      </c>
      <c r="D42" s="71">
        <v>435.1918</v>
      </c>
      <c r="E42" s="71">
        <v>435.30489999999998</v>
      </c>
      <c r="F42" s="71">
        <v>434.69720000000001</v>
      </c>
      <c r="G42" s="71">
        <v>435.41129999999998</v>
      </c>
      <c r="H42" s="71">
        <v>436.93970000000002</v>
      </c>
      <c r="I42" s="71">
        <v>435.97230000000002</v>
      </c>
      <c r="J42" s="71">
        <v>435.4674</v>
      </c>
      <c r="K42" s="71">
        <v>436.74290000000002</v>
      </c>
      <c r="L42" s="71">
        <v>437.09710000000001</v>
      </c>
      <c r="M42" s="71">
        <v>436.96460000000002</v>
      </c>
      <c r="N42" s="71">
        <v>436.69200000000001</v>
      </c>
      <c r="O42" s="71">
        <v>436.85879999999997</v>
      </c>
      <c r="P42" s="71">
        <v>438.00020000000001</v>
      </c>
      <c r="Q42" s="71">
        <v>437.75119999999998</v>
      </c>
      <c r="R42" s="71">
        <v>436.95929999999998</v>
      </c>
      <c r="S42" s="93">
        <v>437.7432</v>
      </c>
      <c r="T42" s="93">
        <v>438.26830000000001</v>
      </c>
      <c r="U42" s="93">
        <v>438.01940000000002</v>
      </c>
      <c r="V42" s="93">
        <v>437.8492</v>
      </c>
      <c r="W42" s="93">
        <v>437.85919999999999</v>
      </c>
      <c r="X42" s="93">
        <v>438.53469999999999</v>
      </c>
      <c r="Y42" s="93">
        <v>438.67809999999997</v>
      </c>
      <c r="Z42" s="93">
        <v>437.97640000000001</v>
      </c>
      <c r="AA42" s="93">
        <v>438.27800000000002</v>
      </c>
      <c r="AB42" s="93">
        <v>438.88470000000001</v>
      </c>
      <c r="AC42" s="93">
        <v>438.69729999999998</v>
      </c>
      <c r="AD42" s="93">
        <v>438.49900000000002</v>
      </c>
      <c r="AE42" s="93">
        <v>438.50990000000002</v>
      </c>
      <c r="AF42" s="93">
        <v>438.86349999999999</v>
      </c>
      <c r="AG42" s="93">
        <v>439.1207</v>
      </c>
      <c r="AH42" s="93">
        <v>438.6583</v>
      </c>
      <c r="AI42" s="93">
        <v>438.62740000000002</v>
      </c>
      <c r="AJ42" s="93">
        <v>439.16079999999999</v>
      </c>
      <c r="AK42" s="93">
        <v>439.12299999999999</v>
      </c>
      <c r="AL42" s="93">
        <v>438.88060000000002</v>
      </c>
      <c r="AM42" s="93">
        <v>438.89510000000001</v>
      </c>
      <c r="AN42" s="93">
        <v>439.09089999999998</v>
      </c>
      <c r="AO42" s="93">
        <v>439.31470000000002</v>
      </c>
      <c r="AP42" s="52">
        <f t="shared" si="21"/>
        <v>15763.086399999997</v>
      </c>
    </row>
    <row r="43" spans="1:42" hidden="1" x14ac:dyDescent="0.25">
      <c r="A43" s="50" t="s">
        <v>0</v>
      </c>
      <c r="B43" s="53">
        <f>SUM(B34:B42)</f>
        <v>255241.70096350583</v>
      </c>
      <c r="C43" s="53">
        <f t="shared" ref="C43:P43" si="22">SUM(C34:C42)</f>
        <v>254366.57503546463</v>
      </c>
      <c r="D43" s="53">
        <f t="shared" si="22"/>
        <v>254871.54721064225</v>
      </c>
      <c r="E43" s="53">
        <f t="shared" si="22"/>
        <v>253757.23460782538</v>
      </c>
      <c r="F43" s="53">
        <f t="shared" si="22"/>
        <v>254581.52070029848</v>
      </c>
      <c r="G43" s="53">
        <f t="shared" si="22"/>
        <v>254448.71091854613</v>
      </c>
      <c r="H43" s="53">
        <f t="shared" si="22"/>
        <v>255137.6879391385</v>
      </c>
      <c r="I43" s="53">
        <f t="shared" si="22"/>
        <v>256325.73106233968</v>
      </c>
      <c r="J43" s="53">
        <f t="shared" si="22"/>
        <v>256269.8956683026</v>
      </c>
      <c r="K43" s="53">
        <f t="shared" si="22"/>
        <v>257392.73250885421</v>
      </c>
      <c r="L43" s="53">
        <f t="shared" si="22"/>
        <v>256081.2787168012</v>
      </c>
      <c r="M43" s="53">
        <f t="shared" si="22"/>
        <v>256621.82704406677</v>
      </c>
      <c r="N43" s="53">
        <f t="shared" si="22"/>
        <v>256273.82474798214</v>
      </c>
      <c r="O43" s="53">
        <f t="shared" si="22"/>
        <v>256020.83611335518</v>
      </c>
      <c r="P43" s="53">
        <f t="shared" si="22"/>
        <v>256057.91971151272</v>
      </c>
      <c r="Q43" s="53">
        <f>SUM(Q34:Q42)</f>
        <v>255175.41985325189</v>
      </c>
      <c r="R43" s="53">
        <f t="shared" ref="R43:AO43" si="23">SUM(R34:R42)</f>
        <v>256067.37020703746</v>
      </c>
      <c r="S43" s="53">
        <f t="shared" si="23"/>
        <v>255661.04900759904</v>
      </c>
      <c r="T43" s="53">
        <f t="shared" si="23"/>
        <v>256766.42919835346</v>
      </c>
      <c r="U43" s="53">
        <f t="shared" si="23"/>
        <v>257466.39038662132</v>
      </c>
      <c r="V43" s="53">
        <f t="shared" si="23"/>
        <v>257901.87228864484</v>
      </c>
      <c r="W43" s="53">
        <f t="shared" si="23"/>
        <v>258660.58297367339</v>
      </c>
      <c r="X43" s="53">
        <f t="shared" si="23"/>
        <v>258567.44272907494</v>
      </c>
      <c r="Y43" s="53">
        <f t="shared" si="23"/>
        <v>259081.49066343106</v>
      </c>
      <c r="Z43" s="53">
        <f t="shared" si="23"/>
        <v>258568.51427337812</v>
      </c>
      <c r="AA43" s="53">
        <f t="shared" si="23"/>
        <v>258666.37236716112</v>
      </c>
      <c r="AB43" s="53">
        <f t="shared" si="23"/>
        <v>258287.90425497832</v>
      </c>
      <c r="AC43" s="53">
        <f t="shared" si="23"/>
        <v>257829.47043360042</v>
      </c>
      <c r="AD43" s="53">
        <f t="shared" si="23"/>
        <v>258356.96605696282</v>
      </c>
      <c r="AE43" s="53">
        <f t="shared" si="23"/>
        <v>258144.59891112326</v>
      </c>
      <c r="AF43" s="53">
        <f t="shared" si="23"/>
        <v>259238.12459475026</v>
      </c>
      <c r="AG43" s="53">
        <f t="shared" si="23"/>
        <v>259751.26827778333</v>
      </c>
      <c r="AH43" s="53">
        <f t="shared" si="23"/>
        <v>260454.79485204685</v>
      </c>
      <c r="AI43" s="53">
        <f t="shared" si="23"/>
        <v>260865.61109066367</v>
      </c>
      <c r="AJ43" s="53">
        <f t="shared" si="23"/>
        <v>261101.59901707954</v>
      </c>
      <c r="AK43" s="53">
        <f t="shared" si="23"/>
        <v>261337.73529107985</v>
      </c>
      <c r="AL43" s="53">
        <f t="shared" si="23"/>
        <v>260959.03996838399</v>
      </c>
      <c r="AM43" s="53">
        <f t="shared" si="23"/>
        <v>261022.44375130109</v>
      </c>
      <c r="AN43" s="53">
        <f t="shared" si="23"/>
        <v>260539.63149997947</v>
      </c>
      <c r="AO43" s="53">
        <f t="shared" si="23"/>
        <v>260269.25952872954</v>
      </c>
      <c r="AP43" s="52">
        <f>SUM(AP34:AP42)</f>
        <v>9285953.3466078863</v>
      </c>
    </row>
    <row r="44" spans="1:42" hidden="1" x14ac:dyDescent="0.25">
      <c r="A44" s="51"/>
      <c r="R44" s="52"/>
    </row>
    <row r="45" spans="1:42" hidden="1" x14ac:dyDescent="0.25">
      <c r="A45" s="50" t="s">
        <v>33</v>
      </c>
      <c r="B45" s="52">
        <f>B34</f>
        <v>217768</v>
      </c>
      <c r="C45" s="52">
        <f>C34</f>
        <v>216936</v>
      </c>
      <c r="D45" s="52">
        <f>D34</f>
        <v>217365</v>
      </c>
      <c r="E45" s="52">
        <f>E34</f>
        <v>216228</v>
      </c>
      <c r="F45" s="52">
        <f t="shared" ref="F45:Q45" si="24">F34</f>
        <v>217064</v>
      </c>
      <c r="G45" s="52">
        <f t="shared" si="24"/>
        <v>216842</v>
      </c>
      <c r="H45" s="52">
        <f t="shared" si="24"/>
        <v>217510</v>
      </c>
      <c r="I45" s="52">
        <f t="shared" si="24"/>
        <v>218588</v>
      </c>
      <c r="J45" s="52">
        <f t="shared" si="24"/>
        <v>218524</v>
      </c>
      <c r="K45" s="52">
        <f t="shared" si="24"/>
        <v>219540</v>
      </c>
      <c r="L45" s="52">
        <f t="shared" si="24"/>
        <v>218232</v>
      </c>
      <c r="M45" s="52">
        <f t="shared" si="24"/>
        <v>218666</v>
      </c>
      <c r="N45" s="52">
        <f t="shared" si="24"/>
        <v>218348</v>
      </c>
      <c r="O45" s="52">
        <f t="shared" si="24"/>
        <v>218086</v>
      </c>
      <c r="P45" s="52">
        <f t="shared" si="24"/>
        <v>218090</v>
      </c>
      <c r="Q45" s="52">
        <f t="shared" si="24"/>
        <v>217185</v>
      </c>
      <c r="R45" s="52">
        <f t="shared" ref="R45:AO45" si="25">R34</f>
        <v>218045</v>
      </c>
      <c r="S45" s="52">
        <f t="shared" si="25"/>
        <v>217588</v>
      </c>
      <c r="T45" s="52">
        <f t="shared" si="25"/>
        <v>218667</v>
      </c>
      <c r="U45" s="52">
        <f t="shared" si="25"/>
        <v>219268</v>
      </c>
      <c r="V45" s="52">
        <f t="shared" si="25"/>
        <v>219678</v>
      </c>
      <c r="W45" s="52">
        <f t="shared" si="25"/>
        <v>220333</v>
      </c>
      <c r="X45" s="52">
        <f t="shared" si="25"/>
        <v>220232</v>
      </c>
      <c r="Y45" s="52">
        <f t="shared" si="25"/>
        <v>220667</v>
      </c>
      <c r="Z45" s="52">
        <f t="shared" si="25"/>
        <v>220173</v>
      </c>
      <c r="AA45" s="52">
        <f t="shared" si="25"/>
        <v>220240</v>
      </c>
      <c r="AB45" s="52">
        <f t="shared" si="25"/>
        <v>219854</v>
      </c>
      <c r="AC45" s="52">
        <f t="shared" si="25"/>
        <v>219346</v>
      </c>
      <c r="AD45" s="52">
        <f t="shared" si="25"/>
        <v>219883</v>
      </c>
      <c r="AE45" s="52">
        <f t="shared" si="25"/>
        <v>219595</v>
      </c>
      <c r="AF45" s="52">
        <f t="shared" si="25"/>
        <v>220645</v>
      </c>
      <c r="AG45" s="52">
        <f t="shared" si="25"/>
        <v>221099</v>
      </c>
      <c r="AH45" s="52">
        <f t="shared" si="25"/>
        <v>221756</v>
      </c>
      <c r="AI45" s="52">
        <f t="shared" si="25"/>
        <v>222077</v>
      </c>
      <c r="AJ45" s="52">
        <f t="shared" si="25"/>
        <v>222291</v>
      </c>
      <c r="AK45" s="52">
        <f t="shared" si="25"/>
        <v>222450</v>
      </c>
      <c r="AL45" s="52">
        <f t="shared" si="25"/>
        <v>222104</v>
      </c>
      <c r="AM45" s="52">
        <f t="shared" si="25"/>
        <v>222134</v>
      </c>
      <c r="AN45" s="52">
        <f t="shared" si="25"/>
        <v>221636</v>
      </c>
      <c r="AO45" s="52">
        <f t="shared" si="25"/>
        <v>221322</v>
      </c>
      <c r="AP45" s="52">
        <f>AP34</f>
        <v>7907758</v>
      </c>
    </row>
    <row r="46" spans="1:42" hidden="1" x14ac:dyDescent="0.25">
      <c r="A46" s="50" t="s">
        <v>42</v>
      </c>
      <c r="B46" s="52">
        <f>B35+B36</f>
        <v>32647.358042038632</v>
      </c>
      <c r="C46" s="52">
        <f>C35+C36</f>
        <v>32613.471212208518</v>
      </c>
      <c r="D46" s="52">
        <f>D35+D36</f>
        <v>32672.468813225893</v>
      </c>
      <c r="E46" s="52">
        <f>E35+E36</f>
        <v>32674.469686550274</v>
      </c>
      <c r="F46" s="52">
        <f t="shared" ref="F46:Q46" si="26">F35+F36</f>
        <v>32692.467449781314</v>
      </c>
      <c r="G46" s="52">
        <f t="shared" si="26"/>
        <v>32762.461578505376</v>
      </c>
      <c r="H46" s="52">
        <f t="shared" si="26"/>
        <v>32775.465371393293</v>
      </c>
      <c r="I46" s="52">
        <f t="shared" si="26"/>
        <v>32890.466591022923</v>
      </c>
      <c r="J46" s="52">
        <f t="shared" si="26"/>
        <v>32889.464782178358</v>
      </c>
      <c r="K46" s="52">
        <f t="shared" si="26"/>
        <v>33017.466376088712</v>
      </c>
      <c r="L46" s="52">
        <f t="shared" si="26"/>
        <v>33012.465007996769</v>
      </c>
      <c r="M46" s="52">
        <f t="shared" si="26"/>
        <v>33111.446284277787</v>
      </c>
      <c r="N46" s="52">
        <f t="shared" si="26"/>
        <v>33086.455932938989</v>
      </c>
      <c r="O46" s="52">
        <f t="shared" si="26"/>
        <v>33096.464090514019</v>
      </c>
      <c r="P46" s="52">
        <f t="shared" si="26"/>
        <v>33129.463497039476</v>
      </c>
      <c r="Q46" s="52">
        <f t="shared" si="26"/>
        <v>33139.463054023945</v>
      </c>
      <c r="R46" s="52">
        <f t="shared" ref="R46:AO46" si="27">R35+R36</f>
        <v>33157.462501313414</v>
      </c>
      <c r="S46" s="52">
        <f t="shared" si="27"/>
        <v>33211.462088941087</v>
      </c>
      <c r="T46" s="52">
        <f t="shared" si="27"/>
        <v>33248.462131477398</v>
      </c>
      <c r="U46" s="52">
        <f t="shared" si="27"/>
        <v>33334.461861484408</v>
      </c>
      <c r="V46" s="52">
        <f t="shared" si="27"/>
        <v>33364.461467356195</v>
      </c>
      <c r="W46" s="52">
        <f t="shared" si="27"/>
        <v>33473.461191121016</v>
      </c>
      <c r="X46" s="52">
        <f t="shared" si="27"/>
        <v>33479.460759040376</v>
      </c>
      <c r="Y46" s="52">
        <f t="shared" si="27"/>
        <v>33575.460404960671</v>
      </c>
      <c r="Z46" s="52">
        <f t="shared" si="27"/>
        <v>33542.461581684249</v>
      </c>
      <c r="AA46" s="52">
        <f t="shared" si="27"/>
        <v>33570.462052413022</v>
      </c>
      <c r="AB46" s="52">
        <f t="shared" si="27"/>
        <v>33580.461882571268</v>
      </c>
      <c r="AC46" s="52">
        <f t="shared" si="27"/>
        <v>33614.461748032256</v>
      </c>
      <c r="AD46" s="52">
        <f t="shared" si="27"/>
        <v>33614.46163919961</v>
      </c>
      <c r="AE46" s="52">
        <f t="shared" si="27"/>
        <v>33676.461567356797</v>
      </c>
      <c r="AF46" s="52">
        <f t="shared" si="27"/>
        <v>33712.461523891441</v>
      </c>
      <c r="AG46" s="52">
        <f t="shared" si="27"/>
        <v>33789.461473259274</v>
      </c>
      <c r="AH46" s="52">
        <f t="shared" si="27"/>
        <v>33832.46144090718</v>
      </c>
      <c r="AI46" s="52">
        <f t="shared" si="27"/>
        <v>33921.461438703096</v>
      </c>
      <c r="AJ46" s="52">
        <f t="shared" si="27"/>
        <v>33945.46145933494</v>
      </c>
      <c r="AK46" s="52">
        <f t="shared" si="27"/>
        <v>34025.46151769282</v>
      </c>
      <c r="AL46" s="52">
        <f t="shared" si="27"/>
        <v>34000.461610420498</v>
      </c>
      <c r="AM46" s="52">
        <f t="shared" si="27"/>
        <v>34026.461612815183</v>
      </c>
      <c r="AN46" s="52">
        <f t="shared" si="27"/>
        <v>34028.461576182031</v>
      </c>
      <c r="AO46" s="52">
        <f t="shared" si="27"/>
        <v>34073.46155064959</v>
      </c>
      <c r="AP46" s="52">
        <f t="shared" ref="AP46" si="28">AP35+AP36</f>
        <v>1203402.6280965689</v>
      </c>
    </row>
    <row r="47" spans="1:42" hidden="1" x14ac:dyDescent="0.25">
      <c r="A47" s="50" t="s">
        <v>43</v>
      </c>
      <c r="B47" s="52">
        <f>B37+B38</f>
        <v>1906.2499464693653</v>
      </c>
      <c r="C47" s="52">
        <f>C37+C38</f>
        <v>1905.2835086751459</v>
      </c>
      <c r="D47" s="52">
        <f>D37+D38</f>
        <v>1905.4534038425193</v>
      </c>
      <c r="E47" s="52">
        <f>E37+E38</f>
        <v>1905.6222661997665</v>
      </c>
      <c r="F47" s="52">
        <f t="shared" ref="F47:Q47" si="29">F37+F38</f>
        <v>1905.7051778120926</v>
      </c>
      <c r="G47" s="52">
        <f t="shared" si="29"/>
        <v>1905.8047804834193</v>
      </c>
      <c r="H47" s="52">
        <f t="shared" si="29"/>
        <v>1905.8466413929386</v>
      </c>
      <c r="I47" s="52">
        <f t="shared" si="29"/>
        <v>1905.8967014784653</v>
      </c>
      <c r="J47" s="52">
        <f t="shared" si="29"/>
        <v>1904.9211817074615</v>
      </c>
      <c r="K47" s="52">
        <f t="shared" si="29"/>
        <v>1906.8806162699127</v>
      </c>
      <c r="L47" s="52">
        <f t="shared" si="29"/>
        <v>1905.798483803138</v>
      </c>
      <c r="M47" s="52">
        <f t="shared" si="29"/>
        <v>1905.6890555344703</v>
      </c>
      <c r="N47" s="52">
        <f t="shared" si="29"/>
        <v>1905.6383803057247</v>
      </c>
      <c r="O47" s="52">
        <f t="shared" si="29"/>
        <v>1905.5874331254213</v>
      </c>
      <c r="P47" s="52">
        <f t="shared" si="29"/>
        <v>1905.612776829611</v>
      </c>
      <c r="Q47" s="52">
        <f t="shared" si="29"/>
        <v>1905.6259745785351</v>
      </c>
      <c r="R47" s="52">
        <f t="shared" ref="R47:AO47" si="30">R37+R38</f>
        <v>1905.6263086100994</v>
      </c>
      <c r="S47" s="52">
        <f t="shared" si="30"/>
        <v>1905.619752843266</v>
      </c>
      <c r="T47" s="52">
        <f t="shared" si="30"/>
        <v>1905.6043505399198</v>
      </c>
      <c r="U47" s="52">
        <f t="shared" si="30"/>
        <v>1905.5841763021685</v>
      </c>
      <c r="V47" s="52">
        <f t="shared" si="30"/>
        <v>1904.5580492041443</v>
      </c>
      <c r="W47" s="52">
        <f t="shared" si="30"/>
        <v>1906.5278131622008</v>
      </c>
      <c r="X47" s="52">
        <f t="shared" si="30"/>
        <v>1905.4984379032248</v>
      </c>
      <c r="Y47" s="52">
        <f t="shared" si="30"/>
        <v>1905.4734507448989</v>
      </c>
      <c r="Z47" s="52">
        <f t="shared" si="30"/>
        <v>1905.4555003457679</v>
      </c>
      <c r="AA47" s="52">
        <f t="shared" si="30"/>
        <v>1905.4402770157717</v>
      </c>
      <c r="AB47" s="52">
        <f t="shared" si="30"/>
        <v>1905.4279306733006</v>
      </c>
      <c r="AC47" s="52">
        <f t="shared" si="30"/>
        <v>1905.4125518269411</v>
      </c>
      <c r="AD47" s="52">
        <f t="shared" si="30"/>
        <v>1905.3947832643087</v>
      </c>
      <c r="AE47" s="52">
        <f t="shared" si="30"/>
        <v>1905.3755061521597</v>
      </c>
      <c r="AF47" s="52">
        <f t="shared" si="30"/>
        <v>1905.3551689279009</v>
      </c>
      <c r="AG47" s="52">
        <f t="shared" si="30"/>
        <v>1905.3343204602324</v>
      </c>
      <c r="AH47" s="52">
        <f t="shared" si="30"/>
        <v>1904.3135241400712</v>
      </c>
      <c r="AI47" s="52">
        <f t="shared" si="30"/>
        <v>1906.2931637180645</v>
      </c>
      <c r="AJ47" s="52">
        <f t="shared" si="30"/>
        <v>1905.2736262643868</v>
      </c>
      <c r="AK47" s="52">
        <f t="shared" si="30"/>
        <v>1905.254908627817</v>
      </c>
      <c r="AL47" s="52">
        <f t="shared" si="30"/>
        <v>1905.2366134513936</v>
      </c>
      <c r="AM47" s="52">
        <f t="shared" si="30"/>
        <v>1905.2183978768626</v>
      </c>
      <c r="AN47" s="52">
        <f t="shared" si="30"/>
        <v>1905.19993294862</v>
      </c>
      <c r="AO47" s="52">
        <f t="shared" si="30"/>
        <v>1905.1809498048965</v>
      </c>
      <c r="AP47" s="52">
        <f t="shared" ref="AP47" si="31">AP37+AP38</f>
        <v>68598.666698129629</v>
      </c>
    </row>
    <row r="48" spans="1:42" hidden="1" x14ac:dyDescent="0.25">
      <c r="A48" s="50" t="s">
        <v>38</v>
      </c>
      <c r="B48" s="52">
        <f>B39</f>
        <v>22.993055555555557</v>
      </c>
      <c r="C48" s="52">
        <f>C39</f>
        <v>22.992476851851848</v>
      </c>
      <c r="D48" s="52">
        <f>D39</f>
        <v>22.991849922839506</v>
      </c>
      <c r="E48" s="52">
        <f>E39</f>
        <v>22.9911707497428</v>
      </c>
      <c r="F48" s="52">
        <f t="shared" ref="F48:Q48" si="32">F39</f>
        <v>22.990434978888032</v>
      </c>
      <c r="G48" s="52">
        <f t="shared" si="32"/>
        <v>22.989637893795368</v>
      </c>
      <c r="H48" s="52">
        <f t="shared" si="32"/>
        <v>22.988774384944982</v>
      </c>
      <c r="I48" s="52">
        <f t="shared" si="32"/>
        <v>22.98783891702373</v>
      </c>
      <c r="J48" s="52">
        <f t="shared" si="32"/>
        <v>22.986825493442375</v>
      </c>
      <c r="K48" s="52">
        <f t="shared" si="32"/>
        <v>22.985727617895904</v>
      </c>
      <c r="L48" s="52">
        <f t="shared" si="32"/>
        <v>22.984538252720562</v>
      </c>
      <c r="M48" s="52">
        <f t="shared" si="32"/>
        <v>22.983249773780614</v>
      </c>
      <c r="N48" s="52">
        <f t="shared" si="32"/>
        <v>22.988798366040108</v>
      </c>
      <c r="O48" s="52">
        <f t="shared" si="32"/>
        <v>22.988443600247152</v>
      </c>
      <c r="P48" s="52">
        <f t="shared" si="32"/>
        <v>22.988107495946764</v>
      </c>
      <c r="Q48" s="52">
        <f t="shared" si="32"/>
        <v>22.987795627039034</v>
      </c>
      <c r="R48" s="52">
        <f t="shared" ref="R48:AO48" si="33">R39</f>
        <v>22.98751436681372</v>
      </c>
      <c r="S48" s="52">
        <f t="shared" si="33"/>
        <v>22.987270982474193</v>
      </c>
      <c r="T48" s="52">
        <f t="shared" si="33"/>
        <v>22.987073739864094</v>
      </c>
      <c r="U48" s="52">
        <f t="shared" si="33"/>
        <v>22.986932019440687</v>
      </c>
      <c r="V48" s="52">
        <f t="shared" si="33"/>
        <v>22.9868564446421</v>
      </c>
      <c r="W48" s="52">
        <f t="shared" si="33"/>
        <v>22.986859023908742</v>
      </c>
      <c r="X48" s="52">
        <f t="shared" si="33"/>
        <v>22.98695330774315</v>
      </c>
      <c r="Y48" s="52">
        <f t="shared" si="33"/>
        <v>22.987154562328364</v>
      </c>
      <c r="Z48" s="52">
        <f t="shared" si="33"/>
        <v>22.987479961374007</v>
      </c>
      <c r="AA48" s="52">
        <f t="shared" si="33"/>
        <v>22.9873700943185</v>
      </c>
      <c r="AB48" s="52">
        <f t="shared" si="33"/>
        <v>22.987280635491111</v>
      </c>
      <c r="AC48" s="52">
        <f t="shared" si="33"/>
        <v>22.98721173045314</v>
      </c>
      <c r="AD48" s="52">
        <f t="shared" si="33"/>
        <v>22.987163072404314</v>
      </c>
      <c r="AE48" s="52">
        <f t="shared" si="33"/>
        <v>22.9871337978702</v>
      </c>
      <c r="AF48" s="52">
        <f t="shared" si="33"/>
        <v>22.987122365819864</v>
      </c>
      <c r="AG48" s="52">
        <f t="shared" si="33"/>
        <v>22.98712641798285</v>
      </c>
      <c r="AH48" s="52">
        <f t="shared" si="33"/>
        <v>22.987142617861359</v>
      </c>
      <c r="AI48" s="52">
        <f t="shared" si="33"/>
        <v>22.987166465629635</v>
      </c>
      <c r="AJ48" s="52">
        <f t="shared" si="33"/>
        <v>22.987192085773039</v>
      </c>
      <c r="AK48" s="52">
        <f t="shared" si="33"/>
        <v>22.987211983942203</v>
      </c>
      <c r="AL48" s="52">
        <f t="shared" si="33"/>
        <v>22.987216769076689</v>
      </c>
      <c r="AM48" s="52">
        <f t="shared" si="33"/>
        <v>22.987194836385243</v>
      </c>
      <c r="AN48" s="52">
        <f t="shared" si="33"/>
        <v>22.987180231557474</v>
      </c>
      <c r="AO48" s="52">
        <f t="shared" si="33"/>
        <v>22.987171864563003</v>
      </c>
      <c r="AP48" s="52">
        <f t="shared" ref="AP48" si="34">AP39</f>
        <v>827.54215177948231</v>
      </c>
    </row>
    <row r="49" spans="1:42" hidden="1" x14ac:dyDescent="0.25">
      <c r="A49" s="50" t="s">
        <v>44</v>
      </c>
      <c r="B49" s="52">
        <f>B40+B41</f>
        <v>2463.9068194422775</v>
      </c>
      <c r="C49" s="52">
        <f>C40+C41</f>
        <v>2453.9964377291344</v>
      </c>
      <c r="D49" s="52">
        <f>D40+D41</f>
        <v>2470.4413436510067</v>
      </c>
      <c r="E49" s="52">
        <f>E40+E41</f>
        <v>2490.8465843256272</v>
      </c>
      <c r="F49" s="52">
        <f>F40+F41</f>
        <v>2461.6604377262192</v>
      </c>
      <c r="G49" s="52">
        <f t="shared" ref="G49:Q49" si="35">G40+G41</f>
        <v>2480.0436216635385</v>
      </c>
      <c r="H49" s="52">
        <f t="shared" si="35"/>
        <v>2486.4474519673113</v>
      </c>
      <c r="I49" s="52">
        <f t="shared" si="35"/>
        <v>2482.4076309212724</v>
      </c>
      <c r="J49" s="52">
        <f t="shared" si="35"/>
        <v>2493.055478923342</v>
      </c>
      <c r="K49" s="52">
        <f t="shared" si="35"/>
        <v>2468.6568888776928</v>
      </c>
      <c r="L49" s="52">
        <f t="shared" si="35"/>
        <v>2470.9335867485788</v>
      </c>
      <c r="M49" s="52">
        <f t="shared" si="35"/>
        <v>2478.7438544807392</v>
      </c>
      <c r="N49" s="52">
        <f t="shared" si="35"/>
        <v>2474.0496363713946</v>
      </c>
      <c r="O49" s="52">
        <f t="shared" si="35"/>
        <v>2472.9373461154883</v>
      </c>
      <c r="P49" s="52">
        <f t="shared" si="35"/>
        <v>2471.8551301476846</v>
      </c>
      <c r="Q49" s="52">
        <f t="shared" si="35"/>
        <v>2484.5918290224072</v>
      </c>
      <c r="R49" s="52">
        <f t="shared" ref="R49:AO49" si="36">R40+R41</f>
        <v>2499.3345827471389</v>
      </c>
      <c r="S49" s="52">
        <f t="shared" si="36"/>
        <v>2495.236694832216</v>
      </c>
      <c r="T49" s="52">
        <f t="shared" si="36"/>
        <v>2484.1073425962722</v>
      </c>
      <c r="U49" s="52">
        <f t="shared" si="36"/>
        <v>2497.3380168153526</v>
      </c>
      <c r="V49" s="52">
        <f t="shared" si="36"/>
        <v>2494.0167156398593</v>
      </c>
      <c r="W49" s="52">
        <f t="shared" si="36"/>
        <v>2486.7479103662354</v>
      </c>
      <c r="X49" s="52">
        <f t="shared" si="36"/>
        <v>2488.9618788236139</v>
      </c>
      <c r="Y49" s="52">
        <f t="shared" si="36"/>
        <v>2471.8915531632001</v>
      </c>
      <c r="Z49" s="52">
        <f t="shared" si="36"/>
        <v>2486.6333113867386</v>
      </c>
      <c r="AA49" s="52">
        <f t="shared" si="36"/>
        <v>2489.2046676380169</v>
      </c>
      <c r="AB49" s="52">
        <f t="shared" si="36"/>
        <v>2486.1424610982276</v>
      </c>
      <c r="AC49" s="52">
        <f t="shared" si="36"/>
        <v>2501.9116220107735</v>
      </c>
      <c r="AD49" s="52">
        <f t="shared" si="36"/>
        <v>2492.6234714264701</v>
      </c>
      <c r="AE49" s="52">
        <f t="shared" si="36"/>
        <v>2506.2648038164143</v>
      </c>
      <c r="AF49" s="52">
        <f t="shared" si="36"/>
        <v>2513.4572795650979</v>
      </c>
      <c r="AG49" s="52">
        <f t="shared" si="36"/>
        <v>2495.3646576458332</v>
      </c>
      <c r="AH49" s="52">
        <f t="shared" si="36"/>
        <v>2500.3744443817068</v>
      </c>
      <c r="AI49" s="52">
        <f t="shared" si="36"/>
        <v>2499.2419217768611</v>
      </c>
      <c r="AJ49" s="52">
        <f t="shared" si="36"/>
        <v>2497.715939394413</v>
      </c>
      <c r="AK49" s="52">
        <f t="shared" si="36"/>
        <v>2494.9086527753129</v>
      </c>
      <c r="AL49" s="52">
        <f t="shared" si="36"/>
        <v>2487.473927742989</v>
      </c>
      <c r="AM49" s="52">
        <f t="shared" si="36"/>
        <v>2494.8814457726767</v>
      </c>
      <c r="AN49" s="52">
        <f t="shared" si="36"/>
        <v>2507.8919106172316</v>
      </c>
      <c r="AO49" s="52">
        <f t="shared" si="36"/>
        <v>2506.3151564104819</v>
      </c>
      <c r="AP49" s="52">
        <f t="shared" ref="AP49" si="37">AP40+AP41</f>
        <v>89603.423261408811</v>
      </c>
    </row>
    <row r="50" spans="1:42" hidden="1" x14ac:dyDescent="0.25">
      <c r="A50" s="50" t="s">
        <v>41</v>
      </c>
      <c r="B50" s="52">
        <f>B42</f>
        <v>433.19310000000002</v>
      </c>
      <c r="C50" s="52">
        <f>C42</f>
        <v>434.83139999999997</v>
      </c>
      <c r="D50" s="52">
        <f>D42</f>
        <v>435.1918</v>
      </c>
      <c r="E50" s="52">
        <f>E42</f>
        <v>435.30489999999998</v>
      </c>
      <c r="F50" s="52">
        <f>F42</f>
        <v>434.69720000000001</v>
      </c>
      <c r="G50" s="52">
        <f t="shared" ref="G50:Q50" si="38">G42</f>
        <v>435.41129999999998</v>
      </c>
      <c r="H50" s="52">
        <f t="shared" si="38"/>
        <v>436.93970000000002</v>
      </c>
      <c r="I50" s="52">
        <f t="shared" si="38"/>
        <v>435.97230000000002</v>
      </c>
      <c r="J50" s="52">
        <f t="shared" si="38"/>
        <v>435.4674</v>
      </c>
      <c r="K50" s="52">
        <f t="shared" si="38"/>
        <v>436.74290000000002</v>
      </c>
      <c r="L50" s="52">
        <f t="shared" si="38"/>
        <v>437.09710000000001</v>
      </c>
      <c r="M50" s="52">
        <f t="shared" si="38"/>
        <v>436.96460000000002</v>
      </c>
      <c r="N50" s="52">
        <f t="shared" si="38"/>
        <v>436.69200000000001</v>
      </c>
      <c r="O50" s="52">
        <f t="shared" si="38"/>
        <v>436.85879999999997</v>
      </c>
      <c r="P50" s="52">
        <f t="shared" si="38"/>
        <v>438.00020000000001</v>
      </c>
      <c r="Q50" s="52">
        <f t="shared" si="38"/>
        <v>437.75119999999998</v>
      </c>
      <c r="R50" s="52">
        <f t="shared" ref="R50:AO50" si="39">R42</f>
        <v>436.95929999999998</v>
      </c>
      <c r="S50" s="52">
        <f t="shared" si="39"/>
        <v>437.7432</v>
      </c>
      <c r="T50" s="52">
        <f t="shared" si="39"/>
        <v>438.26830000000001</v>
      </c>
      <c r="U50" s="52">
        <f t="shared" si="39"/>
        <v>438.01940000000002</v>
      </c>
      <c r="V50" s="52">
        <f t="shared" si="39"/>
        <v>437.8492</v>
      </c>
      <c r="W50" s="52">
        <f t="shared" si="39"/>
        <v>437.85919999999999</v>
      </c>
      <c r="X50" s="52">
        <f t="shared" si="39"/>
        <v>438.53469999999999</v>
      </c>
      <c r="Y50" s="52">
        <f t="shared" si="39"/>
        <v>438.67809999999997</v>
      </c>
      <c r="Z50" s="52">
        <f t="shared" si="39"/>
        <v>437.97640000000001</v>
      </c>
      <c r="AA50" s="52">
        <f t="shared" si="39"/>
        <v>438.27800000000002</v>
      </c>
      <c r="AB50" s="52">
        <f t="shared" si="39"/>
        <v>438.88470000000001</v>
      </c>
      <c r="AC50" s="52">
        <f t="shared" si="39"/>
        <v>438.69729999999998</v>
      </c>
      <c r="AD50" s="52">
        <f t="shared" si="39"/>
        <v>438.49900000000002</v>
      </c>
      <c r="AE50" s="52">
        <f t="shared" si="39"/>
        <v>438.50990000000002</v>
      </c>
      <c r="AF50" s="52">
        <f t="shared" si="39"/>
        <v>438.86349999999999</v>
      </c>
      <c r="AG50" s="52">
        <f t="shared" si="39"/>
        <v>439.1207</v>
      </c>
      <c r="AH50" s="52">
        <f t="shared" si="39"/>
        <v>438.6583</v>
      </c>
      <c r="AI50" s="52">
        <f t="shared" si="39"/>
        <v>438.62740000000002</v>
      </c>
      <c r="AJ50" s="52">
        <f t="shared" si="39"/>
        <v>439.16079999999999</v>
      </c>
      <c r="AK50" s="52">
        <f t="shared" si="39"/>
        <v>439.12299999999999</v>
      </c>
      <c r="AL50" s="52">
        <f t="shared" si="39"/>
        <v>438.88060000000002</v>
      </c>
      <c r="AM50" s="52">
        <f t="shared" si="39"/>
        <v>438.89510000000001</v>
      </c>
      <c r="AN50" s="52">
        <f t="shared" si="39"/>
        <v>439.09089999999998</v>
      </c>
      <c r="AO50" s="52">
        <f t="shared" si="39"/>
        <v>439.31470000000002</v>
      </c>
      <c r="AP50" s="52">
        <f t="shared" ref="AP50" si="40">AP42</f>
        <v>15763.086399999997</v>
      </c>
    </row>
    <row r="51" spans="1:42" hidden="1" x14ac:dyDescent="0.25">
      <c r="A51" s="50" t="s">
        <v>0</v>
      </c>
      <c r="B51" s="52">
        <f>SUM(B45:B50)</f>
        <v>255241.70096350583</v>
      </c>
      <c r="C51" s="52">
        <f>SUM(C45:C50)</f>
        <v>254366.57503546463</v>
      </c>
      <c r="D51" s="52">
        <f>SUM(D45:D50)</f>
        <v>254871.54721064225</v>
      </c>
      <c r="E51" s="52">
        <f>SUM(E45:E50)</f>
        <v>253757.23460782538</v>
      </c>
      <c r="F51" s="52">
        <f t="shared" ref="F51:Q51" si="41">SUM(F45:F50)</f>
        <v>254581.52070029848</v>
      </c>
      <c r="G51" s="52">
        <f t="shared" si="41"/>
        <v>254448.71091854613</v>
      </c>
      <c r="H51" s="52">
        <f t="shared" si="41"/>
        <v>255137.6879391385</v>
      </c>
      <c r="I51" s="52">
        <f t="shared" si="41"/>
        <v>256325.73106233968</v>
      </c>
      <c r="J51" s="52">
        <f t="shared" si="41"/>
        <v>256269.8956683026</v>
      </c>
      <c r="K51" s="52">
        <f t="shared" si="41"/>
        <v>257392.73250885421</v>
      </c>
      <c r="L51" s="52">
        <f t="shared" si="41"/>
        <v>256081.27871680123</v>
      </c>
      <c r="M51" s="52">
        <f t="shared" si="41"/>
        <v>256621.82704406674</v>
      </c>
      <c r="N51" s="52">
        <f t="shared" si="41"/>
        <v>256273.82474798217</v>
      </c>
      <c r="O51" s="52">
        <f t="shared" si="41"/>
        <v>256020.83611335515</v>
      </c>
      <c r="P51" s="52">
        <f t="shared" si="41"/>
        <v>256057.91971151272</v>
      </c>
      <c r="Q51" s="52">
        <f t="shared" si="41"/>
        <v>255175.41985325189</v>
      </c>
      <c r="R51" s="52">
        <f t="shared" ref="R51:AO51" si="42">SUM(R45:R50)</f>
        <v>256067.37020703746</v>
      </c>
      <c r="S51" s="52">
        <f t="shared" si="42"/>
        <v>255661.04900759901</v>
      </c>
      <c r="T51" s="52">
        <f t="shared" si="42"/>
        <v>256766.42919835346</v>
      </c>
      <c r="U51" s="52">
        <f t="shared" si="42"/>
        <v>257466.39038662135</v>
      </c>
      <c r="V51" s="52">
        <f t="shared" si="42"/>
        <v>257901.87228864484</v>
      </c>
      <c r="W51" s="52">
        <f t="shared" si="42"/>
        <v>258660.58297367339</v>
      </c>
      <c r="X51" s="52">
        <f t="shared" si="42"/>
        <v>258567.44272907494</v>
      </c>
      <c r="Y51" s="52">
        <f t="shared" si="42"/>
        <v>259081.49066343109</v>
      </c>
      <c r="Z51" s="52">
        <f t="shared" si="42"/>
        <v>258568.51427337812</v>
      </c>
      <c r="AA51" s="52">
        <f t="shared" si="42"/>
        <v>258666.37236716112</v>
      </c>
      <c r="AB51" s="52">
        <f t="shared" si="42"/>
        <v>258287.90425497829</v>
      </c>
      <c r="AC51" s="52">
        <f t="shared" si="42"/>
        <v>257829.47043360042</v>
      </c>
      <c r="AD51" s="52">
        <f t="shared" si="42"/>
        <v>258356.96605696279</v>
      </c>
      <c r="AE51" s="52">
        <f t="shared" si="42"/>
        <v>258144.59891112326</v>
      </c>
      <c r="AF51" s="52">
        <f t="shared" si="42"/>
        <v>259238.12459475026</v>
      </c>
      <c r="AG51" s="52">
        <f t="shared" si="42"/>
        <v>259751.26827778333</v>
      </c>
      <c r="AH51" s="52">
        <f t="shared" si="42"/>
        <v>260454.79485204685</v>
      </c>
      <c r="AI51" s="52">
        <f t="shared" si="42"/>
        <v>260865.61109066365</v>
      </c>
      <c r="AJ51" s="52">
        <f t="shared" si="42"/>
        <v>261101.59901707951</v>
      </c>
      <c r="AK51" s="52">
        <f t="shared" si="42"/>
        <v>261337.73529107991</v>
      </c>
      <c r="AL51" s="52">
        <f t="shared" si="42"/>
        <v>260959.03996838394</v>
      </c>
      <c r="AM51" s="52">
        <f t="shared" si="42"/>
        <v>261022.44375130109</v>
      </c>
      <c r="AN51" s="52">
        <f t="shared" si="42"/>
        <v>260539.63149997947</v>
      </c>
      <c r="AO51" s="52">
        <f t="shared" si="42"/>
        <v>260269.25952872954</v>
      </c>
      <c r="AP51" s="52">
        <f t="shared" ref="AP51" si="43">SUM(AP45:AP50)</f>
        <v>9285953.3466078881</v>
      </c>
    </row>
    <row r="52" spans="1:42" hidden="1" x14ac:dyDescent="0.25"/>
    <row r="53" spans="1:42" hidden="1" x14ac:dyDescent="0.25">
      <c r="A53" s="50" t="s">
        <v>78</v>
      </c>
      <c r="B53" s="52">
        <f>SUM(B34:B42)-SUM(B45:B50)</f>
        <v>0</v>
      </c>
      <c r="C53" s="52">
        <f>SUM(C34:C42)-SUM(C45:C50)</f>
        <v>0</v>
      </c>
      <c r="D53" s="52">
        <f>SUM(D34:D42)-SUM(D45:D50)</f>
        <v>0</v>
      </c>
      <c r="E53" s="52">
        <f>SUM(E34:E42)-SUM(E45:E50)</f>
        <v>0</v>
      </c>
      <c r="F53" s="52">
        <f t="shared" ref="F53:Q53" si="44">SUM(F34:F42)-SUM(F45:F50)</f>
        <v>0</v>
      </c>
      <c r="G53" s="52">
        <f t="shared" si="44"/>
        <v>0</v>
      </c>
      <c r="H53" s="52">
        <f t="shared" si="44"/>
        <v>0</v>
      </c>
      <c r="I53" s="52">
        <f t="shared" si="44"/>
        <v>0</v>
      </c>
      <c r="J53" s="52">
        <f t="shared" si="44"/>
        <v>0</v>
      </c>
      <c r="K53" s="52">
        <f t="shared" si="44"/>
        <v>0</v>
      </c>
      <c r="L53" s="52">
        <f t="shared" si="44"/>
        <v>0</v>
      </c>
      <c r="M53" s="52">
        <f t="shared" si="44"/>
        <v>0</v>
      </c>
      <c r="N53" s="52">
        <f t="shared" si="44"/>
        <v>0</v>
      </c>
      <c r="O53" s="52">
        <f t="shared" si="44"/>
        <v>0</v>
      </c>
      <c r="P53" s="52">
        <f t="shared" si="44"/>
        <v>0</v>
      </c>
      <c r="Q53" s="52">
        <f t="shared" si="44"/>
        <v>0</v>
      </c>
      <c r="R53" s="52">
        <f t="shared" ref="R53:AP53" si="45">SUM(R34:R42)-SUM(R45:R50)</f>
        <v>0</v>
      </c>
      <c r="S53" s="52">
        <f t="shared" si="45"/>
        <v>0</v>
      </c>
      <c r="T53" s="52">
        <f t="shared" si="45"/>
        <v>0</v>
      </c>
      <c r="U53" s="52">
        <f t="shared" si="45"/>
        <v>0</v>
      </c>
      <c r="V53" s="52">
        <f t="shared" si="45"/>
        <v>0</v>
      </c>
      <c r="W53" s="52">
        <f t="shared" si="45"/>
        <v>0</v>
      </c>
      <c r="X53" s="52">
        <f t="shared" si="45"/>
        <v>0</v>
      </c>
      <c r="Y53" s="52">
        <f t="shared" si="45"/>
        <v>0</v>
      </c>
      <c r="Z53" s="52">
        <f t="shared" si="45"/>
        <v>0</v>
      </c>
      <c r="AA53" s="52">
        <f t="shared" si="45"/>
        <v>0</v>
      </c>
      <c r="AB53" s="52">
        <f t="shared" si="45"/>
        <v>0</v>
      </c>
      <c r="AC53" s="52">
        <f t="shared" si="45"/>
        <v>0</v>
      </c>
      <c r="AD53" s="52">
        <f t="shared" si="45"/>
        <v>0</v>
      </c>
      <c r="AE53" s="52">
        <f t="shared" si="45"/>
        <v>0</v>
      </c>
      <c r="AF53" s="52">
        <f t="shared" si="45"/>
        <v>0</v>
      </c>
      <c r="AG53" s="52">
        <f t="shared" si="45"/>
        <v>0</v>
      </c>
      <c r="AH53" s="52">
        <f t="shared" si="45"/>
        <v>0</v>
      </c>
      <c r="AI53" s="52">
        <f t="shared" si="45"/>
        <v>0</v>
      </c>
      <c r="AJ53" s="52">
        <f t="shared" si="45"/>
        <v>0</v>
      </c>
      <c r="AK53" s="52">
        <f t="shared" si="45"/>
        <v>0</v>
      </c>
      <c r="AL53" s="52">
        <f t="shared" si="45"/>
        <v>0</v>
      </c>
      <c r="AM53" s="52">
        <f t="shared" si="45"/>
        <v>0</v>
      </c>
      <c r="AN53" s="52">
        <f t="shared" si="45"/>
        <v>0</v>
      </c>
      <c r="AO53" s="52">
        <f t="shared" si="45"/>
        <v>0</v>
      </c>
      <c r="AP53" s="52">
        <f t="shared" si="45"/>
        <v>0</v>
      </c>
    </row>
    <row r="54" spans="1:42" hidden="1" x14ac:dyDescent="0.25"/>
    <row r="55" spans="1:42" hidden="1" x14ac:dyDescent="0.25"/>
    <row r="56" spans="1:42" hidden="1" x14ac:dyDescent="0.25"/>
    <row r="57" spans="1:42" hidden="1" x14ac:dyDescent="0.25"/>
    <row r="58" spans="1:42" x14ac:dyDescent="0.25">
      <c r="N58" s="189" t="s">
        <v>141</v>
      </c>
      <c r="O58" s="188">
        <v>195757919.72294998</v>
      </c>
      <c r="P58" s="188">
        <v>208540712.40769556</v>
      </c>
      <c r="Q58" s="188">
        <v>155165544.14927229</v>
      </c>
      <c r="R58" s="188">
        <v>172057247.35680461</v>
      </c>
      <c r="S58" s="188">
        <v>229197404.06787434</v>
      </c>
      <c r="T58" s="188">
        <v>295378315.86354291</v>
      </c>
      <c r="U58" s="188">
        <v>300523474.79559064</v>
      </c>
      <c r="V58" s="188">
        <v>253892940.29570198</v>
      </c>
      <c r="W58" s="188">
        <v>226278840.95117667</v>
      </c>
      <c r="X58" s="188">
        <v>184290821.66075876</v>
      </c>
      <c r="Y58" s="188">
        <v>165251966.50444371</v>
      </c>
      <c r="Z58" s="188">
        <v>162871415.94361082</v>
      </c>
    </row>
    <row r="59" spans="1:42" x14ac:dyDescent="0.25">
      <c r="N59" s="189" t="s">
        <v>142</v>
      </c>
      <c r="O59" s="188">
        <v>695813.1025558121</v>
      </c>
      <c r="P59" s="188">
        <v>725585.19335385133</v>
      </c>
      <c r="Q59" s="188">
        <v>577190.63418714947</v>
      </c>
      <c r="R59" s="188">
        <v>778793.77238620375</v>
      </c>
      <c r="S59" s="188">
        <v>1177525.4476468679</v>
      </c>
      <c r="T59" s="188">
        <v>1539614.0997854983</v>
      </c>
      <c r="U59" s="188">
        <v>1596789.5416654022</v>
      </c>
      <c r="V59" s="188">
        <v>1347260.371444714</v>
      </c>
      <c r="W59" s="188">
        <v>1202478.3306235219</v>
      </c>
      <c r="X59" s="188">
        <v>936230.73269364925</v>
      </c>
      <c r="Y59" s="188">
        <v>751812.98498715181</v>
      </c>
      <c r="Z59" s="188">
        <v>658056.51824558969</v>
      </c>
    </row>
    <row r="60" spans="1:42" x14ac:dyDescent="0.25">
      <c r="N60" s="189" t="s">
        <v>143</v>
      </c>
      <c r="O60" s="188">
        <v>51523076.154867977</v>
      </c>
      <c r="P60" s="188">
        <v>50945584.481681392</v>
      </c>
      <c r="Q60" s="188">
        <v>46124166.451869726</v>
      </c>
      <c r="R60" s="188">
        <v>46474874.464942411</v>
      </c>
      <c r="S60" s="188">
        <v>52343471.116701931</v>
      </c>
      <c r="T60" s="188">
        <v>56744410.739697143</v>
      </c>
      <c r="U60" s="188">
        <v>55654659.68011678</v>
      </c>
      <c r="V60" s="188">
        <v>52645750.197213948</v>
      </c>
      <c r="W60" s="188">
        <v>49916430.608736791</v>
      </c>
      <c r="X60" s="188">
        <v>44682223.960313983</v>
      </c>
      <c r="Y60" s="188">
        <v>43564318.361766152</v>
      </c>
      <c r="Z60" s="188">
        <v>45088284.543427683</v>
      </c>
    </row>
    <row r="61" spans="1:42" x14ac:dyDescent="0.25">
      <c r="N61" s="189" t="s">
        <v>144</v>
      </c>
      <c r="O61" s="188">
        <v>4554083.5210977104</v>
      </c>
      <c r="P61" s="188">
        <v>4500458.6027711201</v>
      </c>
      <c r="Q61" s="188">
        <v>4073302.7997827763</v>
      </c>
      <c r="R61" s="188">
        <v>4846108.9163227715</v>
      </c>
      <c r="S61" s="188">
        <v>6302521.3205331955</v>
      </c>
      <c r="T61" s="188">
        <v>8028981.099253051</v>
      </c>
      <c r="U61" s="188">
        <v>8097375.0728896242</v>
      </c>
      <c r="V61" s="188">
        <v>7332043.5809252262</v>
      </c>
      <c r="W61" s="188">
        <v>6588811.2103799358</v>
      </c>
      <c r="X61" s="188">
        <v>4984209.5799362641</v>
      </c>
      <c r="Y61" s="188">
        <v>4351822.8391172234</v>
      </c>
      <c r="Z61" s="188">
        <v>4257502.0520108454</v>
      </c>
    </row>
    <row r="62" spans="1:42" x14ac:dyDescent="0.25">
      <c r="N62" s="189" t="s">
        <v>145</v>
      </c>
      <c r="O62" s="188">
        <v>18061.844557215773</v>
      </c>
      <c r="P62" s="188">
        <v>18167.845993632473</v>
      </c>
      <c r="Q62" s="188">
        <v>18226.822840499877</v>
      </c>
      <c r="R62" s="188">
        <v>18224.831706698031</v>
      </c>
      <c r="S62" s="188">
        <v>18184.17905920629</v>
      </c>
      <c r="T62" s="188">
        <v>18153.087625856799</v>
      </c>
      <c r="U62" s="188">
        <v>18132.380053444522</v>
      </c>
      <c r="V62" s="188">
        <v>18123.111618292183</v>
      </c>
      <c r="W62" s="188">
        <v>18129.768484353655</v>
      </c>
      <c r="X62" s="188">
        <v>18155.424168662335</v>
      </c>
      <c r="Y62" s="188">
        <v>18166.511189973407</v>
      </c>
      <c r="Z62" s="188">
        <v>18166.339456051966</v>
      </c>
    </row>
    <row r="63" spans="1:42" x14ac:dyDescent="0.25">
      <c r="N63" s="189" t="s">
        <v>146</v>
      </c>
      <c r="O63" s="188">
        <v>110515728.60450557</v>
      </c>
      <c r="P63" s="188">
        <v>106099911.10638998</v>
      </c>
      <c r="Q63" s="188">
        <v>98613268.981188729</v>
      </c>
      <c r="R63" s="188">
        <v>110486406.39598288</v>
      </c>
      <c r="S63" s="188">
        <v>107781362.30981205</v>
      </c>
      <c r="T63" s="188">
        <v>101260112.79460676</v>
      </c>
      <c r="U63" s="188">
        <v>99030583.181646332</v>
      </c>
      <c r="V63" s="188">
        <v>101692772.27381162</v>
      </c>
      <c r="W63" s="188">
        <v>97669297.59634535</v>
      </c>
      <c r="X63" s="188">
        <v>95491200.847762197</v>
      </c>
      <c r="Y63" s="188">
        <v>98883917.567456082</v>
      </c>
      <c r="Z63" s="188">
        <v>104443797.07586089</v>
      </c>
    </row>
    <row r="64" spans="1:42" x14ac:dyDescent="0.25">
      <c r="N64" s="189" t="s">
        <v>147</v>
      </c>
      <c r="O64" s="188">
        <v>2440550.5188799608</v>
      </c>
      <c r="P64" s="188">
        <v>2431709.653055829</v>
      </c>
      <c r="Q64" s="188">
        <v>2087524.1182084209</v>
      </c>
      <c r="R64" s="188">
        <v>2312438.5001234617</v>
      </c>
      <c r="S64" s="188">
        <v>2762732.9771268894</v>
      </c>
      <c r="T64" s="188">
        <v>3361208.2812189786</v>
      </c>
      <c r="U64" s="188">
        <v>3304964.2311254782</v>
      </c>
      <c r="V64" s="188">
        <v>2913758.0482948618</v>
      </c>
      <c r="W64" s="188">
        <v>2744142.1141440468</v>
      </c>
      <c r="X64" s="188">
        <v>2223556.6383845997</v>
      </c>
      <c r="Y64" s="188">
        <v>2052697.9087574531</v>
      </c>
      <c r="Z64" s="188">
        <v>2038364.9212863543</v>
      </c>
    </row>
    <row r="65" spans="14:26" x14ac:dyDescent="0.25">
      <c r="N65" s="189" t="s">
        <v>148</v>
      </c>
      <c r="O65" s="188">
        <v>20809.5412657587</v>
      </c>
      <c r="P65" s="188">
        <v>20797.867731528262</v>
      </c>
      <c r="Q65" s="188">
        <v>20606.286314028941</v>
      </c>
      <c r="R65" s="188">
        <v>20700.267568435607</v>
      </c>
      <c r="S65" s="188">
        <v>20815.198088015175</v>
      </c>
      <c r="T65" s="188">
        <v>20742.463416888528</v>
      </c>
      <c r="U65" s="188">
        <v>20765.003377471865</v>
      </c>
      <c r="V65" s="188">
        <v>20769.309615044323</v>
      </c>
      <c r="W65" s="188">
        <v>20822.563222937057</v>
      </c>
      <c r="X65" s="188">
        <v>20804.33523599925</v>
      </c>
      <c r="Y65" s="188">
        <v>20763.66330556852</v>
      </c>
      <c r="Z65" s="188">
        <v>20758.787626981182</v>
      </c>
    </row>
    <row r="66" spans="14:26" x14ac:dyDescent="0.25">
      <c r="N66" s="189" t="s">
        <v>149</v>
      </c>
      <c r="O66" s="188">
        <v>53305239</v>
      </c>
      <c r="P66" s="188">
        <v>57614910</v>
      </c>
      <c r="Q66" s="188">
        <v>50898218</v>
      </c>
      <c r="R66" s="188">
        <v>51490600</v>
      </c>
      <c r="S66" s="188">
        <v>47467791</v>
      </c>
      <c r="T66" s="188">
        <v>52006609</v>
      </c>
      <c r="U66" s="188">
        <v>53831692</v>
      </c>
      <c r="V66" s="188">
        <v>49681691</v>
      </c>
      <c r="W66" s="188">
        <v>52864781</v>
      </c>
      <c r="X66" s="188">
        <v>49185245</v>
      </c>
      <c r="Y66" s="188">
        <v>50842156</v>
      </c>
      <c r="Z66" s="188">
        <v>51167052</v>
      </c>
    </row>
    <row r="67" spans="14:26" x14ac:dyDescent="0.25">
      <c r="N67" s="189" t="s">
        <v>150</v>
      </c>
      <c r="O67" s="188">
        <v>23370625.974723801</v>
      </c>
      <c r="P67" s="188">
        <v>26503200.572662111</v>
      </c>
      <c r="Q67" s="188">
        <v>21822355.277161285</v>
      </c>
      <c r="R67" s="188">
        <v>10853507.056412015</v>
      </c>
      <c r="S67" s="188">
        <v>1999773.100815773</v>
      </c>
      <c r="T67" s="188">
        <v>2655296.4851610297</v>
      </c>
      <c r="U67" s="188">
        <v>3920231.5860841395</v>
      </c>
      <c r="V67" s="188">
        <v>3838211.020730922</v>
      </c>
      <c r="W67" s="188">
        <v>4016466.7751297159</v>
      </c>
      <c r="X67" s="188">
        <v>5714842.521951966</v>
      </c>
      <c r="Y67" s="188">
        <v>12862816.790414482</v>
      </c>
      <c r="Z67" s="188">
        <v>20630370.796317715</v>
      </c>
    </row>
    <row r="68" spans="14:26" x14ac:dyDescent="0.25">
      <c r="N68" s="189" t="s">
        <v>151</v>
      </c>
      <c r="O68" s="188">
        <v>1983171.4445913634</v>
      </c>
      <c r="P68" s="188">
        <v>1764367.1677372372</v>
      </c>
      <c r="Q68" s="188">
        <v>1119617.4240875971</v>
      </c>
      <c r="R68" s="188">
        <v>450026.53901232162</v>
      </c>
      <c r="S68" s="188">
        <v>231643.41492738386</v>
      </c>
      <c r="T68" s="188">
        <v>289065.62830275594</v>
      </c>
      <c r="U68" s="188">
        <v>347662.56401537964</v>
      </c>
      <c r="V68" s="188">
        <v>310388.650231704</v>
      </c>
      <c r="W68" s="188">
        <v>295805.84685282299</v>
      </c>
      <c r="X68" s="188">
        <v>376922.96617219929</v>
      </c>
      <c r="Y68" s="188">
        <v>728638.27105788409</v>
      </c>
      <c r="Z68" s="188">
        <v>1062957.4701004967</v>
      </c>
    </row>
    <row r="69" spans="14:26" x14ac:dyDescent="0.25">
      <c r="N69" s="189" t="s">
        <v>152</v>
      </c>
      <c r="O69" s="188">
        <v>1297254.7296365609</v>
      </c>
      <c r="P69" s="188">
        <v>1318572.8385579409</v>
      </c>
      <c r="Q69" s="188">
        <v>1317545.3920340193</v>
      </c>
      <c r="R69" s="188">
        <v>1291228.0263941458</v>
      </c>
      <c r="S69" s="188">
        <v>1295517.2293914184</v>
      </c>
      <c r="T69" s="188">
        <v>1323193.4273065061</v>
      </c>
      <c r="U69" s="188">
        <v>1294258.5860627098</v>
      </c>
      <c r="V69" s="188">
        <v>1248484.9561865169</v>
      </c>
      <c r="W69" s="188">
        <v>1332499.7247278495</v>
      </c>
      <c r="X69" s="188">
        <v>1270727.8691569627</v>
      </c>
      <c r="Y69" s="188">
        <v>1274294.1390946764</v>
      </c>
      <c r="Z69" s="188">
        <v>1289909.0680508316</v>
      </c>
    </row>
    <row r="70" spans="14:26" x14ac:dyDescent="0.25">
      <c r="N70" s="189" t="s">
        <v>153</v>
      </c>
      <c r="O70" s="188">
        <v>37139864</v>
      </c>
      <c r="P70" s="188">
        <v>39858342</v>
      </c>
      <c r="Q70" s="188">
        <v>35193961</v>
      </c>
      <c r="R70" s="188">
        <v>38664027</v>
      </c>
      <c r="S70" s="188">
        <v>37225290</v>
      </c>
      <c r="T70" s="188">
        <v>36853503</v>
      </c>
      <c r="U70" s="188">
        <v>38269006</v>
      </c>
      <c r="V70" s="188">
        <v>32477288</v>
      </c>
      <c r="W70" s="188">
        <v>35838271</v>
      </c>
      <c r="X70" s="188">
        <v>39100509</v>
      </c>
      <c r="Y70" s="188">
        <v>36605811</v>
      </c>
      <c r="Z70" s="188">
        <v>36940876</v>
      </c>
    </row>
  </sheetData>
  <phoneticPr fontId="33" type="noConversion"/>
  <pageMargins left="0.7" right="0.7" top="0.75" bottom="0.75" header="0.3" footer="0.3"/>
  <pageSetup scale="19" orientation="landscape" r:id="rId1"/>
  <headerFooter>
    <oddFooter>&amp;L&amp;F&amp;RPage: &amp;P of &amp;N</oddFooter>
  </headerFooter>
  <customProperties>
    <customPr name="xxe4aP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47"/>
  <sheetViews>
    <sheetView zoomScaleNormal="100" workbookViewId="0">
      <selection activeCell="G27" sqref="G27"/>
    </sheetView>
  </sheetViews>
  <sheetFormatPr defaultRowHeight="15" x14ac:dyDescent="0.25"/>
  <cols>
    <col min="1" max="1" width="30.85546875" style="59" customWidth="1"/>
    <col min="2" max="2" width="9.140625" style="59" customWidth="1"/>
    <col min="3" max="3" width="9.7109375" style="59" customWidth="1"/>
    <col min="4" max="4" width="15.140625" style="59" customWidth="1"/>
    <col min="5" max="5" width="12" style="59" customWidth="1"/>
    <col min="6" max="9" width="9.140625" style="59"/>
    <col min="10" max="10" width="9.42578125" style="59" customWidth="1"/>
    <col min="11" max="256" width="9.140625" style="59"/>
    <col min="257" max="257" width="30.85546875" style="59" customWidth="1"/>
    <col min="258" max="258" width="9.140625" style="59" customWidth="1"/>
    <col min="259" max="259" width="9.7109375" style="59" customWidth="1"/>
    <col min="260" max="260" width="15.140625" style="59" customWidth="1"/>
    <col min="261" max="261" width="12" style="59" customWidth="1"/>
    <col min="262" max="265" width="9.140625" style="59"/>
    <col min="266" max="266" width="9.42578125" style="59" customWidth="1"/>
    <col min="267" max="512" width="9.140625" style="59"/>
    <col min="513" max="513" width="30.85546875" style="59" customWidth="1"/>
    <col min="514" max="514" width="9.140625" style="59" customWidth="1"/>
    <col min="515" max="515" width="9.7109375" style="59" customWidth="1"/>
    <col min="516" max="516" width="15.140625" style="59" customWidth="1"/>
    <col min="517" max="517" width="12" style="59" customWidth="1"/>
    <col min="518" max="521" width="9.140625" style="59"/>
    <col min="522" max="522" width="9.42578125" style="59" customWidth="1"/>
    <col min="523" max="768" width="9.140625" style="59"/>
    <col min="769" max="769" width="30.85546875" style="59" customWidth="1"/>
    <col min="770" max="770" width="9.140625" style="59" customWidth="1"/>
    <col min="771" max="771" width="9.7109375" style="59" customWidth="1"/>
    <col min="772" max="772" width="15.140625" style="59" customWidth="1"/>
    <col min="773" max="773" width="12" style="59" customWidth="1"/>
    <col min="774" max="777" width="9.140625" style="59"/>
    <col min="778" max="778" width="9.42578125" style="59" customWidth="1"/>
    <col min="779" max="1024" width="9.140625" style="59"/>
    <col min="1025" max="1025" width="30.85546875" style="59" customWidth="1"/>
    <col min="1026" max="1026" width="9.140625" style="59" customWidth="1"/>
    <col min="1027" max="1027" width="9.7109375" style="59" customWidth="1"/>
    <col min="1028" max="1028" width="15.140625" style="59" customWidth="1"/>
    <col min="1029" max="1029" width="12" style="59" customWidth="1"/>
    <col min="1030" max="1033" width="9.140625" style="59"/>
    <col min="1034" max="1034" width="9.42578125" style="59" customWidth="1"/>
    <col min="1035" max="1280" width="9.140625" style="59"/>
    <col min="1281" max="1281" width="30.85546875" style="59" customWidth="1"/>
    <col min="1282" max="1282" width="9.140625" style="59" customWidth="1"/>
    <col min="1283" max="1283" width="9.7109375" style="59" customWidth="1"/>
    <col min="1284" max="1284" width="15.140625" style="59" customWidth="1"/>
    <col min="1285" max="1285" width="12" style="59" customWidth="1"/>
    <col min="1286" max="1289" width="9.140625" style="59"/>
    <col min="1290" max="1290" width="9.42578125" style="59" customWidth="1"/>
    <col min="1291" max="1536" width="9.140625" style="59"/>
    <col min="1537" max="1537" width="30.85546875" style="59" customWidth="1"/>
    <col min="1538" max="1538" width="9.140625" style="59" customWidth="1"/>
    <col min="1539" max="1539" width="9.7109375" style="59" customWidth="1"/>
    <col min="1540" max="1540" width="15.140625" style="59" customWidth="1"/>
    <col min="1541" max="1541" width="12" style="59" customWidth="1"/>
    <col min="1542" max="1545" width="9.140625" style="59"/>
    <col min="1546" max="1546" width="9.42578125" style="59" customWidth="1"/>
    <col min="1547" max="1792" width="9.140625" style="59"/>
    <col min="1793" max="1793" width="30.85546875" style="59" customWidth="1"/>
    <col min="1794" max="1794" width="9.140625" style="59" customWidth="1"/>
    <col min="1795" max="1795" width="9.7109375" style="59" customWidth="1"/>
    <col min="1796" max="1796" width="15.140625" style="59" customWidth="1"/>
    <col min="1797" max="1797" width="12" style="59" customWidth="1"/>
    <col min="1798" max="1801" width="9.140625" style="59"/>
    <col min="1802" max="1802" width="9.42578125" style="59" customWidth="1"/>
    <col min="1803" max="2048" width="9.140625" style="59"/>
    <col min="2049" max="2049" width="30.85546875" style="59" customWidth="1"/>
    <col min="2050" max="2050" width="9.140625" style="59" customWidth="1"/>
    <col min="2051" max="2051" width="9.7109375" style="59" customWidth="1"/>
    <col min="2052" max="2052" width="15.140625" style="59" customWidth="1"/>
    <col min="2053" max="2053" width="12" style="59" customWidth="1"/>
    <col min="2054" max="2057" width="9.140625" style="59"/>
    <col min="2058" max="2058" width="9.42578125" style="59" customWidth="1"/>
    <col min="2059" max="2304" width="9.140625" style="59"/>
    <col min="2305" max="2305" width="30.85546875" style="59" customWidth="1"/>
    <col min="2306" max="2306" width="9.140625" style="59" customWidth="1"/>
    <col min="2307" max="2307" width="9.7109375" style="59" customWidth="1"/>
    <col min="2308" max="2308" width="15.140625" style="59" customWidth="1"/>
    <col min="2309" max="2309" width="12" style="59" customWidth="1"/>
    <col min="2310" max="2313" width="9.140625" style="59"/>
    <col min="2314" max="2314" width="9.42578125" style="59" customWidth="1"/>
    <col min="2315" max="2560" width="9.140625" style="59"/>
    <col min="2561" max="2561" width="30.85546875" style="59" customWidth="1"/>
    <col min="2562" max="2562" width="9.140625" style="59" customWidth="1"/>
    <col min="2563" max="2563" width="9.7109375" style="59" customWidth="1"/>
    <col min="2564" max="2564" width="15.140625" style="59" customWidth="1"/>
    <col min="2565" max="2565" width="12" style="59" customWidth="1"/>
    <col min="2566" max="2569" width="9.140625" style="59"/>
    <col min="2570" max="2570" width="9.42578125" style="59" customWidth="1"/>
    <col min="2571" max="2816" width="9.140625" style="59"/>
    <col min="2817" max="2817" width="30.85546875" style="59" customWidth="1"/>
    <col min="2818" max="2818" width="9.140625" style="59" customWidth="1"/>
    <col min="2819" max="2819" width="9.7109375" style="59" customWidth="1"/>
    <col min="2820" max="2820" width="15.140625" style="59" customWidth="1"/>
    <col min="2821" max="2821" width="12" style="59" customWidth="1"/>
    <col min="2822" max="2825" width="9.140625" style="59"/>
    <col min="2826" max="2826" width="9.42578125" style="59" customWidth="1"/>
    <col min="2827" max="3072" width="9.140625" style="59"/>
    <col min="3073" max="3073" width="30.85546875" style="59" customWidth="1"/>
    <col min="3074" max="3074" width="9.140625" style="59" customWidth="1"/>
    <col min="3075" max="3075" width="9.7109375" style="59" customWidth="1"/>
    <col min="3076" max="3076" width="15.140625" style="59" customWidth="1"/>
    <col min="3077" max="3077" width="12" style="59" customWidth="1"/>
    <col min="3078" max="3081" width="9.140625" style="59"/>
    <col min="3082" max="3082" width="9.42578125" style="59" customWidth="1"/>
    <col min="3083" max="3328" width="9.140625" style="59"/>
    <col min="3329" max="3329" width="30.85546875" style="59" customWidth="1"/>
    <col min="3330" max="3330" width="9.140625" style="59" customWidth="1"/>
    <col min="3331" max="3331" width="9.7109375" style="59" customWidth="1"/>
    <col min="3332" max="3332" width="15.140625" style="59" customWidth="1"/>
    <col min="3333" max="3333" width="12" style="59" customWidth="1"/>
    <col min="3334" max="3337" width="9.140625" style="59"/>
    <col min="3338" max="3338" width="9.42578125" style="59" customWidth="1"/>
    <col min="3339" max="3584" width="9.140625" style="59"/>
    <col min="3585" max="3585" width="30.85546875" style="59" customWidth="1"/>
    <col min="3586" max="3586" width="9.140625" style="59" customWidth="1"/>
    <col min="3587" max="3587" width="9.7109375" style="59" customWidth="1"/>
    <col min="3588" max="3588" width="15.140625" style="59" customWidth="1"/>
    <col min="3589" max="3589" width="12" style="59" customWidth="1"/>
    <col min="3590" max="3593" width="9.140625" style="59"/>
    <col min="3594" max="3594" width="9.42578125" style="59" customWidth="1"/>
    <col min="3595" max="3840" width="9.140625" style="59"/>
    <col min="3841" max="3841" width="30.85546875" style="59" customWidth="1"/>
    <col min="3842" max="3842" width="9.140625" style="59" customWidth="1"/>
    <col min="3843" max="3843" width="9.7109375" style="59" customWidth="1"/>
    <col min="3844" max="3844" width="15.140625" style="59" customWidth="1"/>
    <col min="3845" max="3845" width="12" style="59" customWidth="1"/>
    <col min="3846" max="3849" width="9.140625" style="59"/>
    <col min="3850" max="3850" width="9.42578125" style="59" customWidth="1"/>
    <col min="3851" max="4096" width="9.140625" style="59"/>
    <col min="4097" max="4097" width="30.85546875" style="59" customWidth="1"/>
    <col min="4098" max="4098" width="9.140625" style="59" customWidth="1"/>
    <col min="4099" max="4099" width="9.7109375" style="59" customWidth="1"/>
    <col min="4100" max="4100" width="15.140625" style="59" customWidth="1"/>
    <col min="4101" max="4101" width="12" style="59" customWidth="1"/>
    <col min="4102" max="4105" width="9.140625" style="59"/>
    <col min="4106" max="4106" width="9.42578125" style="59" customWidth="1"/>
    <col min="4107" max="4352" width="9.140625" style="59"/>
    <col min="4353" max="4353" width="30.85546875" style="59" customWidth="1"/>
    <col min="4354" max="4354" width="9.140625" style="59" customWidth="1"/>
    <col min="4355" max="4355" width="9.7109375" style="59" customWidth="1"/>
    <col min="4356" max="4356" width="15.140625" style="59" customWidth="1"/>
    <col min="4357" max="4357" width="12" style="59" customWidth="1"/>
    <col min="4358" max="4361" width="9.140625" style="59"/>
    <col min="4362" max="4362" width="9.42578125" style="59" customWidth="1"/>
    <col min="4363" max="4608" width="9.140625" style="59"/>
    <col min="4609" max="4609" width="30.85546875" style="59" customWidth="1"/>
    <col min="4610" max="4610" width="9.140625" style="59" customWidth="1"/>
    <col min="4611" max="4611" width="9.7109375" style="59" customWidth="1"/>
    <col min="4612" max="4612" width="15.140625" style="59" customWidth="1"/>
    <col min="4613" max="4613" width="12" style="59" customWidth="1"/>
    <col min="4614" max="4617" width="9.140625" style="59"/>
    <col min="4618" max="4618" width="9.42578125" style="59" customWidth="1"/>
    <col min="4619" max="4864" width="9.140625" style="59"/>
    <col min="4865" max="4865" width="30.85546875" style="59" customWidth="1"/>
    <col min="4866" max="4866" width="9.140625" style="59" customWidth="1"/>
    <col min="4867" max="4867" width="9.7109375" style="59" customWidth="1"/>
    <col min="4868" max="4868" width="15.140625" style="59" customWidth="1"/>
    <col min="4869" max="4869" width="12" style="59" customWidth="1"/>
    <col min="4870" max="4873" width="9.140625" style="59"/>
    <col min="4874" max="4874" width="9.42578125" style="59" customWidth="1"/>
    <col min="4875" max="5120" width="9.140625" style="59"/>
    <col min="5121" max="5121" width="30.85546875" style="59" customWidth="1"/>
    <col min="5122" max="5122" width="9.140625" style="59" customWidth="1"/>
    <col min="5123" max="5123" width="9.7109375" style="59" customWidth="1"/>
    <col min="5124" max="5124" width="15.140625" style="59" customWidth="1"/>
    <col min="5125" max="5125" width="12" style="59" customWidth="1"/>
    <col min="5126" max="5129" width="9.140625" style="59"/>
    <col min="5130" max="5130" width="9.42578125" style="59" customWidth="1"/>
    <col min="5131" max="5376" width="9.140625" style="59"/>
    <col min="5377" max="5377" width="30.85546875" style="59" customWidth="1"/>
    <col min="5378" max="5378" width="9.140625" style="59" customWidth="1"/>
    <col min="5379" max="5379" width="9.7109375" style="59" customWidth="1"/>
    <col min="5380" max="5380" width="15.140625" style="59" customWidth="1"/>
    <col min="5381" max="5381" width="12" style="59" customWidth="1"/>
    <col min="5382" max="5385" width="9.140625" style="59"/>
    <col min="5386" max="5386" width="9.42578125" style="59" customWidth="1"/>
    <col min="5387" max="5632" width="9.140625" style="59"/>
    <col min="5633" max="5633" width="30.85546875" style="59" customWidth="1"/>
    <col min="5634" max="5634" width="9.140625" style="59" customWidth="1"/>
    <col min="5635" max="5635" width="9.7109375" style="59" customWidth="1"/>
    <col min="5636" max="5636" width="15.140625" style="59" customWidth="1"/>
    <col min="5637" max="5637" width="12" style="59" customWidth="1"/>
    <col min="5638" max="5641" width="9.140625" style="59"/>
    <col min="5642" max="5642" width="9.42578125" style="59" customWidth="1"/>
    <col min="5643" max="5888" width="9.140625" style="59"/>
    <col min="5889" max="5889" width="30.85546875" style="59" customWidth="1"/>
    <col min="5890" max="5890" width="9.140625" style="59" customWidth="1"/>
    <col min="5891" max="5891" width="9.7109375" style="59" customWidth="1"/>
    <col min="5892" max="5892" width="15.140625" style="59" customWidth="1"/>
    <col min="5893" max="5893" width="12" style="59" customWidth="1"/>
    <col min="5894" max="5897" width="9.140625" style="59"/>
    <col min="5898" max="5898" width="9.42578125" style="59" customWidth="1"/>
    <col min="5899" max="6144" width="9.140625" style="59"/>
    <col min="6145" max="6145" width="30.85546875" style="59" customWidth="1"/>
    <col min="6146" max="6146" width="9.140625" style="59" customWidth="1"/>
    <col min="6147" max="6147" width="9.7109375" style="59" customWidth="1"/>
    <col min="6148" max="6148" width="15.140625" style="59" customWidth="1"/>
    <col min="6149" max="6149" width="12" style="59" customWidth="1"/>
    <col min="6150" max="6153" width="9.140625" style="59"/>
    <col min="6154" max="6154" width="9.42578125" style="59" customWidth="1"/>
    <col min="6155" max="6400" width="9.140625" style="59"/>
    <col min="6401" max="6401" width="30.85546875" style="59" customWidth="1"/>
    <col min="6402" max="6402" width="9.140625" style="59" customWidth="1"/>
    <col min="6403" max="6403" width="9.7109375" style="59" customWidth="1"/>
    <col min="6404" max="6404" width="15.140625" style="59" customWidth="1"/>
    <col min="6405" max="6405" width="12" style="59" customWidth="1"/>
    <col min="6406" max="6409" width="9.140625" style="59"/>
    <col min="6410" max="6410" width="9.42578125" style="59" customWidth="1"/>
    <col min="6411" max="6656" width="9.140625" style="59"/>
    <col min="6657" max="6657" width="30.85546875" style="59" customWidth="1"/>
    <col min="6658" max="6658" width="9.140625" style="59" customWidth="1"/>
    <col min="6659" max="6659" width="9.7109375" style="59" customWidth="1"/>
    <col min="6660" max="6660" width="15.140625" style="59" customWidth="1"/>
    <col min="6661" max="6661" width="12" style="59" customWidth="1"/>
    <col min="6662" max="6665" width="9.140625" style="59"/>
    <col min="6666" max="6666" width="9.42578125" style="59" customWidth="1"/>
    <col min="6667" max="6912" width="9.140625" style="59"/>
    <col min="6913" max="6913" width="30.85546875" style="59" customWidth="1"/>
    <col min="6914" max="6914" width="9.140625" style="59" customWidth="1"/>
    <col min="6915" max="6915" width="9.7109375" style="59" customWidth="1"/>
    <col min="6916" max="6916" width="15.140625" style="59" customWidth="1"/>
    <col min="6917" max="6917" width="12" style="59" customWidth="1"/>
    <col min="6918" max="6921" width="9.140625" style="59"/>
    <col min="6922" max="6922" width="9.42578125" style="59" customWidth="1"/>
    <col min="6923" max="7168" width="9.140625" style="59"/>
    <col min="7169" max="7169" width="30.85546875" style="59" customWidth="1"/>
    <col min="7170" max="7170" width="9.140625" style="59" customWidth="1"/>
    <col min="7171" max="7171" width="9.7109375" style="59" customWidth="1"/>
    <col min="7172" max="7172" width="15.140625" style="59" customWidth="1"/>
    <col min="7173" max="7173" width="12" style="59" customWidth="1"/>
    <col min="7174" max="7177" width="9.140625" style="59"/>
    <col min="7178" max="7178" width="9.42578125" style="59" customWidth="1"/>
    <col min="7179" max="7424" width="9.140625" style="59"/>
    <col min="7425" max="7425" width="30.85546875" style="59" customWidth="1"/>
    <col min="7426" max="7426" width="9.140625" style="59" customWidth="1"/>
    <col min="7427" max="7427" width="9.7109375" style="59" customWidth="1"/>
    <col min="7428" max="7428" width="15.140625" style="59" customWidth="1"/>
    <col min="7429" max="7429" width="12" style="59" customWidth="1"/>
    <col min="7430" max="7433" width="9.140625" style="59"/>
    <col min="7434" max="7434" width="9.42578125" style="59" customWidth="1"/>
    <col min="7435" max="7680" width="9.140625" style="59"/>
    <col min="7681" max="7681" width="30.85546875" style="59" customWidth="1"/>
    <col min="7682" max="7682" width="9.140625" style="59" customWidth="1"/>
    <col min="7683" max="7683" width="9.7109375" style="59" customWidth="1"/>
    <col min="7684" max="7684" width="15.140625" style="59" customWidth="1"/>
    <col min="7685" max="7685" width="12" style="59" customWidth="1"/>
    <col min="7686" max="7689" width="9.140625" style="59"/>
    <col min="7690" max="7690" width="9.42578125" style="59" customWidth="1"/>
    <col min="7691" max="7936" width="9.140625" style="59"/>
    <col min="7937" max="7937" width="30.85546875" style="59" customWidth="1"/>
    <col min="7938" max="7938" width="9.140625" style="59" customWidth="1"/>
    <col min="7939" max="7939" width="9.7109375" style="59" customWidth="1"/>
    <col min="7940" max="7940" width="15.140625" style="59" customWidth="1"/>
    <col min="7941" max="7941" width="12" style="59" customWidth="1"/>
    <col min="7942" max="7945" width="9.140625" style="59"/>
    <col min="7946" max="7946" width="9.42578125" style="59" customWidth="1"/>
    <col min="7947" max="8192" width="9.140625" style="59"/>
    <col min="8193" max="8193" width="30.85546875" style="59" customWidth="1"/>
    <col min="8194" max="8194" width="9.140625" style="59" customWidth="1"/>
    <col min="8195" max="8195" width="9.7109375" style="59" customWidth="1"/>
    <col min="8196" max="8196" width="15.140625" style="59" customWidth="1"/>
    <col min="8197" max="8197" width="12" style="59" customWidth="1"/>
    <col min="8198" max="8201" width="9.140625" style="59"/>
    <col min="8202" max="8202" width="9.42578125" style="59" customWidth="1"/>
    <col min="8203" max="8448" width="9.140625" style="59"/>
    <col min="8449" max="8449" width="30.85546875" style="59" customWidth="1"/>
    <col min="8450" max="8450" width="9.140625" style="59" customWidth="1"/>
    <col min="8451" max="8451" width="9.7109375" style="59" customWidth="1"/>
    <col min="8452" max="8452" width="15.140625" style="59" customWidth="1"/>
    <col min="8453" max="8453" width="12" style="59" customWidth="1"/>
    <col min="8454" max="8457" width="9.140625" style="59"/>
    <col min="8458" max="8458" width="9.42578125" style="59" customWidth="1"/>
    <col min="8459" max="8704" width="9.140625" style="59"/>
    <col min="8705" max="8705" width="30.85546875" style="59" customWidth="1"/>
    <col min="8706" max="8706" width="9.140625" style="59" customWidth="1"/>
    <col min="8707" max="8707" width="9.7109375" style="59" customWidth="1"/>
    <col min="8708" max="8708" width="15.140625" style="59" customWidth="1"/>
    <col min="8709" max="8709" width="12" style="59" customWidth="1"/>
    <col min="8710" max="8713" width="9.140625" style="59"/>
    <col min="8714" max="8714" width="9.42578125" style="59" customWidth="1"/>
    <col min="8715" max="8960" width="9.140625" style="59"/>
    <col min="8961" max="8961" width="30.85546875" style="59" customWidth="1"/>
    <col min="8962" max="8962" width="9.140625" style="59" customWidth="1"/>
    <col min="8963" max="8963" width="9.7109375" style="59" customWidth="1"/>
    <col min="8964" max="8964" width="15.140625" style="59" customWidth="1"/>
    <col min="8965" max="8965" width="12" style="59" customWidth="1"/>
    <col min="8966" max="8969" width="9.140625" style="59"/>
    <col min="8970" max="8970" width="9.42578125" style="59" customWidth="1"/>
    <col min="8971" max="9216" width="9.140625" style="59"/>
    <col min="9217" max="9217" width="30.85546875" style="59" customWidth="1"/>
    <col min="9218" max="9218" width="9.140625" style="59" customWidth="1"/>
    <col min="9219" max="9219" width="9.7109375" style="59" customWidth="1"/>
    <col min="9220" max="9220" width="15.140625" style="59" customWidth="1"/>
    <col min="9221" max="9221" width="12" style="59" customWidth="1"/>
    <col min="9222" max="9225" width="9.140625" style="59"/>
    <col min="9226" max="9226" width="9.42578125" style="59" customWidth="1"/>
    <col min="9227" max="9472" width="9.140625" style="59"/>
    <col min="9473" max="9473" width="30.85546875" style="59" customWidth="1"/>
    <col min="9474" max="9474" width="9.140625" style="59" customWidth="1"/>
    <col min="9475" max="9475" width="9.7109375" style="59" customWidth="1"/>
    <col min="9476" max="9476" width="15.140625" style="59" customWidth="1"/>
    <col min="9477" max="9477" width="12" style="59" customWidth="1"/>
    <col min="9478" max="9481" width="9.140625" style="59"/>
    <col min="9482" max="9482" width="9.42578125" style="59" customWidth="1"/>
    <col min="9483" max="9728" width="9.140625" style="59"/>
    <col min="9729" max="9729" width="30.85546875" style="59" customWidth="1"/>
    <col min="9730" max="9730" width="9.140625" style="59" customWidth="1"/>
    <col min="9731" max="9731" width="9.7109375" style="59" customWidth="1"/>
    <col min="9732" max="9732" width="15.140625" style="59" customWidth="1"/>
    <col min="9733" max="9733" width="12" style="59" customWidth="1"/>
    <col min="9734" max="9737" width="9.140625" style="59"/>
    <col min="9738" max="9738" width="9.42578125" style="59" customWidth="1"/>
    <col min="9739" max="9984" width="9.140625" style="59"/>
    <col min="9985" max="9985" width="30.85546875" style="59" customWidth="1"/>
    <col min="9986" max="9986" width="9.140625" style="59" customWidth="1"/>
    <col min="9987" max="9987" width="9.7109375" style="59" customWidth="1"/>
    <col min="9988" max="9988" width="15.140625" style="59" customWidth="1"/>
    <col min="9989" max="9989" width="12" style="59" customWidth="1"/>
    <col min="9990" max="9993" width="9.140625" style="59"/>
    <col min="9994" max="9994" width="9.42578125" style="59" customWidth="1"/>
    <col min="9995" max="10240" width="9.140625" style="59"/>
    <col min="10241" max="10241" width="30.85546875" style="59" customWidth="1"/>
    <col min="10242" max="10242" width="9.140625" style="59" customWidth="1"/>
    <col min="10243" max="10243" width="9.7109375" style="59" customWidth="1"/>
    <col min="10244" max="10244" width="15.140625" style="59" customWidth="1"/>
    <col min="10245" max="10245" width="12" style="59" customWidth="1"/>
    <col min="10246" max="10249" width="9.140625" style="59"/>
    <col min="10250" max="10250" width="9.42578125" style="59" customWidth="1"/>
    <col min="10251" max="10496" width="9.140625" style="59"/>
    <col min="10497" max="10497" width="30.85546875" style="59" customWidth="1"/>
    <col min="10498" max="10498" width="9.140625" style="59" customWidth="1"/>
    <col min="10499" max="10499" width="9.7109375" style="59" customWidth="1"/>
    <col min="10500" max="10500" width="15.140625" style="59" customWidth="1"/>
    <col min="10501" max="10501" width="12" style="59" customWidth="1"/>
    <col min="10502" max="10505" width="9.140625" style="59"/>
    <col min="10506" max="10506" width="9.42578125" style="59" customWidth="1"/>
    <col min="10507" max="10752" width="9.140625" style="59"/>
    <col min="10753" max="10753" width="30.85546875" style="59" customWidth="1"/>
    <col min="10754" max="10754" width="9.140625" style="59" customWidth="1"/>
    <col min="10755" max="10755" width="9.7109375" style="59" customWidth="1"/>
    <col min="10756" max="10756" width="15.140625" style="59" customWidth="1"/>
    <col min="10757" max="10757" width="12" style="59" customWidth="1"/>
    <col min="10758" max="10761" width="9.140625" style="59"/>
    <col min="10762" max="10762" width="9.42578125" style="59" customWidth="1"/>
    <col min="10763" max="11008" width="9.140625" style="59"/>
    <col min="11009" max="11009" width="30.85546875" style="59" customWidth="1"/>
    <col min="11010" max="11010" width="9.140625" style="59" customWidth="1"/>
    <col min="11011" max="11011" width="9.7109375" style="59" customWidth="1"/>
    <col min="11012" max="11012" width="15.140625" style="59" customWidth="1"/>
    <col min="11013" max="11013" width="12" style="59" customWidth="1"/>
    <col min="11014" max="11017" width="9.140625" style="59"/>
    <col min="11018" max="11018" width="9.42578125" style="59" customWidth="1"/>
    <col min="11019" max="11264" width="9.140625" style="59"/>
    <col min="11265" max="11265" width="30.85546875" style="59" customWidth="1"/>
    <col min="11266" max="11266" width="9.140625" style="59" customWidth="1"/>
    <col min="11267" max="11267" width="9.7109375" style="59" customWidth="1"/>
    <col min="11268" max="11268" width="15.140625" style="59" customWidth="1"/>
    <col min="11269" max="11269" width="12" style="59" customWidth="1"/>
    <col min="11270" max="11273" width="9.140625" style="59"/>
    <col min="11274" max="11274" width="9.42578125" style="59" customWidth="1"/>
    <col min="11275" max="11520" width="9.140625" style="59"/>
    <col min="11521" max="11521" width="30.85546875" style="59" customWidth="1"/>
    <col min="11522" max="11522" width="9.140625" style="59" customWidth="1"/>
    <col min="11523" max="11523" width="9.7109375" style="59" customWidth="1"/>
    <col min="11524" max="11524" width="15.140625" style="59" customWidth="1"/>
    <col min="11525" max="11525" width="12" style="59" customWidth="1"/>
    <col min="11526" max="11529" width="9.140625" style="59"/>
    <col min="11530" max="11530" width="9.42578125" style="59" customWidth="1"/>
    <col min="11531" max="11776" width="9.140625" style="59"/>
    <col min="11777" max="11777" width="30.85546875" style="59" customWidth="1"/>
    <col min="11778" max="11778" width="9.140625" style="59" customWidth="1"/>
    <col min="11779" max="11779" width="9.7109375" style="59" customWidth="1"/>
    <col min="11780" max="11780" width="15.140625" style="59" customWidth="1"/>
    <col min="11781" max="11781" width="12" style="59" customWidth="1"/>
    <col min="11782" max="11785" width="9.140625" style="59"/>
    <col min="11786" max="11786" width="9.42578125" style="59" customWidth="1"/>
    <col min="11787" max="12032" width="9.140625" style="59"/>
    <col min="12033" max="12033" width="30.85546875" style="59" customWidth="1"/>
    <col min="12034" max="12034" width="9.140625" style="59" customWidth="1"/>
    <col min="12035" max="12035" width="9.7109375" style="59" customWidth="1"/>
    <col min="12036" max="12036" width="15.140625" style="59" customWidth="1"/>
    <col min="12037" max="12037" width="12" style="59" customWidth="1"/>
    <col min="12038" max="12041" width="9.140625" style="59"/>
    <col min="12042" max="12042" width="9.42578125" style="59" customWidth="1"/>
    <col min="12043" max="12288" width="9.140625" style="59"/>
    <col min="12289" max="12289" width="30.85546875" style="59" customWidth="1"/>
    <col min="12290" max="12290" width="9.140625" style="59" customWidth="1"/>
    <col min="12291" max="12291" width="9.7109375" style="59" customWidth="1"/>
    <col min="12292" max="12292" width="15.140625" style="59" customWidth="1"/>
    <col min="12293" max="12293" width="12" style="59" customWidth="1"/>
    <col min="12294" max="12297" width="9.140625" style="59"/>
    <col min="12298" max="12298" width="9.42578125" style="59" customWidth="1"/>
    <col min="12299" max="12544" width="9.140625" style="59"/>
    <col min="12545" max="12545" width="30.85546875" style="59" customWidth="1"/>
    <col min="12546" max="12546" width="9.140625" style="59" customWidth="1"/>
    <col min="12547" max="12547" width="9.7109375" style="59" customWidth="1"/>
    <col min="12548" max="12548" width="15.140625" style="59" customWidth="1"/>
    <col min="12549" max="12549" width="12" style="59" customWidth="1"/>
    <col min="12550" max="12553" width="9.140625" style="59"/>
    <col min="12554" max="12554" width="9.42578125" style="59" customWidth="1"/>
    <col min="12555" max="12800" width="9.140625" style="59"/>
    <col min="12801" max="12801" width="30.85546875" style="59" customWidth="1"/>
    <col min="12802" max="12802" width="9.140625" style="59" customWidth="1"/>
    <col min="12803" max="12803" width="9.7109375" style="59" customWidth="1"/>
    <col min="12804" max="12804" width="15.140625" style="59" customWidth="1"/>
    <col min="12805" max="12805" width="12" style="59" customWidth="1"/>
    <col min="12806" max="12809" width="9.140625" style="59"/>
    <col min="12810" max="12810" width="9.42578125" style="59" customWidth="1"/>
    <col min="12811" max="13056" width="9.140625" style="59"/>
    <col min="13057" max="13057" width="30.85546875" style="59" customWidth="1"/>
    <col min="13058" max="13058" width="9.140625" style="59" customWidth="1"/>
    <col min="13059" max="13059" width="9.7109375" style="59" customWidth="1"/>
    <col min="13060" max="13060" width="15.140625" style="59" customWidth="1"/>
    <col min="13061" max="13061" width="12" style="59" customWidth="1"/>
    <col min="13062" max="13065" width="9.140625" style="59"/>
    <col min="13066" max="13066" width="9.42578125" style="59" customWidth="1"/>
    <col min="13067" max="13312" width="9.140625" style="59"/>
    <col min="13313" max="13313" width="30.85546875" style="59" customWidth="1"/>
    <col min="13314" max="13314" width="9.140625" style="59" customWidth="1"/>
    <col min="13315" max="13315" width="9.7109375" style="59" customWidth="1"/>
    <col min="13316" max="13316" width="15.140625" style="59" customWidth="1"/>
    <col min="13317" max="13317" width="12" style="59" customWidth="1"/>
    <col min="13318" max="13321" width="9.140625" style="59"/>
    <col min="13322" max="13322" width="9.42578125" style="59" customWidth="1"/>
    <col min="13323" max="13568" width="9.140625" style="59"/>
    <col min="13569" max="13569" width="30.85546875" style="59" customWidth="1"/>
    <col min="13570" max="13570" width="9.140625" style="59" customWidth="1"/>
    <col min="13571" max="13571" width="9.7109375" style="59" customWidth="1"/>
    <col min="13572" max="13572" width="15.140625" style="59" customWidth="1"/>
    <col min="13573" max="13573" width="12" style="59" customWidth="1"/>
    <col min="13574" max="13577" width="9.140625" style="59"/>
    <col min="13578" max="13578" width="9.42578125" style="59" customWidth="1"/>
    <col min="13579" max="13824" width="9.140625" style="59"/>
    <col min="13825" max="13825" width="30.85546875" style="59" customWidth="1"/>
    <col min="13826" max="13826" width="9.140625" style="59" customWidth="1"/>
    <col min="13827" max="13827" width="9.7109375" style="59" customWidth="1"/>
    <col min="13828" max="13828" width="15.140625" style="59" customWidth="1"/>
    <col min="13829" max="13829" width="12" style="59" customWidth="1"/>
    <col min="13830" max="13833" width="9.140625" style="59"/>
    <col min="13834" max="13834" width="9.42578125" style="59" customWidth="1"/>
    <col min="13835" max="14080" width="9.140625" style="59"/>
    <col min="14081" max="14081" width="30.85546875" style="59" customWidth="1"/>
    <col min="14082" max="14082" width="9.140625" style="59" customWidth="1"/>
    <col min="14083" max="14083" width="9.7109375" style="59" customWidth="1"/>
    <col min="14084" max="14084" width="15.140625" style="59" customWidth="1"/>
    <col min="14085" max="14085" width="12" style="59" customWidth="1"/>
    <col min="14086" max="14089" width="9.140625" style="59"/>
    <col min="14090" max="14090" width="9.42578125" style="59" customWidth="1"/>
    <col min="14091" max="14336" width="9.140625" style="59"/>
    <col min="14337" max="14337" width="30.85546875" style="59" customWidth="1"/>
    <col min="14338" max="14338" width="9.140625" style="59" customWidth="1"/>
    <col min="14339" max="14339" width="9.7109375" style="59" customWidth="1"/>
    <col min="14340" max="14340" width="15.140625" style="59" customWidth="1"/>
    <col min="14341" max="14341" width="12" style="59" customWidth="1"/>
    <col min="14342" max="14345" width="9.140625" style="59"/>
    <col min="14346" max="14346" width="9.42578125" style="59" customWidth="1"/>
    <col min="14347" max="14592" width="9.140625" style="59"/>
    <col min="14593" max="14593" width="30.85546875" style="59" customWidth="1"/>
    <col min="14594" max="14594" width="9.140625" style="59" customWidth="1"/>
    <col min="14595" max="14595" width="9.7109375" style="59" customWidth="1"/>
    <col min="14596" max="14596" width="15.140625" style="59" customWidth="1"/>
    <col min="14597" max="14597" width="12" style="59" customWidth="1"/>
    <col min="14598" max="14601" width="9.140625" style="59"/>
    <col min="14602" max="14602" width="9.42578125" style="59" customWidth="1"/>
    <col min="14603" max="14848" width="9.140625" style="59"/>
    <col min="14849" max="14849" width="30.85546875" style="59" customWidth="1"/>
    <col min="14850" max="14850" width="9.140625" style="59" customWidth="1"/>
    <col min="14851" max="14851" width="9.7109375" style="59" customWidth="1"/>
    <col min="14852" max="14852" width="15.140625" style="59" customWidth="1"/>
    <col min="14853" max="14853" width="12" style="59" customWidth="1"/>
    <col min="14854" max="14857" width="9.140625" style="59"/>
    <col min="14858" max="14858" width="9.42578125" style="59" customWidth="1"/>
    <col min="14859" max="15104" width="9.140625" style="59"/>
    <col min="15105" max="15105" width="30.85546875" style="59" customWidth="1"/>
    <col min="15106" max="15106" width="9.140625" style="59" customWidth="1"/>
    <col min="15107" max="15107" width="9.7109375" style="59" customWidth="1"/>
    <col min="15108" max="15108" width="15.140625" style="59" customWidth="1"/>
    <col min="15109" max="15109" width="12" style="59" customWidth="1"/>
    <col min="15110" max="15113" width="9.140625" style="59"/>
    <col min="15114" max="15114" width="9.42578125" style="59" customWidth="1"/>
    <col min="15115" max="15360" width="9.140625" style="59"/>
    <col min="15361" max="15361" width="30.85546875" style="59" customWidth="1"/>
    <col min="15362" max="15362" width="9.140625" style="59" customWidth="1"/>
    <col min="15363" max="15363" width="9.7109375" style="59" customWidth="1"/>
    <col min="15364" max="15364" width="15.140625" style="59" customWidth="1"/>
    <col min="15365" max="15365" width="12" style="59" customWidth="1"/>
    <col min="15366" max="15369" width="9.140625" style="59"/>
    <col min="15370" max="15370" width="9.42578125" style="59" customWidth="1"/>
    <col min="15371" max="15616" width="9.140625" style="59"/>
    <col min="15617" max="15617" width="30.85546875" style="59" customWidth="1"/>
    <col min="15618" max="15618" width="9.140625" style="59" customWidth="1"/>
    <col min="15619" max="15619" width="9.7109375" style="59" customWidth="1"/>
    <col min="15620" max="15620" width="15.140625" style="59" customWidth="1"/>
    <col min="15621" max="15621" width="12" style="59" customWidth="1"/>
    <col min="15622" max="15625" width="9.140625" style="59"/>
    <col min="15626" max="15626" width="9.42578125" style="59" customWidth="1"/>
    <col min="15627" max="15872" width="9.140625" style="59"/>
    <col min="15873" max="15873" width="30.85546875" style="59" customWidth="1"/>
    <col min="15874" max="15874" width="9.140625" style="59" customWidth="1"/>
    <col min="15875" max="15875" width="9.7109375" style="59" customWidth="1"/>
    <col min="15876" max="15876" width="15.140625" style="59" customWidth="1"/>
    <col min="15877" max="15877" width="12" style="59" customWidth="1"/>
    <col min="15878" max="15881" width="9.140625" style="59"/>
    <col min="15882" max="15882" width="9.42578125" style="59" customWidth="1"/>
    <col min="15883" max="16128" width="9.140625" style="59"/>
    <col min="16129" max="16129" width="30.85546875" style="59" customWidth="1"/>
    <col min="16130" max="16130" width="9.140625" style="59" customWidth="1"/>
    <col min="16131" max="16131" width="9.7109375" style="59" customWidth="1"/>
    <col min="16132" max="16132" width="15.140625" style="59" customWidth="1"/>
    <col min="16133" max="16133" width="12" style="59" customWidth="1"/>
    <col min="16134" max="16137" width="9.140625" style="59"/>
    <col min="16138" max="16138" width="9.42578125" style="59" customWidth="1"/>
    <col min="16139" max="16384" width="9.140625" style="59"/>
  </cols>
  <sheetData>
    <row r="1" spans="1:6" s="56" customFormat="1" x14ac:dyDescent="0.25">
      <c r="A1" s="54" t="str">
        <f>[2]SharedInputs!B4</f>
        <v>AVISTA UTILITIES</v>
      </c>
      <c r="B1" s="54"/>
      <c r="C1" s="54"/>
      <c r="D1" s="54"/>
      <c r="E1" s="55"/>
      <c r="F1" s="54"/>
    </row>
    <row r="2" spans="1:6" s="56" customFormat="1" x14ac:dyDescent="0.25">
      <c r="A2" s="54" t="s">
        <v>72</v>
      </c>
      <c r="B2" s="54"/>
      <c r="C2" s="54"/>
      <c r="D2" s="54"/>
      <c r="E2" s="57"/>
      <c r="F2" s="54"/>
    </row>
    <row r="3" spans="1:6" s="56" customFormat="1" x14ac:dyDescent="0.25">
      <c r="A3" s="54" t="s">
        <v>135</v>
      </c>
      <c r="B3" s="54"/>
      <c r="C3" s="54"/>
      <c r="D3" s="54"/>
      <c r="E3" s="54"/>
      <c r="F3" s="54"/>
    </row>
    <row r="4" spans="1:6" x14ac:dyDescent="0.25">
      <c r="A4" s="181" t="s">
        <v>136</v>
      </c>
      <c r="B4" s="58"/>
      <c r="C4" s="58"/>
      <c r="E4" s="58"/>
      <c r="F4" s="58"/>
    </row>
    <row r="5" spans="1:6" x14ac:dyDescent="0.25">
      <c r="A5" s="58"/>
      <c r="B5" s="58"/>
      <c r="C5" s="58"/>
      <c r="E5" s="58"/>
      <c r="F5" s="58"/>
    </row>
    <row r="6" spans="1:6" x14ac:dyDescent="0.25">
      <c r="A6" s="58" t="s">
        <v>73</v>
      </c>
      <c r="B6" s="58"/>
      <c r="C6" s="58"/>
      <c r="E6" s="58">
        <v>1</v>
      </c>
      <c r="F6" s="58"/>
    </row>
    <row r="7" spans="1:6" x14ac:dyDescent="0.25">
      <c r="A7" s="58"/>
      <c r="B7" s="58"/>
      <c r="C7" s="58"/>
      <c r="E7" s="58"/>
      <c r="F7" s="58"/>
    </row>
    <row r="8" spans="1:6" x14ac:dyDescent="0.25">
      <c r="A8" s="58" t="s">
        <v>48</v>
      </c>
      <c r="B8" s="58"/>
      <c r="C8" s="58"/>
      <c r="E8" s="58"/>
      <c r="F8" s="58"/>
    </row>
    <row r="9" spans="1:6" x14ac:dyDescent="0.25">
      <c r="A9" s="58"/>
      <c r="B9" s="58"/>
      <c r="C9" s="58"/>
      <c r="E9" s="58"/>
      <c r="F9" s="58"/>
    </row>
    <row r="10" spans="1:6" x14ac:dyDescent="0.25">
      <c r="A10" s="58" t="s">
        <v>74</v>
      </c>
      <c r="B10" s="58"/>
      <c r="C10" s="58"/>
      <c r="E10" s="58">
        <v>3.3262888499492435E-3</v>
      </c>
      <c r="F10" s="58"/>
    </row>
    <row r="11" spans="1:6" x14ac:dyDescent="0.25">
      <c r="A11" s="58"/>
      <c r="B11" s="58"/>
      <c r="C11" s="58"/>
      <c r="E11" s="58"/>
      <c r="F11" s="58"/>
    </row>
    <row r="12" spans="1:6" x14ac:dyDescent="0.25">
      <c r="A12" s="58" t="s">
        <v>75</v>
      </c>
      <c r="B12" s="58"/>
      <c r="C12" s="58"/>
      <c r="E12" s="58">
        <v>2E-3</v>
      </c>
      <c r="F12" s="58"/>
    </row>
    <row r="13" spans="1:6" x14ac:dyDescent="0.25">
      <c r="A13" s="58"/>
      <c r="B13" s="58"/>
      <c r="C13" s="58"/>
      <c r="E13" s="58"/>
      <c r="F13" s="58"/>
    </row>
    <row r="14" spans="1:6" x14ac:dyDescent="0.25">
      <c r="A14" s="58" t="s">
        <v>76</v>
      </c>
      <c r="B14" s="58"/>
      <c r="C14" s="58"/>
      <c r="E14" s="58">
        <v>3.8605159527686062E-2</v>
      </c>
      <c r="F14" s="58"/>
    </row>
    <row r="15" spans="1:6" x14ac:dyDescent="0.25">
      <c r="A15" s="58"/>
      <c r="B15" s="58"/>
      <c r="C15" s="58"/>
      <c r="E15" s="58"/>
      <c r="F15" s="58"/>
    </row>
    <row r="16" spans="1:6" x14ac:dyDescent="0.25">
      <c r="A16" s="58"/>
      <c r="B16" s="58"/>
      <c r="C16" s="58"/>
      <c r="E16" s="58"/>
    </row>
    <row r="17" spans="1:11" x14ac:dyDescent="0.25">
      <c r="A17" s="58" t="s">
        <v>49</v>
      </c>
      <c r="B17" s="58"/>
      <c r="C17" s="58"/>
      <c r="E17" s="60">
        <f>SUM(E9:E15)</f>
        <v>4.3931448377635303E-2</v>
      </c>
      <c r="F17" s="58"/>
      <c r="K17" s="61"/>
    </row>
    <row r="18" spans="1:11" ht="15.75" thickBot="1" x14ac:dyDescent="0.3">
      <c r="A18" s="58"/>
      <c r="B18" s="58"/>
      <c r="C18" s="58"/>
      <c r="E18" s="58"/>
    </row>
    <row r="19" spans="1:11" ht="15.75" thickBot="1" x14ac:dyDescent="0.3">
      <c r="A19" s="58" t="s">
        <v>50</v>
      </c>
      <c r="B19" s="58"/>
      <c r="C19" s="58"/>
      <c r="E19" s="182">
        <f>E6-E17</f>
        <v>0.9560685516223647</v>
      </c>
      <c r="F19" s="58"/>
    </row>
    <row r="20" spans="1:11" x14ac:dyDescent="0.25">
      <c r="A20" s="58"/>
      <c r="B20" s="58"/>
      <c r="C20" s="58"/>
      <c r="E20" s="58"/>
      <c r="F20" s="58"/>
    </row>
    <row r="21" spans="1:11" x14ac:dyDescent="0.25">
      <c r="A21" s="58" t="s">
        <v>77</v>
      </c>
      <c r="B21" s="76">
        <v>0.21</v>
      </c>
      <c r="C21" s="62"/>
      <c r="E21" s="58">
        <f>E19*$B$21</f>
        <v>0.20077439584069659</v>
      </c>
      <c r="F21" s="58"/>
    </row>
    <row r="22" spans="1:11" x14ac:dyDescent="0.25">
      <c r="A22" s="58"/>
      <c r="B22" s="58"/>
      <c r="C22" s="58"/>
      <c r="E22" s="58"/>
      <c r="F22" s="58"/>
    </row>
    <row r="23" spans="1:11" x14ac:dyDescent="0.25">
      <c r="A23" s="58" t="s">
        <v>47</v>
      </c>
      <c r="B23" s="58"/>
      <c r="C23" s="58"/>
      <c r="E23" s="60">
        <f>E19-E21</f>
        <v>0.75529415578166814</v>
      </c>
      <c r="F23" s="58"/>
    </row>
    <row r="24" spans="1:11" x14ac:dyDescent="0.25">
      <c r="A24" s="58"/>
      <c r="B24" s="58"/>
      <c r="C24" s="58"/>
      <c r="E24" s="58"/>
      <c r="F24" s="58"/>
    </row>
    <row r="25" spans="1:11" x14ac:dyDescent="0.25">
      <c r="A25" s="58"/>
      <c r="B25" s="58"/>
      <c r="C25" s="58"/>
      <c r="E25" s="58"/>
      <c r="F25" s="58"/>
    </row>
    <row r="26" spans="1:11" x14ac:dyDescent="0.25">
      <c r="A26" s="58"/>
      <c r="B26" s="58"/>
      <c r="C26" s="58"/>
      <c r="D26" s="58"/>
      <c r="E26" s="58"/>
      <c r="F26" s="58"/>
    </row>
    <row r="31" spans="1:11" x14ac:dyDescent="0.25">
      <c r="G31" s="69"/>
    </row>
    <row r="39" spans="2:3" x14ac:dyDescent="0.25">
      <c r="B39" s="67"/>
    </row>
    <row r="40" spans="2:3" x14ac:dyDescent="0.25">
      <c r="C40" s="63"/>
    </row>
    <row r="41" spans="2:3" x14ac:dyDescent="0.25">
      <c r="C41" s="65"/>
    </row>
    <row r="42" spans="2:3" x14ac:dyDescent="0.25">
      <c r="C42" s="65"/>
    </row>
    <row r="47" spans="2:3" x14ac:dyDescent="0.25">
      <c r="B47" s="59" t="s">
        <v>79</v>
      </c>
    </row>
  </sheetData>
  <pageMargins left="0.7" right="0.7" top="0.75" bottom="0.75" header="0.3" footer="0.3"/>
  <pageSetup scale="99" orientation="portrait" r:id="rId1"/>
  <headerFooter>
    <oddFooter>&amp;L&amp;F&amp;RPage: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P37"/>
  <sheetViews>
    <sheetView showGridLines="0" workbookViewId="0">
      <selection activeCell="D12" sqref="D12"/>
    </sheetView>
  </sheetViews>
  <sheetFormatPr defaultColWidth="9.140625" defaultRowHeight="12.75" x14ac:dyDescent="0.2"/>
  <cols>
    <col min="1" max="1" width="9.140625" style="119"/>
    <col min="2" max="2" width="22.85546875" style="119" customWidth="1"/>
    <col min="3" max="3" width="10.85546875" style="119" customWidth="1"/>
    <col min="4" max="4" width="10.42578125" style="119" customWidth="1"/>
    <col min="5" max="5" width="13.85546875" style="119" customWidth="1"/>
    <col min="6" max="6" width="9.140625" style="119"/>
    <col min="7" max="7" width="12.28515625" style="119" customWidth="1"/>
    <col min="8" max="8" width="32" style="119" customWidth="1"/>
    <col min="9" max="9" width="15.42578125" style="119" customWidth="1"/>
    <col min="10" max="10" width="18.5703125" style="119" customWidth="1"/>
    <col min="11" max="11" width="16.42578125" style="119" customWidth="1"/>
    <col min="12" max="12" width="9.140625" style="119"/>
    <col min="13" max="13" width="20.140625" style="119" customWidth="1"/>
    <col min="14" max="16" width="10.42578125" style="119" customWidth="1"/>
    <col min="17" max="16384" width="9.140625" style="119"/>
  </cols>
  <sheetData>
    <row r="2" spans="2:10" ht="30" x14ac:dyDescent="0.25">
      <c r="B2" s="151" t="s">
        <v>173</v>
      </c>
      <c r="C2" s="140" t="s">
        <v>171</v>
      </c>
      <c r="D2" s="140" t="s">
        <v>163</v>
      </c>
      <c r="E2" s="150" t="s">
        <v>172</v>
      </c>
      <c r="F2" s="117"/>
      <c r="G2" s="115" t="s">
        <v>87</v>
      </c>
      <c r="H2" s="118" t="s">
        <v>92</v>
      </c>
      <c r="I2" s="116" t="s">
        <v>164</v>
      </c>
    </row>
    <row r="3" spans="2:10" ht="15" x14ac:dyDescent="0.25">
      <c r="B3" s="152" t="s">
        <v>66</v>
      </c>
      <c r="C3" s="156">
        <v>9</v>
      </c>
      <c r="D3" s="159">
        <v>0</v>
      </c>
      <c r="E3" s="153">
        <f>C3</f>
        <v>9</v>
      </c>
      <c r="F3" s="117"/>
      <c r="G3" s="120" t="s">
        <v>88</v>
      </c>
      <c r="H3" s="121" t="s">
        <v>93</v>
      </c>
      <c r="I3" s="122">
        <f>'Rate Design'!D30</f>
        <v>5.9787522665251162E-2</v>
      </c>
    </row>
    <row r="4" spans="2:10" ht="15" x14ac:dyDescent="0.25">
      <c r="B4" s="152" t="s">
        <v>84</v>
      </c>
      <c r="C4" s="162">
        <v>8.3549999999999999E-2</v>
      </c>
      <c r="D4" s="157">
        <f>ROUND('Rate Design'!D23,5)</f>
        <v>6.0099999999999997E-3</v>
      </c>
      <c r="E4" s="154">
        <f>C4+D4</f>
        <v>8.9560000000000001E-2</v>
      </c>
      <c r="F4" s="117"/>
      <c r="G4" s="123" t="s">
        <v>89</v>
      </c>
      <c r="H4" s="121" t="s">
        <v>94</v>
      </c>
      <c r="I4" s="122">
        <f>'Rate Design'!E30</f>
        <v>4.2590748589448245E-2</v>
      </c>
    </row>
    <row r="5" spans="2:10" ht="15" x14ac:dyDescent="0.25">
      <c r="B5" s="152" t="s">
        <v>85</v>
      </c>
      <c r="C5" s="162">
        <v>9.8360000000000003E-2</v>
      </c>
      <c r="D5" s="157">
        <f>D4</f>
        <v>6.0099999999999997E-3</v>
      </c>
      <c r="E5" s="154">
        <f>C5+D5</f>
        <v>0.10437</v>
      </c>
      <c r="F5" s="117"/>
      <c r="G5" s="123" t="s">
        <v>90</v>
      </c>
      <c r="H5" s="121" t="s">
        <v>95</v>
      </c>
      <c r="I5" s="122">
        <f>'Rate Design'!F30</f>
        <v>5.7947407260218832E-2</v>
      </c>
    </row>
    <row r="6" spans="2:10" ht="15" x14ac:dyDescent="0.25">
      <c r="B6" s="114" t="s">
        <v>86</v>
      </c>
      <c r="C6" s="163">
        <v>0.11656999999999999</v>
      </c>
      <c r="D6" s="158">
        <f>D5</f>
        <v>6.0099999999999997E-3</v>
      </c>
      <c r="E6" s="155">
        <f>D6+C6</f>
        <v>0.12257999999999999</v>
      </c>
      <c r="F6" s="117"/>
      <c r="G6" s="123" t="s">
        <v>170</v>
      </c>
      <c r="H6" s="121" t="s">
        <v>97</v>
      </c>
      <c r="I6" s="122">
        <f>'Rate Design'!G30</f>
        <v>9.0776916075445122E-2</v>
      </c>
    </row>
    <row r="7" spans="2:10" ht="15" x14ac:dyDescent="0.25">
      <c r="B7" s="117"/>
      <c r="C7" s="117"/>
      <c r="D7" s="117"/>
      <c r="E7" s="117"/>
      <c r="F7" s="117"/>
      <c r="G7" s="123" t="s">
        <v>91</v>
      </c>
      <c r="H7" s="121" t="s">
        <v>96</v>
      </c>
      <c r="I7" s="122">
        <f>'Rate Design'!H30</f>
        <v>7.0451372132712201E-2</v>
      </c>
    </row>
    <row r="8" spans="2:10" ht="15" x14ac:dyDescent="0.25">
      <c r="F8" s="117"/>
      <c r="G8" s="123" t="s">
        <v>98</v>
      </c>
      <c r="H8" s="121" t="s">
        <v>99</v>
      </c>
      <c r="I8" s="122">
        <f>'Rate Design'!I30</f>
        <v>1.4017427308842595E-2</v>
      </c>
    </row>
    <row r="9" spans="2:10" ht="15" x14ac:dyDescent="0.25">
      <c r="F9" s="117"/>
      <c r="G9" s="124"/>
      <c r="H9" s="125" t="s">
        <v>100</v>
      </c>
      <c r="I9" s="126">
        <f>'Rate Design'!C30</f>
        <v>5.9938240949569489E-2</v>
      </c>
    </row>
    <row r="10" spans="2:10" ht="15" x14ac:dyDescent="0.25">
      <c r="F10" s="117"/>
      <c r="G10" s="117"/>
      <c r="H10" s="117"/>
      <c r="I10" s="117"/>
    </row>
    <row r="11" spans="2:10" ht="15" x14ac:dyDescent="0.25">
      <c r="F11" s="117"/>
      <c r="G11" s="160" t="s">
        <v>131</v>
      </c>
    </row>
    <row r="12" spans="2:10" ht="45" x14ac:dyDescent="0.25">
      <c r="F12" s="117"/>
      <c r="G12" s="140" t="s">
        <v>87</v>
      </c>
      <c r="H12" s="141" t="s">
        <v>92</v>
      </c>
      <c r="I12" s="140" t="s">
        <v>165</v>
      </c>
      <c r="J12" s="150" t="s">
        <v>166</v>
      </c>
    </row>
    <row r="13" spans="2:10" ht="15" x14ac:dyDescent="0.25">
      <c r="E13" s="117"/>
      <c r="F13" s="117"/>
      <c r="G13" s="145" t="s">
        <v>88</v>
      </c>
      <c r="H13" s="147" t="s">
        <v>93</v>
      </c>
      <c r="I13" s="148">
        <f>'Rate Design'!D32</f>
        <v>5.9787522665251162E-2</v>
      </c>
      <c r="J13" s="139">
        <f>'Rate Design'!D31</f>
        <v>15394629.423552856</v>
      </c>
    </row>
    <row r="14" spans="2:10" ht="15" x14ac:dyDescent="0.25">
      <c r="E14" s="117"/>
      <c r="F14" s="117"/>
      <c r="G14" s="146" t="s">
        <v>89</v>
      </c>
      <c r="H14" s="147" t="s">
        <v>94</v>
      </c>
      <c r="I14" s="148">
        <f>'Rate Design'!E32</f>
        <v>4.2590748589448245E-2</v>
      </c>
      <c r="J14" s="139">
        <f>'Rate Design'!E31</f>
        <v>3909958.4927571174</v>
      </c>
    </row>
    <row r="15" spans="2:10" ht="15" x14ac:dyDescent="0.25">
      <c r="B15" s="127" t="s">
        <v>130</v>
      </c>
      <c r="C15" s="128"/>
      <c r="E15" s="117"/>
      <c r="F15" s="117"/>
      <c r="G15" s="146" t="s">
        <v>90</v>
      </c>
      <c r="H15" s="147" t="s">
        <v>95</v>
      </c>
      <c r="I15" s="148">
        <f>'Rate Design'!F32</f>
        <v>5.7947407260218832E-2</v>
      </c>
      <c r="J15" s="139">
        <f>'Rate Design'!F31</f>
        <v>8000276.9937530719</v>
      </c>
    </row>
    <row r="16" spans="2:10" ht="15" x14ac:dyDescent="0.25">
      <c r="B16" s="129" t="s">
        <v>167</v>
      </c>
      <c r="C16" s="134">
        <f>ROUND((ROUND('Rate Design'!D21,5)-ROUND('Rate Design'!D22,5))*932,2)</f>
        <v>5.6</v>
      </c>
      <c r="D16" s="194">
        <f>D4*932</f>
        <v>5.6013199999999994</v>
      </c>
      <c r="E16" s="117"/>
      <c r="F16" s="117"/>
      <c r="G16" s="146" t="s">
        <v>129</v>
      </c>
      <c r="H16" s="147" t="s">
        <v>97</v>
      </c>
      <c r="I16" s="148">
        <f>'Rate Design'!G32</f>
        <v>9.0776916075445122E-2</v>
      </c>
      <c r="J16" s="139">
        <f>'Rate Design'!G31</f>
        <v>6177913.8004304934</v>
      </c>
    </row>
    <row r="17" spans="2:16" ht="15" x14ac:dyDescent="0.25">
      <c r="B17" s="129" t="s">
        <v>51</v>
      </c>
      <c r="C17" s="131">
        <f>C16/C23</f>
        <v>6.3046364296303489E-2</v>
      </c>
      <c r="E17" s="117"/>
      <c r="F17" s="117"/>
      <c r="G17" s="146" t="s">
        <v>91</v>
      </c>
      <c r="H17" s="147" t="s">
        <v>96</v>
      </c>
      <c r="I17" s="148">
        <f>'Rate Design'!H32</f>
        <v>7.0451372132712201E-2</v>
      </c>
      <c r="J17" s="139">
        <f>'Rate Design'!H31</f>
        <v>1005693.3371944666</v>
      </c>
    </row>
    <row r="18" spans="2:16" ht="15" x14ac:dyDescent="0.25">
      <c r="B18" s="129"/>
      <c r="C18" s="132"/>
      <c r="E18" s="117"/>
      <c r="G18" s="146" t="s">
        <v>98</v>
      </c>
      <c r="H18" s="147" t="s">
        <v>99</v>
      </c>
      <c r="I18" s="148">
        <f>'Rate Design'!I32</f>
        <v>1.4017427308842595E-2</v>
      </c>
      <c r="J18" s="139">
        <f>'Rate Design'!I31</f>
        <v>104584.0251512746</v>
      </c>
    </row>
    <row r="19" spans="2:16" ht="15" x14ac:dyDescent="0.25">
      <c r="B19" s="133" t="s">
        <v>65</v>
      </c>
      <c r="C19" s="132"/>
      <c r="E19" s="117"/>
      <c r="G19" s="142"/>
      <c r="H19" s="143" t="s">
        <v>100</v>
      </c>
      <c r="I19" s="144">
        <f>'Rate Design'!C32</f>
        <v>5.9938240949569489E-2</v>
      </c>
      <c r="J19" s="149">
        <f>SUM(J13:J18)</f>
        <v>34593056.072839282</v>
      </c>
    </row>
    <row r="20" spans="2:16" ht="15" x14ac:dyDescent="0.25">
      <c r="B20" s="129" t="s">
        <v>66</v>
      </c>
      <c r="C20" s="134">
        <v>9</v>
      </c>
      <c r="D20" s="119">
        <f>932*0.00601</f>
        <v>5.6013199999999994</v>
      </c>
      <c r="E20" s="117"/>
    </row>
    <row r="21" spans="2:16" ht="15" x14ac:dyDescent="0.25">
      <c r="B21" s="129" t="s">
        <v>67</v>
      </c>
      <c r="C21" s="130">
        <f>C4</f>
        <v>8.3549999999999999E-2</v>
      </c>
      <c r="G21" s="165"/>
      <c r="H21" s="166"/>
      <c r="I21" s="166"/>
      <c r="J21" s="166"/>
      <c r="K21" s="166"/>
      <c r="L21" s="166"/>
      <c r="M21" s="166"/>
      <c r="N21" s="166"/>
      <c r="O21" s="166"/>
      <c r="P21" s="166"/>
    </row>
    <row r="22" spans="2:16" ht="27.75" customHeight="1" x14ac:dyDescent="0.25">
      <c r="B22" s="129" t="s">
        <v>68</v>
      </c>
      <c r="C22" s="130">
        <f>C5</f>
        <v>9.8360000000000003E-2</v>
      </c>
      <c r="G22" s="167"/>
      <c r="H22" s="167"/>
      <c r="I22" s="167"/>
      <c r="J22" s="168"/>
      <c r="K22" s="168"/>
      <c r="L22" s="166"/>
      <c r="M22" s="169"/>
      <c r="N22" s="169"/>
      <c r="O22" s="169"/>
      <c r="P22" s="169"/>
    </row>
    <row r="23" spans="2:16" ht="15" x14ac:dyDescent="0.25">
      <c r="B23" s="129" t="s">
        <v>168</v>
      </c>
      <c r="C23" s="134">
        <f>C20+(800*C21)+((932-800)*C22)</f>
        <v>88.823520000000002</v>
      </c>
      <c r="G23" s="170"/>
      <c r="H23" s="164"/>
      <c r="I23" s="171"/>
      <c r="J23" s="171"/>
      <c r="K23" s="171"/>
      <c r="L23" s="166"/>
      <c r="M23" s="172"/>
      <c r="N23" s="173"/>
      <c r="O23" s="174"/>
      <c r="P23" s="173"/>
    </row>
    <row r="24" spans="2:16" ht="15" x14ac:dyDescent="0.25">
      <c r="B24" s="129"/>
      <c r="C24" s="132"/>
      <c r="G24" s="170"/>
      <c r="H24" s="164"/>
      <c r="I24" s="171"/>
      <c r="J24" s="171"/>
      <c r="K24" s="171"/>
      <c r="L24" s="166"/>
      <c r="M24" s="172"/>
      <c r="N24" s="175"/>
      <c r="O24" s="175"/>
      <c r="P24" s="175"/>
    </row>
    <row r="25" spans="2:16" ht="15" x14ac:dyDescent="0.25">
      <c r="B25" s="129" t="s">
        <v>169</v>
      </c>
      <c r="C25" s="135">
        <f>C16</f>
        <v>5.6</v>
      </c>
      <c r="E25" s="194"/>
      <c r="G25" s="170"/>
      <c r="H25" s="164"/>
      <c r="I25" s="171"/>
      <c r="J25" s="171"/>
      <c r="K25" s="171"/>
      <c r="L25" s="166"/>
      <c r="M25" s="172"/>
      <c r="N25" s="175"/>
      <c r="O25" s="175"/>
      <c r="P25" s="175"/>
    </row>
    <row r="26" spans="2:16" ht="15" x14ac:dyDescent="0.25">
      <c r="B26" s="129"/>
      <c r="C26" s="132"/>
      <c r="E26" s="194"/>
      <c r="G26" s="170"/>
      <c r="H26" s="164"/>
      <c r="I26" s="171"/>
      <c r="J26" s="171"/>
      <c r="K26" s="171"/>
      <c r="L26" s="166"/>
      <c r="M26" s="172"/>
      <c r="N26" s="175"/>
      <c r="O26" s="175"/>
      <c r="P26" s="175"/>
    </row>
    <row r="27" spans="2:16" ht="15" x14ac:dyDescent="0.25">
      <c r="B27" s="136" t="s">
        <v>79</v>
      </c>
      <c r="C27" s="137">
        <f>SUM(C23:C26)</f>
        <v>94.423519999999996</v>
      </c>
      <c r="G27" s="170"/>
      <c r="H27" s="164"/>
      <c r="I27" s="171"/>
      <c r="J27" s="171"/>
      <c r="K27" s="171"/>
      <c r="L27" s="166"/>
      <c r="M27" s="166"/>
      <c r="N27" s="166"/>
      <c r="O27" s="166"/>
      <c r="P27" s="166"/>
    </row>
    <row r="28" spans="2:16" ht="15" x14ac:dyDescent="0.25">
      <c r="B28" s="138"/>
      <c r="C28" s="138"/>
      <c r="G28" s="176"/>
      <c r="H28" s="164"/>
      <c r="I28" s="171"/>
      <c r="J28" s="171"/>
      <c r="K28" s="171"/>
      <c r="L28" s="166"/>
      <c r="M28" s="166"/>
      <c r="N28" s="166"/>
      <c r="O28" s="166"/>
      <c r="P28" s="166"/>
    </row>
    <row r="29" spans="2:16" ht="15" x14ac:dyDescent="0.25">
      <c r="G29" s="177"/>
      <c r="H29" s="178"/>
      <c r="I29" s="179"/>
      <c r="J29" s="171"/>
      <c r="K29" s="171"/>
      <c r="L29" s="166"/>
      <c r="M29" s="177"/>
      <c r="N29" s="166"/>
      <c r="O29" s="166"/>
      <c r="P29" s="166"/>
    </row>
    <row r="30" spans="2:16" x14ac:dyDescent="0.2">
      <c r="G30" s="166"/>
      <c r="H30" s="166"/>
      <c r="I30" s="166"/>
      <c r="J30" s="166"/>
      <c r="K30" s="166"/>
      <c r="L30" s="166"/>
      <c r="M30" s="166"/>
      <c r="N30" s="166"/>
      <c r="O30" s="166"/>
      <c r="P30" s="166"/>
    </row>
    <row r="31" spans="2:16" x14ac:dyDescent="0.2">
      <c r="C31" s="119">
        <v>9</v>
      </c>
      <c r="G31" s="166"/>
      <c r="H31" s="166"/>
      <c r="I31" s="166"/>
      <c r="J31" s="166"/>
      <c r="K31" s="166"/>
      <c r="L31" s="166"/>
      <c r="M31" s="166"/>
      <c r="N31" s="166"/>
      <c r="O31" s="166"/>
      <c r="P31" s="166"/>
    </row>
    <row r="32" spans="2:16" x14ac:dyDescent="0.2">
      <c r="C32" s="194">
        <f>800*C4</f>
        <v>66.84</v>
      </c>
      <c r="G32" s="166"/>
      <c r="H32" s="166"/>
      <c r="I32" s="166"/>
      <c r="J32" s="166"/>
      <c r="K32" s="166"/>
      <c r="L32" s="166"/>
      <c r="M32" s="166"/>
      <c r="N32" s="166"/>
      <c r="O32" s="166"/>
      <c r="P32" s="166"/>
    </row>
    <row r="33" spans="3:3" x14ac:dyDescent="0.2">
      <c r="C33" s="194">
        <f>132*C5</f>
        <v>12.98352</v>
      </c>
    </row>
    <row r="34" spans="3:3" x14ac:dyDescent="0.2">
      <c r="C34" s="119">
        <f>SUM(C31:C33)</f>
        <v>88.823520000000002</v>
      </c>
    </row>
    <row r="36" spans="3:3" x14ac:dyDescent="0.2">
      <c r="C36" s="194">
        <f>932*D4</f>
        <v>5.6013199999999994</v>
      </c>
    </row>
    <row r="37" spans="3:3" x14ac:dyDescent="0.2">
      <c r="C37" s="195">
        <f>C36/C34</f>
        <v>6.3061225225030479E-2</v>
      </c>
    </row>
  </sheetData>
  <pageMargins left="0.7" right="0.7" top="0.75" bottom="0.75" header="0.3" footer="0.3"/>
  <pageSetup orientation="portrait" r:id="rId1"/>
  <ignoredErrors>
    <ignoredError sqref="G1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xxe4awand xmlns="http://www.excel4apps.com"><![CDATA[rO0ABXfiCMCtii8CBwIDAh4AAERjb20uZXhjZWw0YXBwcy53YW5kLm9yYWNsZS5n
bHdhbmQuY2FsY3VsYXRpb25zLmdldGJhbGFuY2UuR2V0QmFsYW5jZQIBAAkxNjU5
OTEyODACAgABMAIDAAYyMDE3MDECBAADWVREAgUAA1VTRAIGAAVUb3RhbAIHAAFB
AggAAAIJAAMwMDECCgAUMTg2MzIyLDE4NjMyMywxODYzMjQCCwABJQILAgwAAkRM
AggCCAIIAggCCAIIAggCCAIIAggCCAIIAggCCAIIAggCCAIBAgMCDXNyAg4AFGph
dmEubWF0aC5CaWdEZWNpbWFsVMcVV/mBKE8DAAJJAg8ABXNjYWxlTAIQAAZpbnRW
YWx0ABZMamF2YS9tYXRoL0JpZ0ludGVnZXI7eHICEQAQamF2YS5sYW5nLk51bWJl
coaslR0LlOCLAgAAeHAAAAACc3ICEgAUamF2YS5tYXRoLkJpZ0ludGVnZXKM/J8f
qTv7HQMABkkCEwAIYml0Q291bnRJAhQACWJpdExlbmd0aEkCFQATZmlyc3ROb256
ZXJvQnl0ZU51bUkCFgAMbG93ZXN0U2V0Qml0SQIXAAZzaWdudW1bAhgACW1hZ25p
dHVkZXQAAltCeHEAfgAC///////////////+/////gAAAAF1cgIZAAJbQqzzF/gG
CFTgAgAAeHAAAAADTp3SeHh3TQIeAAIBAgICGgAGMjAxNzAyAgQCBQIGAgcCCAIJ
AgoCCwILAgwCCAIIAggCCAIIAggCCAIIAggCCAIIAggCCAIIAggCCAIIAgECAwIb
c3EAfgAAAAAAAnNxAH4ABP///////////////v////4AAAABdXEAfgAHAAAABAFn
+x54eHdNAh4AAgECAgIcAAYyMDE2MTICBAIFAgYCBwIIAgkCCgILAgsCDAIIAggC
CAIIAggCCAIIAggCCAIIAggCCAIIAggCCAIIAggCAQIDAh1zcQB+AAAAAAACc3EA
fgAE///////////////+/////gAAAAF1cQB+AAcAAAAEAtAGNnh4]]></xxe4awand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A9ECD5E98DC3045B200CCEA3995A6A6" ma:contentTypeVersion="24" ma:contentTypeDescription="" ma:contentTypeScope="" ma:versionID="3b05f687a1183e43ca754686b983ec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2023-03-31T07:00:00+00:00</OpenedDate>
    <SignificantOrder xmlns="dc463f71-b30c-4ab2-9473-d307f9d35888">false</SignificantOrder>
    <Date1 xmlns="dc463f71-b30c-4ab2-9473-d307f9d35888">2023-03-31T07:00:00+00:00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230214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6A92EDB-1E1F-4518-94D6-F337E804A242}">
  <ds:schemaRefs>
    <ds:schemaRef ds:uri="http://www.excel4apps.com"/>
  </ds:schemaRefs>
</ds:datastoreItem>
</file>

<file path=customXml/itemProps2.xml><?xml version="1.0" encoding="utf-8"?>
<ds:datastoreItem xmlns:ds="http://schemas.openxmlformats.org/officeDocument/2006/customXml" ds:itemID="{8A19AF71-29E8-49D3-961A-044A9F3F182C}"/>
</file>

<file path=customXml/itemProps3.xml><?xml version="1.0" encoding="utf-8"?>
<ds:datastoreItem xmlns:ds="http://schemas.openxmlformats.org/officeDocument/2006/customXml" ds:itemID="{45C8307A-8FCC-4678-B8EC-B9C9AF66BD01}"/>
</file>

<file path=customXml/itemProps4.xml><?xml version="1.0" encoding="utf-8"?>
<ds:datastoreItem xmlns:ds="http://schemas.openxmlformats.org/officeDocument/2006/customXml" ds:itemID="{A2F5BE57-6075-4809-B7EA-50BD342309AB}"/>
</file>

<file path=customXml/itemProps5.xml><?xml version="1.0" encoding="utf-8"?>
<ds:datastoreItem xmlns:ds="http://schemas.openxmlformats.org/officeDocument/2006/customXml" ds:itemID="{DE8DAB83-DB60-4D3F-A743-452DDA7DEB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Rate Design</vt:lpstr>
      <vt:lpstr>Forecast Balance</vt:lpstr>
      <vt:lpstr>Forecasted Revenue 2</vt:lpstr>
      <vt:lpstr>Forecasted Revenue</vt:lpstr>
      <vt:lpstr>kWh Forecast</vt:lpstr>
      <vt:lpstr>CF WA Elec</vt:lpstr>
      <vt:lpstr>Summary Info</vt:lpstr>
      <vt:lpstr>'Forecast Balance'!Print_Area</vt:lpstr>
      <vt:lpstr>'Forecasted Revenue'!Print_Area</vt:lpstr>
      <vt:lpstr>'Forecasted Revenue 2'!Print_Area</vt:lpstr>
      <vt:lpstr>'kWh Forecast'!Print_Area</vt:lpstr>
      <vt:lpstr>'Rate Design'!Print_Area</vt:lpstr>
      <vt:lpstr>'Forecasted Revenue'!Print_Titles</vt:lpstr>
      <vt:lpstr>'Forecasted Revenue 2'!Print_Titles</vt:lpstr>
      <vt:lpstr>'kWh Forecast'!Print_Titles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bj4046</dc:creator>
  <cp:lastModifiedBy>Miller, Joe</cp:lastModifiedBy>
  <cp:lastPrinted>2023-03-30T17:23:10Z</cp:lastPrinted>
  <dcterms:created xsi:type="dcterms:W3CDTF">2016-02-09T19:01:57Z</dcterms:created>
  <dcterms:modified xsi:type="dcterms:W3CDTF">2023-03-30T17:23:16Z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0x0101006E56B4D1795A2E4DB2F0B01679ED314A008A9ECD5E98DC3045B200CCEA3995A6A6</vt:lpwstr>
  </property>
  <property fmtid="{D5CDD505-2E9C-101B-9397-08002B2CF9AE}" pid="3" name="IsEFSEC">
    <vt:bool>false</vt:bool>
  </property>
  <property fmtid="{D5CDD505-2E9C-101B-9397-08002B2CF9AE}" pid="4" name="_docset_NoMedatataSyncRequired">
    <vt:lpwstr>False</vt:lpwstr>
  </property>
</Properties>
</file>