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8.bin" ContentType="application/vnd.openxmlformats-officedocument.spreadsheetml.printerSettings"/>
  <Override PartName="/docProps/custom.xml" ContentType="application/vnd.openxmlformats-officedocument.custom-properties+xml"/>
  <Override PartName="/xl/printerSettings/printerSettings3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1365" yWindow="825" windowWidth="17010" windowHeight="5175" tabRatio="899" firstSheet="1" activeTab="1"/>
  </bookViews>
  <sheets>
    <sheet name="_com.sap.ip.bi.xl.hiddensheet" sheetId="43" state="veryHidden" r:id="rId1"/>
    <sheet name="Lead " sheetId="1" r:id="rId2"/>
    <sheet name="SOEG Green Pwr " sheetId="86" r:id="rId3"/>
    <sheet name="Sch 135_136 GreenPwr" sheetId="70" r:id="rId4"/>
    <sheet name="SOE 2023 YTD" sheetId="87" r:id="rId5"/>
    <sheet name="Sch 140 PropertyTaxes" sheetId="62" r:id="rId6"/>
    <sheet name="Sch 120 Conserv" sheetId="61" r:id="rId7"/>
    <sheet name="Sch 129 LowInc" sheetId="63" r:id="rId8"/>
    <sheet name="Sch 81 MunicipalTaxes" sheetId="64" r:id="rId9"/>
    <sheet name="Sch Bill Discount 129D" sheetId="88" r:id="rId10"/>
    <sheet name="Sch 137 Int on Rec Proc" sheetId="71" r:id="rId11"/>
    <sheet name="Sch 194 Res. Exchge" sheetId="73" r:id="rId12"/>
    <sheet name="Sch 142 Decoupling" sheetId="72" r:id="rId13"/>
    <sheet name="Green Power 557" sheetId="68" r:id="rId14"/>
    <sheet name="Customer Assis Green Pwr" sheetId="67" r:id="rId15"/>
    <sheet name="23GRC CF" sheetId="84" r:id="rId16"/>
  </sheets>
  <externalReferences>
    <externalReference r:id="rId17"/>
  </externalReferences>
  <definedNames>
    <definedName name="SAPCrosstab7" localSheetId="2">'SOEG Green Pwr '!$A$1:$I$15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E16" i="1"/>
  <c r="E33" i="1"/>
  <c r="E32" i="1"/>
  <c r="B9" i="62"/>
  <c r="D35" i="72"/>
  <c r="L4" i="86"/>
  <c r="J4" i="86"/>
  <c r="E15" i="1"/>
  <c r="B7" i="88"/>
  <c r="E24" i="1"/>
  <c r="E21" i="1"/>
  <c r="E20" i="1"/>
  <c r="E19" i="1"/>
  <c r="E18" i="1"/>
  <c r="E17" i="1"/>
  <c r="E14" i="1"/>
  <c r="H69" i="87"/>
  <c r="L69" i="87"/>
  <c r="N69" i="87"/>
  <c r="L68" i="87"/>
  <c r="N68" i="87"/>
  <c r="F68" i="87"/>
  <c r="J67" i="87"/>
  <c r="J71" i="87"/>
  <c r="H65" i="87"/>
  <c r="F65" i="87"/>
  <c r="F64" i="87"/>
  <c r="H64" i="87"/>
  <c r="F63" i="87"/>
  <c r="L63" i="87"/>
  <c r="D67" i="87"/>
  <c r="L61" i="87"/>
  <c r="D27" i="87"/>
  <c r="B27" i="87"/>
  <c r="B29" i="87"/>
  <c r="L26" i="87"/>
  <c r="N26" i="87"/>
  <c r="L25" i="87"/>
  <c r="N25" i="87"/>
  <c r="L24" i="87"/>
  <c r="N24" i="87"/>
  <c r="H24" i="87"/>
  <c r="F24" i="87"/>
  <c r="L23" i="87"/>
  <c r="L27" i="87"/>
  <c r="F23" i="87"/>
  <c r="H23" i="87"/>
  <c r="Q19" i="87"/>
  <c r="P19" i="87"/>
  <c r="L19" i="87"/>
  <c r="N19" i="87"/>
  <c r="R19" i="87"/>
  <c r="F19" i="87"/>
  <c r="H19" i="87"/>
  <c r="R18" i="87"/>
  <c r="Q18" i="87"/>
  <c r="P18" i="87"/>
  <c r="L18" i="87"/>
  <c r="N18" i="87"/>
  <c r="F15" i="87"/>
  <c r="H15" i="87"/>
  <c r="L14" i="87"/>
  <c r="N14" i="87"/>
  <c r="F14" i="87"/>
  <c r="H14" i="87"/>
  <c r="L13" i="87"/>
  <c r="N13" i="87"/>
  <c r="B17" i="87"/>
  <c r="B21" i="87"/>
  <c r="J17" i="87"/>
  <c r="F11" i="87"/>
  <c r="H11" i="87"/>
  <c r="R17" i="87"/>
  <c r="N17" i="87"/>
  <c r="J21" i="87"/>
  <c r="N64" i="87"/>
  <c r="H68" i="87"/>
  <c r="N62" i="87"/>
  <c r="H25" i="87"/>
  <c r="N61" i="87"/>
  <c r="N63" i="87"/>
  <c r="H67" i="87"/>
  <c r="Q17" i="87"/>
  <c r="D71" i="87"/>
  <c r="L11" i="87"/>
  <c r="L17" i="87"/>
  <c r="L21" i="87"/>
  <c r="L29" i="87"/>
  <c r="L15" i="87"/>
  <c r="N23" i="87"/>
  <c r="F62" i="87"/>
  <c r="H62" i="87"/>
  <c r="H63" i="87"/>
  <c r="L65" i="87"/>
  <c r="N65" i="87"/>
  <c r="F13" i="87"/>
  <c r="H13" i="87"/>
  <c r="N15" i="87"/>
  <c r="F18" i="87"/>
  <c r="H18" i="87"/>
  <c r="F26" i="87"/>
  <c r="F27" i="87"/>
  <c r="F61" i="87"/>
  <c r="F67" i="87"/>
  <c r="L64" i="87"/>
  <c r="L12" i="87"/>
  <c r="N12" i="87"/>
  <c r="F25" i="87"/>
  <c r="J27" i="87"/>
  <c r="H61" i="87"/>
  <c r="B67" i="87"/>
  <c r="F69" i="87"/>
  <c r="L62" i="87"/>
  <c r="L67" i="87"/>
  <c r="D17" i="87"/>
  <c r="F12" i="87"/>
  <c r="H12" i="87"/>
  <c r="H27" i="87"/>
  <c r="L71" i="87"/>
  <c r="N71" i="87"/>
  <c r="N67" i="87"/>
  <c r="P17" i="87"/>
  <c r="B71" i="87"/>
  <c r="F71" i="87"/>
  <c r="H71" i="87"/>
  <c r="H26" i="87"/>
  <c r="N27" i="87"/>
  <c r="J29" i="87"/>
  <c r="N29" i="87"/>
  <c r="F17" i="87"/>
  <c r="F21" i="87"/>
  <c r="F29" i="87"/>
  <c r="D21" i="87"/>
  <c r="H17" i="87"/>
  <c r="N11" i="87"/>
  <c r="N21" i="87"/>
  <c r="D29" i="87"/>
  <c r="H29" i="87"/>
  <c r="H21" i="87"/>
  <c r="K16" i="86"/>
  <c r="I16" i="86"/>
  <c r="H16" i="86"/>
  <c r="G16" i="86"/>
  <c r="F16" i="86"/>
  <c r="E16" i="86"/>
  <c r="D16" i="86"/>
  <c r="J15" i="86"/>
  <c r="L15" i="86"/>
  <c r="J14" i="86"/>
  <c r="L14" i="86"/>
  <c r="J13" i="86"/>
  <c r="L13" i="86"/>
  <c r="J12" i="86"/>
  <c r="L12" i="86"/>
  <c r="J11" i="86"/>
  <c r="L11" i="86"/>
  <c r="J10" i="86"/>
  <c r="L10" i="86"/>
  <c r="J9" i="86"/>
  <c r="L9" i="86"/>
  <c r="J8" i="86"/>
  <c r="L8" i="86"/>
  <c r="J7" i="86"/>
  <c r="L7" i="86"/>
  <c r="J6" i="86"/>
  <c r="J16" i="86"/>
  <c r="J5" i="86"/>
  <c r="L5" i="86"/>
  <c r="E9" i="67"/>
  <c r="E53" i="1"/>
  <c r="E8" i="67"/>
  <c r="E7" i="67"/>
  <c r="E52" i="1"/>
  <c r="B5" i="67"/>
  <c r="B7" i="63"/>
  <c r="E48" i="1"/>
  <c r="E56" i="1"/>
  <c r="C35" i="72"/>
  <c r="E30" i="1"/>
  <c r="A13" i="1"/>
  <c r="A14" i="1"/>
  <c r="A15" i="1"/>
  <c r="D5" i="67"/>
  <c r="E54" i="1"/>
  <c r="C5" i="67"/>
  <c r="E55" i="1"/>
  <c r="E51" i="1"/>
  <c r="D33" i="72"/>
  <c r="D32" i="72"/>
  <c r="D31" i="72"/>
  <c r="D16" i="72"/>
  <c r="D17" i="72"/>
  <c r="D18" i="72"/>
  <c r="D19" i="72"/>
  <c r="D20" i="72"/>
  <c r="D21" i="72"/>
  <c r="D22" i="72"/>
  <c r="D23" i="72"/>
  <c r="D15" i="72"/>
  <c r="E49" i="1"/>
  <c r="E50" i="1"/>
  <c r="E46" i="1"/>
  <c r="B6" i="64"/>
  <c r="E47" i="1"/>
  <c r="E45" i="1"/>
  <c r="B16" i="84"/>
  <c r="E31" i="1"/>
  <c r="E5" i="67"/>
  <c r="E16" i="84"/>
  <c r="E18" i="84"/>
  <c r="E20" i="84"/>
  <c r="E21" i="84"/>
  <c r="E22" i="84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16" i="1"/>
  <c r="A17" i="1"/>
  <c r="A18" i="1"/>
  <c r="C19" i="1"/>
  <c r="C17" i="1"/>
  <c r="C21" i="1"/>
  <c r="C20" i="1"/>
  <c r="L6" i="86"/>
  <c r="L16" i="86"/>
  <c r="E23" i="1"/>
  <c r="C24" i="1"/>
  <c r="E58" i="1"/>
  <c r="C14" i="1"/>
  <c r="E34" i="1"/>
  <c r="A32" i="1"/>
  <c r="C22" i="1"/>
  <c r="E22" i="1"/>
  <c r="C23" i="1"/>
  <c r="C40" i="1"/>
  <c r="C39" i="1"/>
  <c r="C41" i="1"/>
  <c r="E40" i="1" l="1"/>
  <c r="C18" i="1"/>
  <c r="E27" i="1"/>
  <c r="E36" i="1" s="1"/>
  <c r="E39" i="1"/>
  <c r="E42" i="1" s="1"/>
  <c r="E60" i="1" s="1"/>
  <c r="E41" i="1"/>
  <c r="E61" i="1" l="1"/>
  <c r="E62" i="1"/>
</calcChain>
</file>

<file path=xl/sharedStrings.xml><?xml version="1.0" encoding="utf-8"?>
<sst xmlns="http://schemas.openxmlformats.org/spreadsheetml/2006/main" count="314" uniqueCount="217">
  <si>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</si>
  <si>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</si>
  <si>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</si>
  <si>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</si>
  <si>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</si>
  <si>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</si>
  <si>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</si>
  <si>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</si>
  <si>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</si>
  <si>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</si>
  <si>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</si>
  <si>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</si>
  <si>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</si>
  <si>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</si>
  <si>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</si>
  <si>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</si>
  <si>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</si>
  <si>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</si>
  <si>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</si>
  <si>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</si>
  <si>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</si>
  <si>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</si>
  <si>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</si>
  <si>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</si>
  <si>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</si>
  <si>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</si>
  <si>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</si>
  <si>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</si>
  <si>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</si>
  <si>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</si>
  <si>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</si>
  <si>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</si>
  <si>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</si>
  <si>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</si>
  <si>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</si>
  <si>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</si>
  <si>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</si>
  <si>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</si>
  <si>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</si>
  <si>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</si>
  <si>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</si>
  <si>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</si>
  <si>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</si>
  <si>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</si>
  <si>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</si>
  <si>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</si>
  <si>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</si>
  <si>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</si>
  <si>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</si>
  <si>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</si>
  <si>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</si>
  <si>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</si>
  <si>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</si>
  <si>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Total</t>
  </si>
  <si>
    <t>40810003  Municipal Taxes</t>
  </si>
  <si>
    <t>40740111  Amort Interest on REC Proceeds UE-111048</t>
  </si>
  <si>
    <t>90800100  4400 - Cust Asst Exp -Conserv Amor Elect</t>
  </si>
  <si>
    <t>55500008  Residential Exchange - Purch Power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</si>
  <si>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</si>
  <si>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</si>
  <si>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</si>
  <si>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</si>
  <si>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</si>
  <si>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</si>
  <si>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</si>
  <si>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</si>
  <si>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</si>
  <si>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</si>
  <si>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</si>
  <si>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</si>
  <si>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</si>
  <si>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Statistical Rate</t>
  </si>
  <si>
    <t>Orders</t>
  </si>
  <si>
    <t>ECI_135S</t>
  </si>
  <si>
    <t>ERES_135S</t>
  </si>
  <si>
    <t>$</t>
  </si>
  <si>
    <t>10</t>
  </si>
  <si>
    <t>Electric</t>
  </si>
  <si>
    <t xml:space="preserve">REMOVE PCA Cust Rec UE200893 </t>
  </si>
  <si>
    <t>REMOVE PCA Cust Rec UE200893 (booked to 55700138)</t>
  </si>
  <si>
    <t>COMMISSION BASIS REPORT</t>
  </si>
  <si>
    <t>CF</t>
  </si>
  <si>
    <t>90800143  9810-Customer Assist Exp-Green Power-Ele</t>
  </si>
  <si>
    <t>90800144  9810 - Customer Assist. Exp. Grants-Ele</t>
  </si>
  <si>
    <t>90900007  9810 -Elec-Cust Promo Costs-Green Power</t>
  </si>
  <si>
    <t>VARIANCE FROM BUDGET</t>
  </si>
  <si>
    <t>REVENUE PER KWH</t>
  </si>
  <si>
    <t>BUDGET</t>
  </si>
  <si>
    <t>AMOUNT</t>
  </si>
  <si>
    <t>%</t>
  </si>
  <si>
    <t xml:space="preserve"> </t>
  </si>
  <si>
    <t xml:space="preserve">     45600073  3545 - Green Energy Option</t>
  </si>
  <si>
    <t xml:space="preserve">     45600089  1143 - REC Revenue per Tariff Schedule-E</t>
  </si>
  <si>
    <t xml:space="preserve"> 40810006  Property Taxes-Washington-Electric</t>
  </si>
  <si>
    <t xml:space="preserve"> 40810009  Prop Tax Sch140 Tracker Amort Defer-Elec</t>
  </si>
  <si>
    <t xml:space="preserve"> 40810012  Property Taxes - Oregon</t>
  </si>
  <si>
    <t xml:space="preserve"> 40810013  Property Taxes - Montana</t>
  </si>
  <si>
    <t xml:space="preserve"> 90800113  4465 - Low Income Program  - Electric</t>
  </si>
  <si>
    <t>40740231  9800–MSFT Transition Fee Amort UE-161123</t>
  </si>
  <si>
    <t>PSE_ALL_3</t>
  </si>
  <si>
    <t>ASMT_TAXES</t>
  </si>
  <si>
    <t>ASMT_BENEF</t>
  </si>
  <si>
    <t xml:space="preserve"> Net</t>
  </si>
  <si>
    <t>Amort</t>
  </si>
  <si>
    <t>CUSTOMER SERVICE EXPENSES</t>
  </si>
  <si>
    <t>CONSERVATION AMORTIZATION</t>
  </si>
  <si>
    <t>TAXES OTHER THAN F.I.T.</t>
  </si>
  <si>
    <t xml:space="preserve"> PURCHASED AND INTERCHANGED</t>
  </si>
  <si>
    <t>ADMIN &amp; GENERAL EXPENSE</t>
  </si>
  <si>
    <t>RESIDENTIAL EXCHANGE</t>
  </si>
  <si>
    <t>OTHER OPERATING EXPENSE</t>
  </si>
  <si>
    <t>SALES</t>
  </si>
  <si>
    <t>OTHER OPERATING REVENUE</t>
  </si>
  <si>
    <t>GREEN POWER - SCH 135/136 CHARGED TO C.99999.03.37.01 FERC 908</t>
  </si>
  <si>
    <t>GREEN POWER - SCH 135/136 CHARGED TO C.99999.03.37.01 FERC 909</t>
  </si>
  <si>
    <t>GREEN POWER - SCH 135/136 BENEFITS PORTION OF ADMIN FERC 926</t>
  </si>
  <si>
    <t>GREEN POWER - SCH 135/136 TAXES PORTION OF ADMIN FERC 408.1</t>
  </si>
  <si>
    <t>PUGET SOUND ENERGY-ELECTRIC</t>
  </si>
  <si>
    <t>CONVERSION FACTOR</t>
  </si>
  <si>
    <t>%'s</t>
  </si>
  <si>
    <t>RATE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</si>
  <si>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</si>
  <si>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</si>
  <si>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</si>
  <si>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</si>
  <si>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SALES TO CUSTOMERS:</t>
  </si>
  <si>
    <t>TOTAL INCREASE (DECREASE) SALES TO CUSTOMERS</t>
  </si>
  <si>
    <t>OTHER OPERATING REVENUES:</t>
  </si>
  <si>
    <t>TOTAL INCREASE (DECREASE) OTHER OPERATING REVENUES</t>
  </si>
  <si>
    <t>CUSTOMER ACCTS EXPENSES</t>
  </si>
  <si>
    <t>ZRW_ZO12 Report</t>
  </si>
  <si>
    <t>Order Group : GP_OTH.MISC</t>
  </si>
  <si>
    <t>Order Group : 4081</t>
  </si>
  <si>
    <t>Order Group : 908CA</t>
  </si>
  <si>
    <t>Order Group : 908E</t>
  </si>
  <si>
    <t>Order Group : GPDECOUP_E.1</t>
  </si>
  <si>
    <t>BUDGET *</t>
  </si>
  <si>
    <t>* Note: Sch. 141 Expedited Rate Filing and Sch. 142 Decoupling Riders were included in this report starting in July 2015</t>
  </si>
  <si>
    <t>Order Group : 4074</t>
  </si>
  <si>
    <t>Order Group : 555R</t>
  </si>
  <si>
    <t>Order Group : 557</t>
  </si>
  <si>
    <t>55700006  9810 - Green Power Renewable Credits</t>
  </si>
  <si>
    <t>55700138  PCA Amortization Recovery UE-200893</t>
  </si>
  <si>
    <t>ZRW_Z851 Report</t>
  </si>
  <si>
    <t>Order Group : 908, 909</t>
  </si>
  <si>
    <t>Non-Consumption</t>
  </si>
  <si>
    <t>9080004 COVID 19 Help 2 Amort</t>
  </si>
  <si>
    <t xml:space="preserve"> FOR THE TWELVE MONTHS ENDED DECEMBER 31, 2023</t>
  </si>
  <si>
    <t>FOR THE TWELVE MONTHS ENDED JUNE 30, 2021</t>
  </si>
  <si>
    <t>2022 GENERAL RATE CASE</t>
  </si>
  <si>
    <t>001/2023</t>
  </si>
  <si>
    <t>002/2023</t>
  </si>
  <si>
    <t>003/2023</t>
  </si>
  <si>
    <t>004/2023</t>
  </si>
  <si>
    <t>005/2023</t>
  </si>
  <si>
    <t>006/2023</t>
  </si>
  <si>
    <t>007/2023</t>
  </si>
  <si>
    <t>008/2023</t>
  </si>
  <si>
    <t>009/2023</t>
  </si>
  <si>
    <t>010/2023</t>
  </si>
  <si>
    <t>011/2023</t>
  </si>
  <si>
    <t>012/2023</t>
  </si>
  <si>
    <t xml:space="preserve">   45600102  E Decoup Rev Sch 8 &amp; 24</t>
  </si>
  <si>
    <t xml:space="preserve">   45600103  E Decoup Rev Sch 7A, 11, 25, 29, 35 &amp; 43</t>
  </si>
  <si>
    <t xml:space="preserve">   45600104  E Decoup Rev Sch 40</t>
  </si>
  <si>
    <t xml:space="preserve">   45600105  E Decoup Rev Sch 7 FPC</t>
  </si>
  <si>
    <t xml:space="preserve">   45600106  E Decoup Rev Sch 8 &amp; 24 FPC</t>
  </si>
  <si>
    <t xml:space="preserve">   45600107  E Dcp Rev Sc 7A, 11, 25, 29, 35 &amp; 43 FPC</t>
  </si>
  <si>
    <t xml:space="preserve">   45600109  E Decoup Rev Sch 12 &amp; 26 FPC</t>
  </si>
  <si>
    <t xml:space="preserve">   45600110  E Decoup Rev Sch 10 &amp; 31 FPC</t>
  </si>
  <si>
    <t xml:space="preserve">   45600139  E Decoup Amort of Sch 142 - Sch 8 &amp; 24</t>
  </si>
  <si>
    <t xml:space="preserve">   45600141  E Dcp Amort Sch 142-Sc 7A,11,25,29,35,43</t>
  </si>
  <si>
    <t xml:space="preserve">   45600142  E Decoup Amort of Sch 142 - Sch 40 in Ra</t>
  </si>
  <si>
    <t xml:space="preserve">   45600143  E FPC Decoup Amort Sch 142  - Sch 7 in R</t>
  </si>
  <si>
    <t xml:space="preserve">   45600144  E FPC Decoup Amort Sch 142 - Sch 8 &amp; 24</t>
  </si>
  <si>
    <t xml:space="preserve">   45600145  E FPC Dcp Amrt Sc 142-7A,11,25,29,35,43</t>
  </si>
  <si>
    <t xml:space="preserve">   45600146  E FPC Decoup Amort Sch 142 - Sch 40 in R</t>
  </si>
  <si>
    <t xml:space="preserve">   45600147  E FPC Decoup Amort Sch 142 - Sch 12 &amp; 26</t>
  </si>
  <si>
    <t xml:space="preserve">   45600148  E FPC Decoup Amort Sch 142 - Sch 10 &amp; 31</t>
  </si>
  <si>
    <t xml:space="preserve">   45600335  Amort of Sch 142 Electric Sch26 in Rates</t>
  </si>
  <si>
    <t xml:space="preserve">   45600336  Amort of Sch 142 Electric Sch31 in Rates</t>
  </si>
  <si>
    <t xml:space="preserve">   45600361  9900-Amort of Sch 142 Elec Resid in rate</t>
  </si>
  <si>
    <t xml:space="preserve">   45600321  9900-Electric Residential Decoupling Rev</t>
  </si>
  <si>
    <t xml:space="preserve">   45600324  9900-Elec Resid Decoupl GAAP UnearnedRev</t>
  </si>
  <si>
    <t xml:space="preserve">   45600325  Electric Schedule 26 Decoupling Revenue</t>
  </si>
  <si>
    <t xml:space="preserve">   45600326  Electric Schedule 31 Decoupling Revenue</t>
  </si>
  <si>
    <t xml:space="preserve"> 45600057 - Electric Sch 129D Deferral</t>
  </si>
  <si>
    <t>45600057, 45600091</t>
  </si>
  <si>
    <t>LED Schedules are not part of the Schdules 135/136 Tariff.</t>
  </si>
  <si>
    <t>REMOVE  - BILL DISCOUNT LOW INCOME SCHEDULE 129D DEFERRAL (new)</t>
  </si>
  <si>
    <t>BDRELE Bill Discount Rate- Discounts</t>
  </si>
  <si>
    <t>YEAR-TO-DATE DECEMBER 30, 2023</t>
  </si>
  <si>
    <t>VARIANCE FROM 2022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</si>
  <si>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</si>
  <si>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</si>
  <si>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</si>
  <si>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</si>
  <si>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</si>
  <si>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</si>
  <si>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</si>
  <si>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</si>
  <si>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</si>
  <si>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</si>
  <si>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</si>
  <si>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</si>
  <si>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</si>
  <si>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</si>
  <si>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</si>
  <si>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</si>
  <si>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</si>
  <si>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</si>
  <si>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</si>
  <si>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</si>
  <si>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141X (Protected-Plus EDIT) in above</t>
  </si>
  <si>
    <t>SCH. 141Z (Unprotected EDIT) in above</t>
  </si>
  <si>
    <t>SCH. 142 (Decup in BillEngy) in above</t>
  </si>
  <si>
    <t xml:space="preserve">REMOVE BILL DISCOUNT RATE RIDER - SCHEDULE 129DG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</si>
</sst>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-* #,##0.00\ &quot;DM&quot;_-;\-* #,##0.00\ &quot;DM&quot;_-;_-* &quot;-&quot;??\ &quot;DM&quot;_-;_-@_-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_(* #,##0_);_(* \(#,##0\);_(* &quot;-&quot;??_);_(@_)"/>
    <numFmt numFmtId="177" formatCode="_-* #,##0.00\ _€_-;\-* #,##0.00\ _€_-;_-* &quot;-&quot;??\ _€_-;_-@_-"/>
    <numFmt numFmtId="178" formatCode="General_)"/>
    <numFmt numFmtId="179" formatCode="#,##0.00;\-#,##0.00;#,##0.00"/>
    <numFmt numFmtId="180" formatCode="_(#,##0.0%_);\(#,##0.0%\);_(#,##0.0%_);_(@_)"/>
    <numFmt numFmtId="181" formatCode="_(&quot;$&quot;* #,##0.000_);_(&quot;$&quot;* \(#,##0.000\);_(&quot;$&quot;* &quot;-&quot;???_);_(@_)"/>
    <numFmt numFmtId="182" formatCode="_(* #,##0.000_);_(* \(#,##0.000\);_(* &quot;-&quot;???_);_(@_)"/>
    <numFmt numFmtId="183" formatCode="#,##0.0000"/>
    <numFmt numFmtId="184" formatCode="0.0%_);\(0.0%\)"/>
    <numFmt numFmtId="185" formatCode="_(* #,##0.0_);_(* \(#,##0.0\);_(* &quot;-&quot;??_);_(@_)"/>
    <numFmt numFmtId="186" formatCode="_(* #,##0.000000_);_(* \(#,##0.000000\);_(* &quot;-&quot;??_);_(@_)"/>
    <numFmt numFmtId="187" formatCode="0.00000000"/>
    <numFmt numFmtId="188" formatCode="_(* #,##0.000000_);_(* \(#,##0.000000\);_(* &quot;-&quot;_);_(@_)"/>
  </numFmts>
  <fonts count="9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Times New Roman"/>
      <family val="1"/>
    </font>
    <font>
      <b/>
      <sz val="9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i/>
      <u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9"/>
      <color rgb="FF0000FF"/>
      <name val="Calibri"/>
      <family val="2"/>
      <scheme val="minor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36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3" fillId="38" borderId="0" applyNumberFormat="0" applyBorder="0" applyAlignment="0" applyProtection="0"/>
    <xf numFmtId="0" fontId="34" fillId="52" borderId="0" applyNumberFormat="0" applyBorder="0" applyAlignment="0" applyProtection="0"/>
    <xf numFmtId="0" fontId="33" fillId="37" borderId="0" applyNumberFormat="0" applyBorder="0" applyAlignment="0" applyProtection="0"/>
    <xf numFmtId="0" fontId="34" fillId="44" borderId="0" applyNumberFormat="0" applyBorder="0" applyAlignment="0" applyProtection="0"/>
    <xf numFmtId="0" fontId="33" fillId="37" borderId="0" applyNumberFormat="0" applyBorder="0" applyAlignment="0" applyProtection="0"/>
    <xf numFmtId="0" fontId="34" fillId="51" borderId="0" applyNumberFormat="0" applyBorder="0" applyAlignment="0" applyProtection="0"/>
    <xf numFmtId="0" fontId="33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36" borderId="0" applyNumberFormat="0" applyBorder="0" applyAlignment="0" applyProtection="0"/>
    <xf numFmtId="0" fontId="33" fillId="50" borderId="0" applyNumberFormat="0" applyBorder="0" applyAlignment="0" applyProtection="0"/>
    <xf numFmtId="0" fontId="34" fillId="47" borderId="0" applyNumberFormat="0" applyBorder="0" applyAlignment="0" applyProtection="0"/>
    <xf numFmtId="0" fontId="33" fillId="42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34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4" fillId="40" borderId="0" applyNumberFormat="0" applyBorder="0" applyAlignment="0" applyProtection="0"/>
    <xf numFmtId="0" fontId="25" fillId="33" borderId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53" borderId="0" applyNumberFormat="0" applyBorder="0" applyAlignment="0" applyProtection="0"/>
    <xf numFmtId="0" fontId="35" fillId="51" borderId="0" applyNumberFormat="0" applyBorder="0" applyAlignment="0" applyProtection="0"/>
    <xf numFmtId="0" fontId="36" fillId="54" borderId="14" applyNumberFormat="0" applyAlignment="0" applyProtection="0"/>
    <xf numFmtId="0" fontId="37" fillId="46" borderId="15" applyNumberFormat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4" fillId="44" borderId="0" applyNumberFormat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52" borderId="14" applyNumberFormat="0" applyAlignment="0" applyProtection="0"/>
    <xf numFmtId="0" fontId="43" fillId="0" borderId="19" applyNumberFormat="0" applyFill="0" applyAlignment="0" applyProtection="0"/>
    <xf numFmtId="0" fontId="43" fillId="52" borderId="0" applyNumberFormat="0" applyBorder="0" applyAlignment="0" applyProtection="0"/>
    <xf numFmtId="0" fontId="25" fillId="51" borderId="14" applyNumberFormat="0" applyFont="0" applyAlignment="0" applyProtection="0"/>
    <xf numFmtId="0" fontId="44" fillId="54" borderId="20" applyNumberFormat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8" fillId="71" borderId="24" applyBorder="0"/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0" fontId="25" fillId="82" borderId="13"/>
    <xf numFmtId="4" fontId="32" fillId="77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20" fillId="0" borderId="0"/>
    <xf numFmtId="169" fontId="20" fillId="0" borderId="0">
      <alignment horizontal="left" wrapText="1"/>
    </xf>
    <xf numFmtId="0" fontId="48" fillId="0" borderId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4" fontId="49" fillId="0" borderId="0"/>
    <xf numFmtId="10" fontId="20" fillId="0" borderId="0" applyFont="0" applyFill="0" applyBorder="0" applyAlignment="0" applyProtection="0"/>
    <xf numFmtId="0" fontId="50" fillId="0" borderId="27" applyNumberFormat="0" applyFont="0" applyFill="0" applyAlignment="0" applyProtection="0"/>
    <xf numFmtId="175" fontId="51" fillId="0" borderId="28" applyNumberFormat="0" applyProtection="0">
      <alignment horizontal="right" vertical="center"/>
    </xf>
    <xf numFmtId="175" fontId="52" fillId="0" borderId="29" applyNumberFormat="0" applyProtection="0">
      <alignment horizontal="right" vertical="center"/>
    </xf>
    <xf numFmtId="0" fontId="52" fillId="84" borderId="27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4" fillId="0" borderId="30" applyNumberFormat="0" applyFill="0" applyBorder="0" applyAlignment="0" applyProtection="0"/>
    <xf numFmtId="0" fontId="55" fillId="0" borderId="30" applyBorder="0" applyAlignment="0" applyProtection="0"/>
    <xf numFmtId="175" fontId="56" fillId="86" borderId="31" applyNumberFormat="0" applyBorder="0" applyAlignment="0" applyProtection="0">
      <alignment horizontal="right" vertical="center" indent="1"/>
    </xf>
    <xf numFmtId="175" fontId="57" fillId="87" borderId="31" applyNumberFormat="0" applyBorder="0" applyAlignment="0" applyProtection="0">
      <alignment horizontal="right" vertical="center" indent="1"/>
    </xf>
    <xf numFmtId="175" fontId="57" fillId="88" borderId="31" applyNumberFormat="0" applyBorder="0" applyAlignment="0" applyProtection="0">
      <alignment horizontal="right" vertical="center" indent="1"/>
    </xf>
    <xf numFmtId="175" fontId="58" fillId="89" borderId="31" applyNumberFormat="0" applyBorder="0" applyAlignment="0" applyProtection="0">
      <alignment horizontal="right" vertical="center" indent="1"/>
    </xf>
    <xf numFmtId="175" fontId="58" fillId="90" borderId="31" applyNumberFormat="0" applyBorder="0" applyAlignment="0" applyProtection="0">
      <alignment horizontal="right" vertical="center" indent="1"/>
    </xf>
    <xf numFmtId="175" fontId="58" fillId="91" borderId="31" applyNumberFormat="0" applyBorder="0" applyAlignment="0" applyProtection="0">
      <alignment horizontal="right" vertical="center" indent="1"/>
    </xf>
    <xf numFmtId="175" fontId="59" fillId="92" borderId="31" applyNumberFormat="0" applyBorder="0" applyAlignment="0" applyProtection="0">
      <alignment horizontal="right" vertical="center" indent="1"/>
    </xf>
    <xf numFmtId="175" fontId="59" fillId="93" borderId="31" applyNumberFormat="0" applyBorder="0" applyAlignment="0" applyProtection="0">
      <alignment horizontal="right" vertical="center" indent="1"/>
    </xf>
    <xf numFmtId="175" fontId="59" fillId="94" borderId="31" applyNumberFormat="0" applyBorder="0" applyAlignment="0" applyProtection="0">
      <alignment horizontal="right" vertical="center" indent="1"/>
    </xf>
    <xf numFmtId="0" fontId="53" fillId="95" borderId="27" applyNumberFormat="0" applyAlignment="0" applyProtection="0">
      <alignment horizontal="left" vertical="center" indent="1"/>
    </xf>
    <xf numFmtId="0" fontId="53" fillId="96" borderId="27" applyNumberFormat="0" applyAlignment="0" applyProtection="0">
      <alignment horizontal="left" vertical="center" indent="1"/>
    </xf>
    <xf numFmtId="0" fontId="53" fillId="97" borderId="27" applyNumberFormat="0" applyAlignment="0" applyProtection="0">
      <alignment horizontal="left" vertical="center" indent="1"/>
    </xf>
    <xf numFmtId="0" fontId="53" fillId="98" borderId="27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1" fillId="98" borderId="28" applyNumberFormat="0" applyBorder="0" applyProtection="0">
      <alignment horizontal="right" vertical="center"/>
    </xf>
    <xf numFmtId="175" fontId="52" fillId="98" borderId="29" applyNumberFormat="0" applyBorder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0" fontId="52" fillId="84" borderId="29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2" fillId="99" borderId="29" applyNumberFormat="0" applyProtection="0">
      <alignment horizontal="right" vertical="center"/>
    </xf>
    <xf numFmtId="0" fontId="25" fillId="33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46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1" fillId="0" borderId="1" applyNumberFormat="0" applyFill="0" applyAlignment="0" applyProtection="0"/>
    <xf numFmtId="0" fontId="62" fillId="0" borderId="2" applyNumberFormat="0" applyFill="0" applyAlignment="0" applyProtection="0"/>
    <xf numFmtId="0" fontId="63" fillId="0" borderId="3" applyNumberFormat="0" applyFill="0" applyAlignment="0" applyProtection="0"/>
    <xf numFmtId="0" fontId="63" fillId="0" borderId="0" applyNumberFormat="0" applyFill="0" applyBorder="0" applyAlignment="0" applyProtection="0"/>
    <xf numFmtId="0" fontId="64" fillId="2" borderId="0" applyNumberFormat="0" applyBorder="0" applyAlignment="0" applyProtection="0"/>
    <xf numFmtId="0" fontId="65" fillId="3" borderId="0" applyNumberFormat="0" applyBorder="0" applyAlignment="0" applyProtection="0"/>
    <xf numFmtId="0" fontId="66" fillId="4" borderId="0" applyNumberFormat="0" applyBorder="0" applyAlignment="0" applyProtection="0"/>
    <xf numFmtId="0" fontId="67" fillId="5" borderId="4" applyNumberFormat="0" applyAlignment="0" applyProtection="0"/>
    <xf numFmtId="0" fontId="68" fillId="6" borderId="5" applyNumberFormat="0" applyAlignment="0" applyProtection="0"/>
    <xf numFmtId="0" fontId="69" fillId="6" borderId="4" applyNumberFormat="0" applyAlignment="0" applyProtection="0"/>
    <xf numFmtId="0" fontId="70" fillId="0" borderId="6" applyNumberFormat="0" applyFill="0" applyAlignment="0" applyProtection="0"/>
    <xf numFmtId="0" fontId="71" fillId="7" borderId="7" applyNumberFormat="0" applyAlignment="0" applyProtection="0"/>
    <xf numFmtId="0" fontId="7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7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5" fillId="32" borderId="0" applyNumberFormat="0" applyBorder="0" applyAlignment="0" applyProtection="0"/>
    <xf numFmtId="0" fontId="67" fillId="5" borderId="4" applyNumberFormat="0" applyAlignment="0" applyProtection="0"/>
    <xf numFmtId="0" fontId="75" fillId="9" borderId="0" applyNumberFormat="0" applyBorder="0" applyAlignment="0" applyProtection="0"/>
    <xf numFmtId="0" fontId="75" fillId="13" borderId="0" applyNumberFormat="0" applyBorder="0" applyAlignment="0" applyProtection="0"/>
    <xf numFmtId="0" fontId="75" fillId="17" borderId="0" applyNumberFormat="0" applyBorder="0" applyAlignment="0" applyProtection="0"/>
    <xf numFmtId="0" fontId="75" fillId="21" borderId="0" applyNumberFormat="0" applyBorder="0" applyAlignment="0" applyProtection="0"/>
    <xf numFmtId="0" fontId="75" fillId="25" borderId="0" applyNumberFormat="0" applyBorder="0" applyAlignment="0" applyProtection="0"/>
    <xf numFmtId="0" fontId="75" fillId="29" borderId="0" applyNumberFormat="0" applyBorder="0" applyAlignment="0" applyProtection="0"/>
    <xf numFmtId="9" fontId="20" fillId="0" borderId="0" applyFont="0" applyFill="0" applyBorder="0" applyAlignment="0" applyProtection="0"/>
    <xf numFmtId="0" fontId="77" fillId="0" borderId="0"/>
    <xf numFmtId="0" fontId="34" fillId="101" borderId="0" applyNumberFormat="0" applyBorder="0" applyAlignment="0" applyProtection="0"/>
    <xf numFmtId="0" fontId="34" fillId="61" borderId="0" applyNumberFormat="0" applyBorder="0" applyAlignment="0" applyProtection="0"/>
    <xf numFmtId="0" fontId="34" fillId="102" borderId="0" applyNumberFormat="0" applyBorder="0" applyAlignment="0" applyProtection="0"/>
    <xf numFmtId="0" fontId="34" fillId="103" borderId="0" applyNumberFormat="0" applyBorder="0" applyAlignment="0" applyProtection="0"/>
    <xf numFmtId="0" fontId="34" fillId="104" borderId="0" applyNumberFormat="0" applyBorder="0" applyAlignment="0" applyProtection="0"/>
    <xf numFmtId="0" fontId="34" fillId="105" borderId="0" applyNumberFormat="0" applyBorder="0" applyAlignment="0" applyProtection="0"/>
    <xf numFmtId="0" fontId="34" fillId="76" borderId="0" applyNumberFormat="0" applyBorder="0" applyAlignment="0" applyProtection="0"/>
    <xf numFmtId="0" fontId="34" fillId="106" borderId="0" applyNumberFormat="0" applyBorder="0" applyAlignment="0" applyProtection="0"/>
    <xf numFmtId="0" fontId="34" fillId="69" borderId="0" applyNumberFormat="0" applyBorder="0" applyAlignment="0" applyProtection="0"/>
    <xf numFmtId="0" fontId="34" fillId="103" borderId="0" applyNumberFormat="0" applyBorder="0" applyAlignment="0" applyProtection="0"/>
    <xf numFmtId="0" fontId="34" fillId="76" borderId="0" applyNumberFormat="0" applyBorder="0" applyAlignment="0" applyProtection="0"/>
    <xf numFmtId="0" fontId="34" fillId="64" borderId="0" applyNumberFormat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8" fillId="0" borderId="0" applyFont="0" applyFill="0" applyBorder="0" applyAlignment="0" applyProtection="0"/>
    <xf numFmtId="0" fontId="20" fillId="0" borderId="0"/>
    <xf numFmtId="0" fontId="20" fillId="0" borderId="0"/>
    <xf numFmtId="178" fontId="20" fillId="0" borderId="0"/>
    <xf numFmtId="0" fontId="2" fillId="0" borderId="0"/>
    <xf numFmtId="0" fontId="34" fillId="78" borderId="32" applyNumberFormat="0" applyFont="0" applyAlignment="0" applyProtection="0"/>
    <xf numFmtId="9" fontId="2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3" fillId="40" borderId="0" applyNumberFormat="0" applyBorder="0" applyAlignment="0" applyProtection="0"/>
    <xf numFmtId="0" fontId="34" fillId="48" borderId="0" applyNumberFormat="0" applyBorder="0" applyAlignment="0" applyProtection="0"/>
    <xf numFmtId="0" fontId="33" fillId="37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4" fontId="32" fillId="77" borderId="14" applyNumberFormat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175" fontId="81" fillId="100" borderId="0" applyNumberFormat="0" applyAlignment="0" applyProtection="0">
      <alignment horizontal="left" vertical="center" indent="1"/>
    </xf>
    <xf numFmtId="0" fontId="50" fillId="0" borderId="33" applyNumberFormat="0" applyFont="0" applyFill="0" applyAlignment="0" applyProtection="0"/>
    <xf numFmtId="175" fontId="51" fillId="0" borderId="28" applyNumberFormat="0" applyFill="0" applyBorder="0" applyAlignment="0" applyProtection="0">
      <alignment horizontal="right" vertical="center"/>
    </xf>
    <xf numFmtId="0" fontId="88" fillId="0" borderId="0"/>
    <xf numFmtId="0" fontId="94" fillId="0" borderId="0"/>
  </cellStyleXfs>
  <cellXfs count="250">
    <xf numFmtId="0" fontId="0" fillId="0" borderId="0" xfId="0"/>
    <xf numFmtId="0" fontId="19" fillId="0" borderId="0" xfId="0" applyFont="1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10" xfId="45" applyFont="1" applyBorder="1" applyAlignment="1">
      <alignment horizontal="center"/>
    </xf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0" fontId="17" fillId="0" borderId="0" xfId="0" applyFont="1"/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70" fontId="22" fillId="0" borderId="0" xfId="3" applyNumberFormat="1" applyFont="1" applyFill="1"/>
    <xf numFmtId="8" fontId="0" fillId="0" borderId="0" xfId="0" applyNumberFormat="1"/>
    <xf numFmtId="1" fontId="22" fillId="0" borderId="0" xfId="45" applyNumberFormat="1" applyFont="1" applyFill="1" applyAlignment="1">
      <alignment horizontal="left"/>
    </xf>
    <xf numFmtId="43" fontId="0" fillId="0" borderId="0" xfId="1" applyFont="1"/>
    <xf numFmtId="41" fontId="22" fillId="0" borderId="0" xfId="2" applyNumberFormat="1" applyFont="1" applyFill="1"/>
    <xf numFmtId="9" fontId="22" fillId="0" borderId="0" xfId="3" applyFont="1" applyFill="1" applyBorder="1" applyAlignment="1"/>
    <xf numFmtId="0" fontId="52" fillId="84" borderId="27" xfId="152" quotePrefix="1" applyNumberFormat="1" applyBorder="1" applyAlignment="1"/>
    <xf numFmtId="0" fontId="51" fillId="100" borderId="27" xfId="173" quotePrefix="1" applyNumberFormat="1" applyBorder="1" applyAlignment="1"/>
    <xf numFmtId="0" fontId="51" fillId="100" borderId="27" xfId="173" applyNumberFormat="1" applyBorder="1" applyAlignment="1"/>
    <xf numFmtId="0" fontId="52" fillId="84" borderId="27" xfId="152" quotePrefix="1" applyNumberFormat="1" applyAlignment="1"/>
    <xf numFmtId="0" fontId="52" fillId="84" borderId="27" xfId="152" applyNumberFormat="1" applyBorder="1" applyAlignment="1"/>
    <xf numFmtId="0" fontId="51" fillId="100" borderId="27" xfId="173" quotePrefix="1" applyNumberFormat="1" applyBorder="1" applyAlignment="1">
      <alignment horizontal="right"/>
    </xf>
    <xf numFmtId="0" fontId="51" fillId="100" borderId="27" xfId="173" quotePrefix="1" applyNumberFormat="1" applyAlignment="1"/>
    <xf numFmtId="0" fontId="51" fillId="100" borderId="27" xfId="173" applyNumberFormat="1" applyAlignment="1"/>
    <xf numFmtId="176" fontId="0" fillId="0" borderId="0" xfId="1" applyNumberFormat="1" applyFont="1"/>
    <xf numFmtId="164" fontId="22" fillId="0" borderId="0" xfId="45" quotePrefix="1" applyFont="1" applyFill="1" applyBorder="1" applyAlignment="1">
      <alignment horizontal="left"/>
    </xf>
    <xf numFmtId="164" fontId="22" fillId="0" borderId="0" xfId="45" applyFont="1" applyFill="1" applyAlignment="1">
      <alignment horizontal="left"/>
    </xf>
    <xf numFmtId="164" fontId="22" fillId="0" borderId="0" xfId="45" applyNumberFormat="1" applyFont="1" applyFill="1" applyBorder="1" applyAlignment="1"/>
    <xf numFmtId="0" fontId="22" fillId="0" borderId="0" xfId="0" applyFont="1" applyFill="1" applyAlignment="1">
      <alignment horizontal="right"/>
    </xf>
    <xf numFmtId="0" fontId="0" fillId="0" borderId="0" xfId="0" applyBorder="1"/>
    <xf numFmtId="164" fontId="19" fillId="0" borderId="0" xfId="45" quotePrefix="1" applyFont="1" applyFill="1" applyBorder="1" applyAlignment="1">
      <alignment horizontal="right"/>
    </xf>
    <xf numFmtId="0" fontId="0" fillId="0" borderId="0" xfId="0" applyAlignment="1">
      <alignment horizontal="left"/>
    </xf>
    <xf numFmtId="179" fontId="51" fillId="0" borderId="28" xfId="150" applyNumberFormat="1">
      <alignment horizontal="right" vertical="center"/>
    </xf>
    <xf numFmtId="179" fontId="52" fillId="0" borderId="34" xfId="151" applyNumberFormat="1" applyBorder="1">
      <alignment horizontal="right" vertical="center"/>
    </xf>
    <xf numFmtId="179" fontId="52" fillId="0" borderId="36" xfId="151" applyNumberFormat="1" applyBorder="1">
      <alignment horizontal="right" vertical="center"/>
    </xf>
    <xf numFmtId="179" fontId="52" fillId="0" borderId="35" xfId="151" applyNumberFormat="1" applyBorder="1">
      <alignment horizontal="right" vertical="center"/>
    </xf>
    <xf numFmtId="0" fontId="52" fillId="84" borderId="36" xfId="174" quotePrefix="1" applyNumberFormat="1" applyBorder="1" applyAlignment="1"/>
    <xf numFmtId="0" fontId="52" fillId="84" borderId="35" xfId="174" quotePrefix="1" applyNumberFormat="1" applyBorder="1" applyAlignment="1">
      <alignment horizontal="right"/>
    </xf>
    <xf numFmtId="0" fontId="52" fillId="84" borderId="35" xfId="174" quotePrefix="1" applyNumberFormat="1" applyBorder="1" applyAlignment="1"/>
    <xf numFmtId="164" fontId="19" fillId="0" borderId="0" xfId="45" applyFont="1" applyFill="1" applyAlignment="1" applyProtection="1">
      <alignment horizontal="center"/>
      <protection locked="0"/>
    </xf>
    <xf numFmtId="164" fontId="19" fillId="0" borderId="0" xfId="45" applyFont="1" applyFill="1" applyAlignment="1" applyProtection="1">
      <protection locked="0"/>
    </xf>
    <xf numFmtId="164" fontId="19" fillId="0" borderId="0" xfId="45" applyFont="1" applyFill="1" applyBorder="1" applyAlignment="1" applyProtection="1">
      <protection locked="0"/>
    </xf>
    <xf numFmtId="164" fontId="21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 wrapText="1"/>
    </xf>
    <xf numFmtId="164" fontId="60" fillId="0" borderId="0" xfId="45" applyFont="1" applyFill="1" applyAlignment="1" applyProtection="1">
      <alignment horizontal="center"/>
      <protection locked="0"/>
    </xf>
    <xf numFmtId="42" fontId="22" fillId="0" borderId="0" xfId="45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6" fontId="22" fillId="0" borderId="0" xfId="1" applyNumberFormat="1" applyFont="1" applyFill="1" applyBorder="1" applyAlignment="1">
      <alignment horizontal="center" wrapText="1"/>
    </xf>
    <xf numFmtId="176" fontId="17" fillId="0" borderId="0" xfId="1" applyNumberFormat="1" applyFont="1"/>
    <xf numFmtId="43" fontId="0" fillId="0" borderId="38" xfId="0" applyNumberFormat="1" applyFont="1" applyBorder="1"/>
    <xf numFmtId="4" fontId="0" fillId="0" borderId="0" xfId="0" applyNumberFormat="1"/>
    <xf numFmtId="185" fontId="0" fillId="0" borderId="0" xfId="1" applyNumberFormat="1" applyFont="1"/>
    <xf numFmtId="176" fontId="0" fillId="0" borderId="38" xfId="1" applyNumberFormat="1" applyFont="1" applyBorder="1"/>
    <xf numFmtId="4" fontId="17" fillId="0" borderId="0" xfId="0" applyNumberFormat="1" applyFont="1"/>
    <xf numFmtId="176" fontId="17" fillId="0" borderId="38" xfId="1" applyNumberFormat="1" applyFont="1" applyBorder="1"/>
    <xf numFmtId="0" fontId="17" fillId="0" borderId="10" xfId="0" applyFont="1" applyBorder="1"/>
    <xf numFmtId="0" fontId="17" fillId="0" borderId="10" xfId="0" applyFont="1" applyBorder="1" applyAlignment="1">
      <alignment horizontal="center"/>
    </xf>
    <xf numFmtId="176" fontId="17" fillId="0" borderId="10" xfId="1" applyNumberFormat="1" applyFont="1" applyBorder="1"/>
    <xf numFmtId="0" fontId="1" fillId="0" borderId="0" xfId="193"/>
    <xf numFmtId="0" fontId="22" fillId="0" borderId="0" xfId="0" applyNumberFormat="1" applyFont="1" applyFill="1" applyAlignment="1">
      <alignment horizontal="left"/>
    </xf>
    <xf numFmtId="0" fontId="85" fillId="0" borderId="0" xfId="0" applyNumberFormat="1" applyFont="1" applyFill="1" applyAlignment="1"/>
    <xf numFmtId="0" fontId="86" fillId="0" borderId="0" xfId="0" applyNumberFormat="1" applyFont="1" applyFill="1" applyAlignment="1"/>
    <xf numFmtId="164" fontId="85" fillId="0" borderId="0" xfId="0" applyNumberFormat="1" applyFont="1" applyFill="1" applyAlignment="1">
      <alignment horizontal="right"/>
    </xf>
    <xf numFmtId="0" fontId="78" fillId="0" borderId="0" xfId="0" applyNumberFormat="1" applyFont="1" applyFill="1" applyAlignment="1"/>
    <xf numFmtId="0" fontId="85" fillId="0" borderId="0" xfId="0" applyNumberFormat="1" applyFont="1" applyFill="1" applyAlignment="1" applyProtection="1">
      <alignment horizontal="centerContinuous"/>
      <protection locked="0"/>
    </xf>
    <xf numFmtId="0" fontId="85" fillId="0" borderId="0" xfId="0" applyNumberFormat="1" applyFont="1" applyFill="1" applyAlignment="1">
      <alignment horizontal="centerContinuous"/>
    </xf>
    <xf numFmtId="0" fontId="85" fillId="0" borderId="0" xfId="0" applyNumberFormat="1" applyFont="1" applyFill="1" applyAlignment="1">
      <alignment horizontal="center"/>
    </xf>
    <xf numFmtId="0" fontId="85" fillId="0" borderId="10" xfId="0" applyNumberFormat="1" applyFont="1" applyFill="1" applyBorder="1" applyAlignment="1">
      <alignment horizontal="center"/>
    </xf>
    <xf numFmtId="0" fontId="85" fillId="0" borderId="10" xfId="0" applyNumberFormat="1" applyFont="1" applyFill="1" applyBorder="1" applyAlignment="1" applyProtection="1">
      <alignment horizontal="center"/>
      <protection locked="0"/>
    </xf>
    <xf numFmtId="0" fontId="86" fillId="0" borderId="0" xfId="0" applyNumberFormat="1" applyFont="1" applyFill="1" applyAlignment="1">
      <alignment horizontal="center"/>
    </xf>
    <xf numFmtId="0" fontId="86" fillId="0" borderId="0" xfId="0" applyNumberFormat="1" applyFont="1" applyFill="1" applyAlignment="1">
      <alignment horizontal="left"/>
    </xf>
    <xf numFmtId="164" fontId="86" fillId="0" borderId="0" xfId="0" applyNumberFormat="1" applyFont="1" applyFill="1" applyAlignment="1"/>
    <xf numFmtId="170" fontId="86" fillId="0" borderId="0" xfId="0" applyNumberFormat="1" applyFont="1" applyFill="1" applyAlignment="1">
      <alignment horizontal="center"/>
    </xf>
    <xf numFmtId="164" fontId="86" fillId="0" borderId="10" xfId="0" applyNumberFormat="1" applyFont="1" applyFill="1" applyBorder="1" applyAlignment="1"/>
    <xf numFmtId="164" fontId="86" fillId="0" borderId="0" xfId="0" applyNumberFormat="1" applyFont="1" applyFill="1" applyBorder="1" applyAlignment="1"/>
    <xf numFmtId="9" fontId="86" fillId="0" borderId="0" xfId="0" applyNumberFormat="1" applyFont="1" applyFill="1" applyAlignment="1">
      <alignment horizontal="center"/>
    </xf>
    <xf numFmtId="164" fontId="86" fillId="0" borderId="39" xfId="0" applyNumberFormat="1" applyFont="1" applyFill="1" applyBorder="1" applyAlignment="1" applyProtection="1">
      <protection locked="0"/>
    </xf>
    <xf numFmtId="187" fontId="78" fillId="0" borderId="0" xfId="0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64" fontId="19" fillId="0" borderId="0" xfId="45" applyFont="1" applyBorder="1" applyAlignment="1">
      <alignment horizontal="center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Border="1" applyAlignment="1">
      <alignment horizontal="center"/>
    </xf>
    <xf numFmtId="165" fontId="15" fillId="0" borderId="0" xfId="0" applyNumberFormat="1" applyFont="1" applyFill="1"/>
    <xf numFmtId="0" fontId="15" fillId="0" borderId="0" xfId="0" applyFont="1" applyFill="1"/>
    <xf numFmtId="0" fontId="0" fillId="0" borderId="0" xfId="0" applyFont="1" applyFill="1" applyBorder="1"/>
    <xf numFmtId="0" fontId="22" fillId="0" borderId="37" xfId="0" applyFont="1" applyFill="1" applyBorder="1" applyAlignment="1"/>
    <xf numFmtId="41" fontId="19" fillId="0" borderId="0" xfId="2" applyNumberFormat="1" applyFont="1" applyFill="1" applyBorder="1" applyAlignment="1">
      <alignment horizontal="left" wrapText="1"/>
    </xf>
    <xf numFmtId="164" fontId="22" fillId="0" borderId="0" xfId="0" applyNumberFormat="1" applyFont="1" applyFill="1" applyAlignment="1"/>
    <xf numFmtId="164" fontId="22" fillId="0" borderId="10" xfId="45" applyFont="1" applyFill="1" applyBorder="1" applyAlignment="1">
      <alignment horizontal="left"/>
    </xf>
    <xf numFmtId="42" fontId="22" fillId="0" borderId="10" xfId="45" applyNumberFormat="1" applyFont="1" applyFill="1" applyBorder="1" applyAlignment="1">
      <alignment horizontal="center"/>
    </xf>
    <xf numFmtId="165" fontId="19" fillId="0" borderId="0" xfId="2" applyNumberFormat="1" applyFont="1" applyFill="1" applyBorder="1"/>
    <xf numFmtId="164" fontId="83" fillId="0" borderId="0" xfId="45" applyFont="1" applyFill="1" applyAlignment="1" applyProtection="1">
      <alignment horizontal="left"/>
      <protection locked="0"/>
    </xf>
    <xf numFmtId="0" fontId="82" fillId="0" borderId="0" xfId="0" applyFont="1" applyFill="1"/>
    <xf numFmtId="0" fontId="82" fillId="0" borderId="0" xfId="0" applyFont="1" applyFill="1" applyAlignment="1">
      <alignment horizontal="left"/>
    </xf>
    <xf numFmtId="43" fontId="0" fillId="0" borderId="0" xfId="1" applyFont="1" applyAlignment="1">
      <alignment horizontal="left"/>
    </xf>
    <xf numFmtId="0" fontId="87" fillId="0" borderId="0" xfId="0" applyFont="1"/>
    <xf numFmtId="0" fontId="82" fillId="0" borderId="0" xfId="0" applyFont="1"/>
    <xf numFmtId="176" fontId="0" fillId="0" borderId="0" xfId="1" applyNumberFormat="1" applyFont="1" applyFill="1"/>
    <xf numFmtId="176" fontId="17" fillId="0" borderId="38" xfId="1" applyNumberFormat="1" applyFont="1" applyFill="1" applyBorder="1"/>
    <xf numFmtId="37" fontId="0" fillId="0" borderId="38" xfId="0" applyNumberFormat="1" applyBorder="1"/>
    <xf numFmtId="4" fontId="0" fillId="0" borderId="0" xfId="0" applyNumberFormat="1" applyFill="1"/>
    <xf numFmtId="43" fontId="82" fillId="0" borderId="0" xfId="1" applyFont="1"/>
    <xf numFmtId="176" fontId="0" fillId="0" borderId="10" xfId="1" applyNumberFormat="1" applyFont="1" applyBorder="1"/>
    <xf numFmtId="43" fontId="0" fillId="0" borderId="0" xfId="1" applyFont="1" applyFill="1"/>
    <xf numFmtId="43" fontId="82" fillId="0" borderId="0" xfId="1" applyFont="1" applyFill="1"/>
    <xf numFmtId="0" fontId="22" fillId="0" borderId="0" xfId="0" applyFont="1" applyFill="1" applyBorder="1"/>
    <xf numFmtId="179" fontId="51" fillId="0" borderId="28" xfId="150" applyNumberFormat="1" applyFill="1">
      <alignment horizontal="right" vertical="center"/>
    </xf>
    <xf numFmtId="176" fontId="0" fillId="0" borderId="0" xfId="1" applyNumberFormat="1" applyFont="1" applyBorder="1"/>
    <xf numFmtId="176" fontId="17" fillId="0" borderId="12" xfId="0" applyNumberFormat="1" applyFont="1" applyBorder="1"/>
    <xf numFmtId="0" fontId="19" fillId="0" borderId="0" xfId="0" applyFont="1" applyFill="1" applyAlignment="1">
      <alignment horizontal="right"/>
    </xf>
    <xf numFmtId="0" fontId="19" fillId="0" borderId="0" xfId="0" applyFont="1" applyFill="1"/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164" fontId="19" fillId="0" borderId="0" xfId="45" applyFont="1" applyFill="1" applyBorder="1" applyProtection="1">
      <alignment horizontal="left" wrapText="1"/>
      <protection locked="0"/>
    </xf>
    <xf numFmtId="186" fontId="0" fillId="0" borderId="0" xfId="1" applyNumberFormat="1" applyFont="1" applyFill="1"/>
    <xf numFmtId="0" fontId="0" fillId="0" borderId="10" xfId="0" applyFill="1" applyBorder="1"/>
    <xf numFmtId="0" fontId="17" fillId="0" borderId="10" xfId="1" applyNumberFormat="1" applyFont="1" applyBorder="1" applyAlignment="1">
      <alignment horizontal="center"/>
    </xf>
    <xf numFmtId="164" fontId="89" fillId="0" borderId="0" xfId="45" applyFont="1" applyFill="1" applyAlignment="1">
      <alignment horizontal="left"/>
    </xf>
    <xf numFmtId="164" fontId="89" fillId="0" borderId="0" xfId="45" applyFont="1" applyFill="1" applyAlignment="1"/>
    <xf numFmtId="0" fontId="89" fillId="0" borderId="0" xfId="0" applyNumberFormat="1" applyFont="1" applyFill="1" applyAlignment="1">
      <alignment horizontal="left"/>
    </xf>
    <xf numFmtId="0" fontId="90" fillId="0" borderId="0" xfId="0" applyFont="1" applyFill="1" applyAlignment="1"/>
    <xf numFmtId="0" fontId="91" fillId="0" borderId="0" xfId="0" applyNumberFormat="1" applyFont="1" applyFill="1" applyAlignment="1" applyProtection="1">
      <alignment horizontal="centerContinuous"/>
      <protection locked="0"/>
    </xf>
    <xf numFmtId="0" fontId="92" fillId="0" borderId="0" xfId="0" applyNumberFormat="1" applyFont="1" applyFill="1" applyAlignment="1">
      <alignment horizontal="centerContinuous"/>
    </xf>
    <xf numFmtId="0" fontId="91" fillId="0" borderId="0" xfId="0" applyNumberFormat="1" applyFont="1" applyFill="1" applyAlignment="1">
      <alignment horizontal="centerContinuous"/>
    </xf>
    <xf numFmtId="0" fontId="93" fillId="0" borderId="0" xfId="0" applyFont="1" applyFill="1" applyAlignment="1">
      <alignment horizontal="centerContinuous"/>
    </xf>
    <xf numFmtId="0" fontId="0" fillId="0" borderId="0" xfId="0" applyFill="1" applyAlignment="1">
      <alignment horizontal="left"/>
    </xf>
    <xf numFmtId="43" fontId="0" fillId="0" borderId="0" xfId="1" applyFont="1" applyFill="1" applyAlignment="1">
      <alignment horizontal="left"/>
    </xf>
    <xf numFmtId="179" fontId="51" fillId="0" borderId="40" xfId="150" applyNumberFormat="1" applyBorder="1">
      <alignment horizontal="right" vertical="center"/>
    </xf>
    <xf numFmtId="179" fontId="52" fillId="107" borderId="34" xfId="151" applyNumberFormat="1" applyFill="1" applyBorder="1">
      <alignment horizontal="right" vertical="center"/>
    </xf>
    <xf numFmtId="0" fontId="0" fillId="107" borderId="0" xfId="0" applyFill="1"/>
    <xf numFmtId="39" fontId="26" fillId="0" borderId="0" xfId="359" applyNumberFormat="1" applyFont="1" applyFill="1" applyAlignment="1" applyProtection="1">
      <alignment horizontal="center"/>
    </xf>
    <xf numFmtId="0" fontId="94" fillId="0" borderId="0" xfId="359" applyFill="1" applyProtection="1"/>
    <xf numFmtId="39" fontId="26" fillId="0" borderId="0" xfId="359" applyNumberFormat="1" applyFont="1" applyFill="1" applyBorder="1" applyAlignment="1" applyProtection="1">
      <alignment horizontal="center"/>
    </xf>
    <xf numFmtId="14" fontId="26" fillId="0" borderId="0" xfId="359" applyNumberFormat="1" applyFont="1" applyFill="1" applyAlignment="1" applyProtection="1">
      <alignment horizontal="center"/>
    </xf>
    <xf numFmtId="39" fontId="84" fillId="0" borderId="0" xfId="359" applyNumberFormat="1" applyFont="1" applyFill="1" applyAlignment="1" applyProtection="1">
      <alignment horizontal="center"/>
    </xf>
    <xf numFmtId="39" fontId="27" fillId="0" borderId="0" xfId="359" applyNumberFormat="1" applyFont="1" applyFill="1" applyAlignment="1" applyProtection="1">
      <alignment horizontal="center"/>
    </xf>
    <xf numFmtId="39" fontId="27" fillId="0" borderId="0" xfId="359" applyNumberFormat="1" applyFont="1" applyFill="1" applyAlignment="1" applyProtection="1"/>
    <xf numFmtId="39" fontId="20" fillId="0" borderId="0" xfId="359" applyNumberFormat="1" applyFont="1" applyFill="1" applyAlignment="1" applyProtection="1"/>
    <xf numFmtId="39" fontId="20" fillId="0" borderId="0" xfId="359" applyNumberFormat="1" applyFont="1" applyFill="1" applyProtection="1"/>
    <xf numFmtId="39" fontId="27" fillId="0" borderId="0" xfId="359" applyNumberFormat="1" applyFont="1" applyFill="1" applyProtection="1"/>
    <xf numFmtId="43" fontId="20" fillId="0" borderId="10" xfId="359" applyNumberFormat="1" applyFont="1" applyFill="1" applyBorder="1" applyAlignment="1" applyProtection="1">
      <alignment horizontal="center"/>
    </xf>
    <xf numFmtId="39" fontId="20" fillId="0" borderId="0" xfId="359" applyNumberFormat="1" applyFont="1" applyFill="1" applyBorder="1" applyProtection="1"/>
    <xf numFmtId="39" fontId="20" fillId="0" borderId="10" xfId="359" applyNumberFormat="1" applyFont="1" applyFill="1" applyBorder="1" applyAlignment="1" applyProtection="1">
      <alignment horizontal="center"/>
    </xf>
    <xf numFmtId="39" fontId="20" fillId="0" borderId="0" xfId="359" applyNumberFormat="1" applyFont="1" applyFill="1" applyAlignment="1" applyProtection="1">
      <alignment horizontal="left"/>
    </xf>
    <xf numFmtId="39" fontId="20" fillId="0" borderId="0" xfId="359" applyNumberFormat="1" applyFont="1" applyFill="1" applyAlignment="1" applyProtection="1">
      <alignment horizontal="center"/>
    </xf>
    <xf numFmtId="39" fontId="20" fillId="0" borderId="0" xfId="359" quotePrefix="1" applyNumberFormat="1" applyFont="1" applyFill="1" applyAlignment="1" applyProtection="1">
      <alignment horizontal="center"/>
    </xf>
    <xf numFmtId="39" fontId="20" fillId="0" borderId="0" xfId="359" applyNumberFormat="1" applyFont="1" applyFill="1" applyBorder="1" applyAlignment="1" applyProtection="1">
      <alignment horizontal="center"/>
    </xf>
    <xf numFmtId="39" fontId="20" fillId="0" borderId="0" xfId="359" applyNumberFormat="1" applyFont="1" applyFill="1" applyBorder="1" applyAlignment="1" applyProtection="1">
      <alignment horizontal="left"/>
    </xf>
    <xf numFmtId="39" fontId="27" fillId="0" borderId="0" xfId="359" applyNumberFormat="1" applyFont="1" applyFill="1" applyAlignment="1" applyProtection="1">
      <alignment horizontal="left"/>
    </xf>
    <xf numFmtId="0" fontId="20" fillId="0" borderId="10" xfId="359" quotePrefix="1" applyNumberFormat="1" applyFont="1" applyFill="1" applyBorder="1" applyAlignment="1" applyProtection="1">
      <alignment horizontal="center"/>
    </xf>
    <xf numFmtId="39" fontId="76" fillId="0" borderId="0" xfId="359" applyNumberFormat="1" applyFont="1" applyFill="1" applyProtection="1"/>
    <xf numFmtId="39" fontId="76" fillId="0" borderId="0" xfId="359" applyNumberFormat="1" applyFont="1" applyFill="1" applyAlignment="1" applyProtection="1">
      <alignment horizontal="fill"/>
    </xf>
    <xf numFmtId="39" fontId="76" fillId="0" borderId="0" xfId="359" applyNumberFormat="1" applyFont="1" applyFill="1" applyAlignment="1" applyProtection="1">
      <alignment horizontal="left"/>
    </xf>
    <xf numFmtId="44" fontId="76" fillId="0" borderId="0" xfId="359" applyNumberFormat="1" applyFont="1" applyFill="1" applyAlignment="1" applyProtection="1">
      <alignment horizontal="right"/>
    </xf>
    <xf numFmtId="7" fontId="76" fillId="0" borderId="0" xfId="359" applyNumberFormat="1" applyFont="1" applyFill="1" applyAlignment="1" applyProtection="1">
      <alignment horizontal="right"/>
    </xf>
    <xf numFmtId="180" fontId="76" fillId="0" borderId="0" xfId="359" applyNumberFormat="1" applyFont="1" applyFill="1" applyAlignment="1" applyProtection="1">
      <alignment horizontal="right"/>
    </xf>
    <xf numFmtId="39" fontId="76" fillId="0" borderId="0" xfId="359" applyNumberFormat="1" applyFont="1" applyFill="1" applyAlignment="1" applyProtection="1">
      <alignment horizontal="right"/>
    </xf>
    <xf numFmtId="10" fontId="76" fillId="0" borderId="0" xfId="359" applyNumberFormat="1" applyFont="1" applyFill="1" applyAlignment="1" applyProtection="1">
      <alignment horizontal="right"/>
    </xf>
    <xf numFmtId="181" fontId="76" fillId="0" borderId="0" xfId="359" applyNumberFormat="1" applyFont="1" applyFill="1" applyAlignment="1" applyProtection="1">
      <alignment horizontal="right"/>
    </xf>
    <xf numFmtId="181" fontId="76" fillId="0" borderId="0" xfId="359" applyNumberFormat="1" applyFont="1" applyFill="1" applyBorder="1" applyAlignment="1" applyProtection="1">
      <alignment horizontal="right"/>
    </xf>
    <xf numFmtId="43" fontId="76" fillId="0" borderId="0" xfId="359" applyNumberFormat="1" applyFont="1" applyFill="1" applyAlignment="1" applyProtection="1">
      <alignment horizontal="right"/>
    </xf>
    <xf numFmtId="182" fontId="76" fillId="0" borderId="0" xfId="359" applyNumberFormat="1" applyFont="1" applyFill="1" applyAlignment="1" applyProtection="1">
      <alignment horizontal="right"/>
    </xf>
    <xf numFmtId="182" fontId="76" fillId="0" borderId="0" xfId="359" applyNumberFormat="1" applyFont="1" applyFill="1" applyBorder="1" applyAlignment="1" applyProtection="1">
      <alignment horizontal="right"/>
    </xf>
    <xf numFmtId="43" fontId="76" fillId="0" borderId="0" xfId="359" applyNumberFormat="1" applyFont="1" applyFill="1" applyBorder="1" applyAlignment="1" applyProtection="1">
      <alignment horizontal="right"/>
    </xf>
    <xf numFmtId="10" fontId="76" fillId="0" borderId="0" xfId="359" applyNumberFormat="1" applyFont="1" applyFill="1" applyBorder="1" applyAlignment="1" applyProtection="1">
      <alignment horizontal="right"/>
    </xf>
    <xf numFmtId="43" fontId="76" fillId="0" borderId="37" xfId="359" applyNumberFormat="1" applyFont="1" applyFill="1" applyBorder="1" applyAlignment="1" applyProtection="1">
      <alignment horizontal="right"/>
    </xf>
    <xf numFmtId="39" fontId="76" fillId="0" borderId="37" xfId="359" applyNumberFormat="1" applyFont="1" applyFill="1" applyBorder="1" applyAlignment="1" applyProtection="1">
      <alignment horizontal="right"/>
    </xf>
    <xf numFmtId="183" fontId="76" fillId="0" borderId="37" xfId="359" applyNumberFormat="1" applyFont="1" applyFill="1" applyBorder="1" applyAlignment="1" applyProtection="1">
      <alignment horizontal="right"/>
    </xf>
    <xf numFmtId="39" fontId="76" fillId="0" borderId="0" xfId="359" applyNumberFormat="1" applyFont="1" applyFill="1" applyAlignment="1" applyProtection="1">
      <alignment horizontal="left" indent="1"/>
    </xf>
    <xf numFmtId="43" fontId="76" fillId="0" borderId="10" xfId="359" applyNumberFormat="1" applyFont="1" applyFill="1" applyBorder="1" applyAlignment="1" applyProtection="1">
      <alignment horizontal="right"/>
    </xf>
    <xf numFmtId="41" fontId="76" fillId="0" borderId="0" xfId="359" applyNumberFormat="1" applyFont="1" applyFill="1" applyAlignment="1" applyProtection="1">
      <alignment horizontal="right"/>
    </xf>
    <xf numFmtId="180" fontId="76" fillId="0" borderId="10" xfId="359" applyNumberFormat="1" applyFont="1" applyFill="1" applyBorder="1" applyAlignment="1" applyProtection="1">
      <alignment horizontal="right"/>
    </xf>
    <xf numFmtId="182" fontId="76" fillId="0" borderId="10" xfId="359" applyNumberFormat="1" applyFont="1" applyFill="1" applyBorder="1" applyAlignment="1" applyProtection="1">
      <alignment horizontal="right"/>
    </xf>
    <xf numFmtId="43" fontId="20" fillId="0" borderId="37" xfId="359" applyNumberFormat="1" applyFont="1" applyFill="1" applyBorder="1" applyAlignment="1" applyProtection="1">
      <alignment horizontal="right"/>
    </xf>
    <xf numFmtId="43" fontId="20" fillId="0" borderId="0" xfId="359" applyNumberFormat="1" applyFont="1" applyFill="1" applyAlignment="1" applyProtection="1">
      <alignment horizontal="right"/>
    </xf>
    <xf numFmtId="39" fontId="20" fillId="0" borderId="0" xfId="359" applyNumberFormat="1" applyFont="1" applyFill="1" applyAlignment="1" applyProtection="1">
      <alignment horizontal="right"/>
    </xf>
    <xf numFmtId="39" fontId="76" fillId="0" borderId="0" xfId="359" applyNumberFormat="1" applyFont="1" applyFill="1" applyBorder="1" applyAlignment="1" applyProtection="1">
      <alignment horizontal="left" indent="1"/>
    </xf>
    <xf numFmtId="180" fontId="76" fillId="0" borderId="0" xfId="359" applyNumberFormat="1" applyFont="1" applyFill="1" applyBorder="1" applyAlignment="1" applyProtection="1">
      <alignment horizontal="right"/>
    </xf>
    <xf numFmtId="39" fontId="76" fillId="0" borderId="0" xfId="359" applyNumberFormat="1" applyFont="1" applyFill="1" applyBorder="1" applyAlignment="1" applyProtection="1">
      <alignment horizontal="left"/>
    </xf>
    <xf numFmtId="39" fontId="76" fillId="0" borderId="0" xfId="359" applyNumberFormat="1" applyFont="1" applyFill="1" applyBorder="1" applyAlignment="1" applyProtection="1">
      <alignment horizontal="right"/>
    </xf>
    <xf numFmtId="44" fontId="76" fillId="0" borderId="0" xfId="359" applyNumberFormat="1" applyFont="1" applyFill="1" applyBorder="1" applyAlignment="1" applyProtection="1">
      <alignment horizontal="right"/>
    </xf>
    <xf numFmtId="44" fontId="76" fillId="0" borderId="26" xfId="359" applyNumberFormat="1" applyFont="1" applyFill="1" applyBorder="1" applyAlignment="1" applyProtection="1">
      <alignment horizontal="right"/>
    </xf>
    <xf numFmtId="180" fontId="76" fillId="0" borderId="26" xfId="359" applyNumberFormat="1" applyFont="1" applyFill="1" applyBorder="1" applyAlignment="1" applyProtection="1">
      <alignment horizontal="right"/>
    </xf>
    <xf numFmtId="184" fontId="76" fillId="0" borderId="0" xfId="359" applyNumberFormat="1" applyFont="1" applyFill="1" applyBorder="1" applyAlignment="1" applyProtection="1">
      <alignment horizontal="right"/>
    </xf>
    <xf numFmtId="44" fontId="20" fillId="0" borderId="0" xfId="359" applyNumberFormat="1" applyFont="1" applyFill="1" applyBorder="1" applyAlignment="1" applyProtection="1">
      <alignment horizontal="right"/>
    </xf>
    <xf numFmtId="43" fontId="20" fillId="0" borderId="0" xfId="359" applyNumberFormat="1" applyFont="1" applyFill="1" applyBorder="1" applyAlignment="1" applyProtection="1">
      <alignment horizontal="right"/>
    </xf>
    <xf numFmtId="39" fontId="20" fillId="0" borderId="0" xfId="359" applyNumberFormat="1" applyFont="1" applyFill="1" applyBorder="1" applyAlignment="1" applyProtection="1">
      <alignment horizontal="right"/>
    </xf>
    <xf numFmtId="44" fontId="20" fillId="0" borderId="0" xfId="359" applyNumberFormat="1" applyFont="1" applyFill="1" applyProtection="1"/>
    <xf numFmtId="44" fontId="20" fillId="0" borderId="10" xfId="359" applyNumberFormat="1" applyFont="1" applyFill="1" applyBorder="1" applyAlignment="1" applyProtection="1">
      <alignment horizontal="center"/>
    </xf>
    <xf numFmtId="44" fontId="20" fillId="0" borderId="0" xfId="359" applyNumberFormat="1" applyFont="1" applyFill="1" applyAlignment="1" applyProtection="1">
      <alignment horizontal="center"/>
    </xf>
    <xf numFmtId="44" fontId="20" fillId="0" borderId="0" xfId="359" applyNumberFormat="1" applyFont="1" applyFill="1" applyAlignment="1" applyProtection="1">
      <alignment horizontal="left"/>
    </xf>
    <xf numFmtId="39" fontId="20" fillId="0" borderId="0" xfId="359" applyNumberFormat="1" applyFont="1" applyFill="1" applyAlignment="1" applyProtection="1">
      <alignment horizontal="fill"/>
    </xf>
    <xf numFmtId="44" fontId="20" fillId="0" borderId="10" xfId="359" quotePrefix="1" applyNumberFormat="1" applyFont="1" applyFill="1" applyBorder="1" applyAlignment="1" applyProtection="1">
      <alignment horizontal="center"/>
    </xf>
    <xf numFmtId="44" fontId="76" fillId="0" borderId="0" xfId="359" applyNumberFormat="1" applyFont="1" applyFill="1" applyAlignment="1" applyProtection="1">
      <alignment horizontal="fill"/>
    </xf>
    <xf numFmtId="44" fontId="76" fillId="0" borderId="0" xfId="359" applyNumberFormat="1" applyFont="1" applyFill="1" applyProtection="1"/>
    <xf numFmtId="43" fontId="76" fillId="0" borderId="0" xfId="359" applyNumberFormat="1" applyFont="1" applyFill="1" applyProtection="1"/>
    <xf numFmtId="43" fontId="76" fillId="0" borderId="0" xfId="359" applyNumberFormat="1" applyFont="1" applyFill="1" applyAlignment="1" applyProtection="1">
      <alignment horizontal="fill"/>
    </xf>
    <xf numFmtId="176" fontId="76" fillId="0" borderId="0" xfId="359" applyNumberFormat="1" applyFont="1" applyFill="1" applyAlignment="1" applyProtection="1">
      <alignment horizontal="right"/>
    </xf>
    <xf numFmtId="10" fontId="76" fillId="0" borderId="0" xfId="359" applyNumberFormat="1" applyFont="1" applyFill="1" applyProtection="1"/>
    <xf numFmtId="176" fontId="76" fillId="0" borderId="0" xfId="359" applyNumberFormat="1" applyFont="1" applyFill="1" applyBorder="1" applyAlignment="1" applyProtection="1">
      <alignment horizontal="right"/>
    </xf>
    <xf numFmtId="41" fontId="76" fillId="0" borderId="0" xfId="359" applyNumberFormat="1" applyFont="1" applyFill="1" applyBorder="1" applyAlignment="1" applyProtection="1">
      <alignment horizontal="right"/>
    </xf>
    <xf numFmtId="171" fontId="76" fillId="0" borderId="0" xfId="359" applyNumberFormat="1" applyFont="1" applyFill="1" applyProtection="1"/>
    <xf numFmtId="176" fontId="20" fillId="0" borderId="37" xfId="359" applyNumberFormat="1" applyFont="1" applyFill="1" applyBorder="1" applyAlignment="1" applyProtection="1">
      <alignment horizontal="right"/>
    </xf>
    <xf numFmtId="176" fontId="20" fillId="0" borderId="0" xfId="359" applyNumberFormat="1" applyFont="1" applyFill="1" applyAlignment="1" applyProtection="1">
      <alignment horizontal="right"/>
    </xf>
    <xf numFmtId="41" fontId="20" fillId="0" borderId="0" xfId="359" applyNumberFormat="1" applyFont="1" applyFill="1" applyAlignment="1" applyProtection="1">
      <alignment horizontal="right"/>
    </xf>
    <xf numFmtId="41" fontId="20" fillId="0" borderId="37" xfId="359" applyNumberFormat="1" applyFont="1" applyFill="1" applyBorder="1" applyAlignment="1" applyProtection="1">
      <alignment horizontal="right"/>
    </xf>
    <xf numFmtId="176" fontId="76" fillId="0" borderId="10" xfId="359" applyNumberFormat="1" applyFont="1" applyFill="1" applyBorder="1" applyAlignment="1" applyProtection="1">
      <alignment horizontal="right"/>
    </xf>
    <xf numFmtId="176" fontId="76" fillId="0" borderId="37" xfId="359" applyNumberFormat="1" applyFont="1" applyFill="1" applyBorder="1" applyAlignment="1" applyProtection="1">
      <alignment horizontal="right"/>
    </xf>
    <xf numFmtId="41" fontId="76" fillId="0" borderId="37" xfId="359" applyNumberFormat="1" applyFont="1" applyFill="1" applyBorder="1" applyAlignment="1" applyProtection="1">
      <alignment horizontal="right"/>
    </xf>
    <xf numFmtId="176" fontId="76" fillId="0" borderId="26" xfId="359" applyNumberFormat="1" applyFont="1" applyFill="1" applyBorder="1" applyAlignment="1" applyProtection="1">
      <alignment horizontal="right"/>
    </xf>
    <xf numFmtId="41" fontId="20" fillId="0" borderId="0" xfId="359" applyNumberFormat="1" applyFont="1" applyFill="1" applyBorder="1" applyAlignment="1" applyProtection="1">
      <alignment horizontal="fill"/>
    </xf>
    <xf numFmtId="41" fontId="20" fillId="0" borderId="0" xfId="359" applyNumberFormat="1" applyFont="1" applyFill="1" applyProtection="1"/>
    <xf numFmtId="41" fontId="20" fillId="0" borderId="0" xfId="359" applyNumberFormat="1" applyFont="1" applyFill="1" applyAlignment="1" applyProtection="1">
      <alignment horizontal="left"/>
    </xf>
    <xf numFmtId="0" fontId="94" fillId="0" borderId="0" xfId="359" applyFill="1" applyAlignment="1"/>
    <xf numFmtId="0" fontId="94" fillId="0" borderId="0" xfId="359" applyFill="1" applyAlignment="1" applyProtection="1"/>
    <xf numFmtId="4" fontId="0" fillId="107" borderId="0" xfId="0" applyNumberFormat="1" applyFill="1"/>
    <xf numFmtId="3" fontId="0" fillId="0" borderId="0" xfId="0" applyNumberFormat="1" applyFill="1"/>
    <xf numFmtId="41" fontId="22" fillId="0" borderId="10" xfId="2" applyNumberFormat="1" applyFont="1" applyFill="1" applyBorder="1" applyAlignment="1">
      <alignment horizontal="left" wrapText="1"/>
    </xf>
    <xf numFmtId="0" fontId="87" fillId="0" borderId="0" xfId="0" applyFont="1" applyAlignment="1">
      <alignment horizontal="left"/>
    </xf>
    <xf numFmtId="186" fontId="95" fillId="0" borderId="0" xfId="1" applyNumberFormat="1" applyFont="1" applyFill="1"/>
    <xf numFmtId="168" fontId="22" fillId="0" borderId="0" xfId="3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left"/>
    </xf>
    <xf numFmtId="188" fontId="22" fillId="0" borderId="0" xfId="45" applyNumberFormat="1" applyFont="1" applyFill="1" applyBorder="1">
      <alignment horizontal="left" wrapText="1"/>
    </xf>
    <xf numFmtId="41" fontId="22" fillId="0" borderId="10" xfId="45" applyNumberFormat="1" applyFont="1" applyFill="1" applyBorder="1">
      <alignment horizontal="left" wrapText="1"/>
    </xf>
    <xf numFmtId="0" fontId="96" fillId="0" borderId="0" xfId="0" applyFont="1"/>
    <xf numFmtId="42" fontId="22" fillId="0" borderId="0" xfId="2" applyNumberFormat="1" applyFont="1" applyFill="1" applyAlignment="1"/>
    <xf numFmtId="41" fontId="22" fillId="0" borderId="0" xfId="45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41" fontId="22" fillId="0" borderId="0" xfId="2" applyNumberFormat="1" applyFont="1" applyFill="1" applyAlignment="1"/>
  </cellXfs>
  <cellStyles count="360">
    <cellStyle name="20% - Accent1" xfId="22" builtinId="30" customBuiltin="1"/>
    <cellStyle name="20% - Accent1 2" xfId="212"/>
    <cellStyle name="20% - Accent1 2 2" xfId="244"/>
    <cellStyle name="20% - Accent2" xfId="26" builtinId="34" customBuiltin="1"/>
    <cellStyle name="20% - Accent2 2" xfId="216"/>
    <cellStyle name="20% - Accent2 2 2" xfId="245"/>
    <cellStyle name="20% - Accent3" xfId="30" builtinId="38" customBuiltin="1"/>
    <cellStyle name="20% - Accent3 2" xfId="220"/>
    <cellStyle name="20% - Accent3 2 2" xfId="246"/>
    <cellStyle name="20% - Accent4" xfId="34" builtinId="42" customBuiltin="1"/>
    <cellStyle name="20% - Accent4 2" xfId="224"/>
    <cellStyle name="20% - Accent4 2 2" xfId="247"/>
    <cellStyle name="20% - Accent5" xfId="38" builtinId="46" customBuiltin="1"/>
    <cellStyle name="20% - Accent5 2" xfId="228"/>
    <cellStyle name="20% - Accent5 2 2" xfId="248"/>
    <cellStyle name="20% - Accent6" xfId="42" builtinId="50" customBuiltin="1"/>
    <cellStyle name="20% - Accent6 2" xfId="232"/>
    <cellStyle name="20% - Accent6 2 2" xfId="249"/>
    <cellStyle name="40% - Accent1" xfId="23" builtinId="31" customBuiltin="1"/>
    <cellStyle name="40% - Accent1 2" xfId="213"/>
    <cellStyle name="40% - Accent1 2 2" xfId="250"/>
    <cellStyle name="40% - Accent2" xfId="27" builtinId="35" customBuiltin="1"/>
    <cellStyle name="40% - Accent2 2" xfId="217"/>
    <cellStyle name="40% - Accent2 2 2" xfId="251"/>
    <cellStyle name="40% - Accent3" xfId="31" builtinId="39" customBuiltin="1"/>
    <cellStyle name="40% - Accent3 2" xfId="221"/>
    <cellStyle name="40% - Accent3 2 2" xfId="252"/>
    <cellStyle name="40% - Accent4" xfId="35" builtinId="43" customBuiltin="1"/>
    <cellStyle name="40% - Accent4 2" xfId="225"/>
    <cellStyle name="40% - Accent4 2 2" xfId="253"/>
    <cellStyle name="40% - Accent5" xfId="39" builtinId="47" customBuiltin="1"/>
    <cellStyle name="40% - Accent5 2" xfId="229"/>
    <cellStyle name="40% - Accent5 2 2" xfId="254"/>
    <cellStyle name="40% - Accent6" xfId="43" builtinId="51" customBuiltin="1"/>
    <cellStyle name="40% - Accent6 2" xfId="233"/>
    <cellStyle name="40% - Accent6 2 2" xfId="255"/>
    <cellStyle name="60% - Accent1" xfId="24" builtinId="32" customBuiltin="1"/>
    <cellStyle name="60% - Accent1 2" xfId="214"/>
    <cellStyle name="60% - Accent2" xfId="28" builtinId="36" customBuiltin="1"/>
    <cellStyle name="60% - Accent2 2" xfId="218"/>
    <cellStyle name="60% - Accent3" xfId="32" builtinId="40" customBuiltin="1"/>
    <cellStyle name="60% - Accent3 2" xfId="222"/>
    <cellStyle name="60% - Accent4" xfId="36" builtinId="44" customBuiltin="1"/>
    <cellStyle name="60% - Accent4 2" xfId="226"/>
    <cellStyle name="60% - Accent5" xfId="40" builtinId="48" customBuiltin="1"/>
    <cellStyle name="60% - Accent5 2" xfId="230"/>
    <cellStyle name="60% - Accent6" xfId="44" builtinId="52" customBuiltin="1"/>
    <cellStyle name="60% - Accent6 2" xfId="234"/>
    <cellStyle name="Accent1" xfId="21" builtinId="29" customBuiltin="1"/>
    <cellStyle name="Accent1 - 20%" xfId="60"/>
    <cellStyle name="Accent1 - 20% 2" xfId="297"/>
    <cellStyle name="Accent1 - 40%" xfId="56"/>
    <cellStyle name="Accent1 - 40% 2" xfId="298"/>
    <cellStyle name="Accent1 - 60%" xfId="52"/>
    <cellStyle name="Accent1 - 60% 2" xfId="299"/>
    <cellStyle name="Accent1 2" xfId="64"/>
    <cellStyle name="Accent1 3" xfId="133"/>
    <cellStyle name="Accent1 4" xfId="178"/>
    <cellStyle name="Accent1 5" xfId="191"/>
    <cellStyle name="Accent1 6" xfId="211"/>
    <cellStyle name="Accent1 7" xfId="236"/>
    <cellStyle name="Accent2" xfId="25" builtinId="33" customBuiltin="1"/>
    <cellStyle name="Accent2 - 20%" xfId="71"/>
    <cellStyle name="Accent2 - 20% 2" xfId="300"/>
    <cellStyle name="Accent2 - 40%" xfId="67"/>
    <cellStyle name="Accent2 - 40% 2" xfId="301"/>
    <cellStyle name="Accent2 - 60%" xfId="63"/>
    <cellStyle name="Accent2 - 60% 2" xfId="302"/>
    <cellStyle name="Accent2 2" xfId="48"/>
    <cellStyle name="Accent2 3" xfId="134"/>
    <cellStyle name="Accent2 4" xfId="179"/>
    <cellStyle name="Accent2 5" xfId="190"/>
    <cellStyle name="Accent2 6" xfId="215"/>
    <cellStyle name="Accent2 7" xfId="237"/>
    <cellStyle name="Accent3" xfId="29" builtinId="37" customBuiltin="1"/>
    <cellStyle name="Accent3 - 20%" xfId="55"/>
    <cellStyle name="Accent3 - 20% 2" xfId="303"/>
    <cellStyle name="Accent3 - 40%" xfId="51"/>
    <cellStyle name="Accent3 - 40% 2" xfId="304"/>
    <cellStyle name="Accent3 - 60%" xfId="70"/>
    <cellStyle name="Accent3 - 60% 2" xfId="305"/>
    <cellStyle name="Accent3 2" xfId="59"/>
    <cellStyle name="Accent3 3" xfId="135"/>
    <cellStyle name="Accent3 4" xfId="181"/>
    <cellStyle name="Accent3 5" xfId="189"/>
    <cellStyle name="Accent3 6" xfId="219"/>
    <cellStyle name="Accent3 7" xfId="238"/>
    <cellStyle name="Accent4" xfId="33" builtinId="41" customBuiltin="1"/>
    <cellStyle name="Accent4 - 20%" xfId="62"/>
    <cellStyle name="Accent4 - 20% 2" xfId="306"/>
    <cellStyle name="Accent4 - 40%" xfId="58"/>
    <cellStyle name="Accent4 - 40% 2" xfId="307"/>
    <cellStyle name="Accent4 - 60%" xfId="54"/>
    <cellStyle name="Accent4 - 60% 2" xfId="308"/>
    <cellStyle name="Accent4 2" xfId="66"/>
    <cellStyle name="Accent4 3" xfId="136"/>
    <cellStyle name="Accent4 4" xfId="182"/>
    <cellStyle name="Accent4 5" xfId="187"/>
    <cellStyle name="Accent4 6" xfId="223"/>
    <cellStyle name="Accent4 7" xfId="239"/>
    <cellStyle name="Accent5" xfId="37" builtinId="45" customBuiltin="1"/>
    <cellStyle name="Accent5 - 20%" xfId="69"/>
    <cellStyle name="Accent5 - 20% 2" xfId="309"/>
    <cellStyle name="Accent5 - 40%" xfId="65"/>
    <cellStyle name="Accent5 - 60%" xfId="61"/>
    <cellStyle name="Accent5 - 60% 2" xfId="310"/>
    <cellStyle name="Accent5 2" xfId="50"/>
    <cellStyle name="Accent5 3" xfId="137"/>
    <cellStyle name="Accent5 4" xfId="183"/>
    <cellStyle name="Accent5 5" xfId="186"/>
    <cellStyle name="Accent5 6" xfId="227"/>
    <cellStyle name="Accent5 7" xfId="240"/>
    <cellStyle name="Accent6" xfId="41" builtinId="49" customBuiltin="1"/>
    <cellStyle name="Accent6 - 20%" xfId="53"/>
    <cellStyle name="Accent6 - 40%" xfId="49"/>
    <cellStyle name="Accent6 - 40% 2" xfId="311"/>
    <cellStyle name="Accent6 - 60%" xfId="72"/>
    <cellStyle name="Accent6 - 60% 2" xfId="312"/>
    <cellStyle name="Accent6 2" xfId="57"/>
    <cellStyle name="Accent6 3" xfId="138"/>
    <cellStyle name="Accent6 4" xfId="184"/>
    <cellStyle name="Accent6 5" xfId="185"/>
    <cellStyle name="Accent6 6" xfId="231"/>
    <cellStyle name="Accent6 7" xfId="241"/>
    <cellStyle name="Bad" xfId="10" builtinId="27" customBuiltin="1"/>
    <cellStyle name="Bad 2" xfId="73"/>
    <cellStyle name="Bad 3" xfId="200"/>
    <cellStyle name="Calculation" xfId="14" builtinId="22" customBuiltin="1"/>
    <cellStyle name="Calculation 2" xfId="74"/>
    <cellStyle name="Calculation 3" xfId="204"/>
    <cellStyle name="Check Cell" xfId="16" builtinId="23" customBuiltin="1"/>
    <cellStyle name="Check Cell 2" xfId="75"/>
    <cellStyle name="Check Cell 3" xfId="206"/>
    <cellStyle name="Comma" xfId="1" builtinId="3"/>
    <cellStyle name="Comma 2" xfId="143"/>
    <cellStyle name="Comma 2 2" xfId="256"/>
    <cellStyle name="Comma 2 3" xfId="296"/>
    <cellStyle name="Comma 3" xfId="257"/>
    <cellStyle name="Comma 4" xfId="258"/>
    <cellStyle name="Comma 4 2" xfId="270"/>
    <cellStyle name="Comma 4 3" xfId="271"/>
    <cellStyle name="Comma 4 4" xfId="272"/>
    <cellStyle name="Comma 4 5" xfId="273"/>
    <cellStyle name="Comma 5" xfId="259"/>
    <cellStyle name="Comma 6" xfId="260"/>
    <cellStyle name="Comma 6 2" xfId="274"/>
    <cellStyle name="Comma 6 3" xfId="275"/>
    <cellStyle name="Comma 6 4" xfId="276"/>
    <cellStyle name="Comma 6 5" xfId="277"/>
    <cellStyle name="Comma 7" xfId="261"/>
    <cellStyle name="Currency" xfId="2" builtinId="4"/>
    <cellStyle name="Currency 2" xfId="142"/>
    <cellStyle name="Currency 3" xfId="262"/>
    <cellStyle name="Currency 3 2" xfId="295"/>
    <cellStyle name="Emphasis 1" xfId="76"/>
    <cellStyle name="Emphasis 1 2" xfId="313"/>
    <cellStyle name="Emphasis 2" xfId="77"/>
    <cellStyle name="Emphasis 2 2" xfId="314"/>
    <cellStyle name="Emphasis 3" xfId="78"/>
    <cellStyle name="Entered" xfId="144"/>
    <cellStyle name="Explanatory Text" xfId="19" builtinId="53" customBuiltin="1"/>
    <cellStyle name="Explanatory Text 2" xfId="209"/>
    <cellStyle name="Good" xfId="9" builtinId="26" customBuiltin="1"/>
    <cellStyle name="Good 2" xfId="79"/>
    <cellStyle name="Good 3" xfId="199"/>
    <cellStyle name="Grey" xfId="145"/>
    <cellStyle name="Heading 1" xfId="5" builtinId="16" customBuiltin="1"/>
    <cellStyle name="Heading 1 2" xfId="80"/>
    <cellStyle name="Heading 1 3" xfId="195"/>
    <cellStyle name="Heading 2" xfId="6" builtinId="17" customBuiltin="1"/>
    <cellStyle name="Heading 2 2" xfId="81"/>
    <cellStyle name="Heading 2 3" xfId="196"/>
    <cellStyle name="Heading 3" xfId="7" builtinId="18" customBuiltin="1"/>
    <cellStyle name="Heading 3 2" xfId="82"/>
    <cellStyle name="Heading 3 3" xfId="197"/>
    <cellStyle name="Heading 4" xfId="8" builtinId="19" customBuiltin="1"/>
    <cellStyle name="Heading 4 2" xfId="83"/>
    <cellStyle name="Heading 4 3" xfId="198"/>
    <cellStyle name="Input" xfId="12" builtinId="20" customBuiltin="1"/>
    <cellStyle name="Input [yellow]" xfId="146"/>
    <cellStyle name="Input 2" xfId="84"/>
    <cellStyle name="Input 3" xfId="188"/>
    <cellStyle name="Input 4" xfId="180"/>
    <cellStyle name="Input 5" xfId="202"/>
    <cellStyle name="Input 6" xfId="235"/>
    <cellStyle name="Linked Cell" xfId="15" builtinId="24" customBuiltin="1"/>
    <cellStyle name="Linked Cell 2" xfId="85"/>
    <cellStyle name="Linked Cell 3" xfId="205"/>
    <cellStyle name="Neutral" xfId="11" builtinId="28" customBuiltin="1"/>
    <cellStyle name="Neutral 2" xfId="86"/>
    <cellStyle name="Neutral 3" xfId="201"/>
    <cellStyle name="Normal" xfId="0" builtinId="0"/>
    <cellStyle name="Normal - Style1" xfId="147"/>
    <cellStyle name="Normal 10" xfId="194"/>
    <cellStyle name="Normal 11" xfId="243"/>
    <cellStyle name="Normal 11 2" xfId="294"/>
    <cellStyle name="Normal 12" xfId="293"/>
    <cellStyle name="Normal 13" xfId="358"/>
    <cellStyle name="Normal 14" xfId="359"/>
    <cellStyle name="Normal 155" xfId="139"/>
    <cellStyle name="Normal 2" xfId="46"/>
    <cellStyle name="Normal 2 2" xfId="263"/>
    <cellStyle name="Normal 2 3" xfId="264"/>
    <cellStyle name="Normal 2 4" xfId="265"/>
    <cellStyle name="Normal 2 5" xfId="278"/>
    <cellStyle name="Normal 2 5 2" xfId="279"/>
    <cellStyle name="Normal 2 5 3" xfId="280"/>
    <cellStyle name="Normal 3" xfId="47"/>
    <cellStyle name="Normal 3 2" xfId="266"/>
    <cellStyle name="Normal 3 2 2" xfId="281"/>
    <cellStyle name="Normal 3 2 3" xfId="282"/>
    <cellStyle name="Normal 3 2 4" xfId="283"/>
    <cellStyle name="Normal 3 2 5" xfId="284"/>
    <cellStyle name="Normal 4" xfId="68"/>
    <cellStyle name="Normal 5" xfId="141"/>
    <cellStyle name="Normal 5 2" xfId="285"/>
    <cellStyle name="Normal 5 3" xfId="286"/>
    <cellStyle name="Normal 5 4" xfId="287"/>
    <cellStyle name="Normal 5 5" xfId="288"/>
    <cellStyle name="Normal 6" xfId="177"/>
    <cellStyle name="Normal 7" xfId="192"/>
    <cellStyle name="Normal 7 2" xfId="289"/>
    <cellStyle name="Normal 7 3" xfId="290"/>
    <cellStyle name="Normal 7 4" xfId="291"/>
    <cellStyle name="Normal 7 5" xfId="292"/>
    <cellStyle name="Normal 8" xfId="140"/>
    <cellStyle name="Normal 9" xfId="193"/>
    <cellStyle name="Note" xfId="18" builtinId="10" customBuiltin="1"/>
    <cellStyle name="Note 2" xfId="87"/>
    <cellStyle name="Note 2 2" xfId="267"/>
    <cellStyle name="Note 3" xfId="208"/>
    <cellStyle name="Output" xfId="13" builtinId="21" customBuiltin="1"/>
    <cellStyle name="Output 2" xfId="88"/>
    <cellStyle name="Output 3" xfId="203"/>
    <cellStyle name="Percent" xfId="3" builtinId="5"/>
    <cellStyle name="Percent [2]" xfId="148"/>
    <cellStyle name="Percent 2" xfId="242"/>
    <cellStyle name="Percent 3" xfId="268"/>
    <cellStyle name="SAPBEXaggData" xfId="89"/>
    <cellStyle name="SAPBEXaggData 2" xfId="315"/>
    <cellStyle name="SAPBEXaggDataEmph" xfId="90"/>
    <cellStyle name="SAPBEXaggDataEmph 2" xfId="316"/>
    <cellStyle name="SAPBEXaggItem" xfId="91"/>
    <cellStyle name="SAPBEXaggItem 2" xfId="317"/>
    <cellStyle name="SAPBEXaggItemX" xfId="92"/>
    <cellStyle name="SAPBEXaggItemX 2" xfId="318"/>
    <cellStyle name="SAPBEXchaText" xfId="93"/>
    <cellStyle name="SAPBEXchaText 2" xfId="319"/>
    <cellStyle name="SAPBEXexcBad7" xfId="94"/>
    <cellStyle name="SAPBEXexcBad7 2" xfId="320"/>
    <cellStyle name="SAPBEXexcBad8" xfId="95"/>
    <cellStyle name="SAPBEXexcBad8 2" xfId="321"/>
    <cellStyle name="SAPBEXexcBad9" xfId="96"/>
    <cellStyle name="SAPBEXexcBad9 2" xfId="322"/>
    <cellStyle name="SAPBEXexcCritical4" xfId="97"/>
    <cellStyle name="SAPBEXexcCritical4 2" xfId="323"/>
    <cellStyle name="SAPBEXexcCritical5" xfId="98"/>
    <cellStyle name="SAPBEXexcCritical5 2" xfId="324"/>
    <cellStyle name="SAPBEXexcCritical6" xfId="99"/>
    <cellStyle name="SAPBEXexcCritical6 2" xfId="325"/>
    <cellStyle name="SAPBEXexcGood1" xfId="100"/>
    <cellStyle name="SAPBEXexcGood1 2" xfId="326"/>
    <cellStyle name="SAPBEXexcGood2" xfId="101"/>
    <cellStyle name="SAPBEXexcGood2 2" xfId="327"/>
    <cellStyle name="SAPBEXexcGood3" xfId="102"/>
    <cellStyle name="SAPBEXexcGood3 2" xfId="328"/>
    <cellStyle name="SAPBEXfilterDrill" xfId="103"/>
    <cellStyle name="SAPBEXfilterDrill 2" xfId="329"/>
    <cellStyle name="SAPBEXfilterItem" xfId="104"/>
    <cellStyle name="SAPBEXfilterItem 2" xfId="330"/>
    <cellStyle name="SAPBEXfilterText" xfId="105"/>
    <cellStyle name="SAPBEXfilterText 2" xfId="331"/>
    <cellStyle name="SAPBEXformats" xfId="106"/>
    <cellStyle name="SAPBEXformats 2" xfId="332"/>
    <cellStyle name="SAPBEXheaderItem" xfId="107"/>
    <cellStyle name="SAPBEXheaderItem 2" xfId="333"/>
    <cellStyle name="SAPBEXheaderText" xfId="108"/>
    <cellStyle name="SAPBEXheaderText 2" xfId="334"/>
    <cellStyle name="SAPBEXHLevel0" xfId="109"/>
    <cellStyle name="SAPBEXHLevel0 2" xfId="335"/>
    <cellStyle name="SAPBEXHLevel0X" xfId="110"/>
    <cellStyle name="SAPBEXHLevel0X 2" xfId="336"/>
    <cellStyle name="SAPBEXHLevel1" xfId="111"/>
    <cellStyle name="SAPBEXHLevel1 2" xfId="337"/>
    <cellStyle name="SAPBEXHLevel1X" xfId="112"/>
    <cellStyle name="SAPBEXHLevel1X 2" xfId="338"/>
    <cellStyle name="SAPBEXHLevel2" xfId="113"/>
    <cellStyle name="SAPBEXHLevel2 2" xfId="339"/>
    <cellStyle name="SAPBEXHLevel2X" xfId="114"/>
    <cellStyle name="SAPBEXHLevel2X 2" xfId="340"/>
    <cellStyle name="SAPBEXHLevel3" xfId="115"/>
    <cellStyle name="SAPBEXHLevel3 2" xfId="341"/>
    <cellStyle name="SAPBEXHLevel3X" xfId="116"/>
    <cellStyle name="SAPBEXHLevel3X 2" xfId="342"/>
    <cellStyle name="SAPBEXinputData" xfId="117"/>
    <cellStyle name="SAPBEXinputData 2" xfId="343"/>
    <cellStyle name="SAPBEXItemHeader" xfId="118"/>
    <cellStyle name="SAPBEXresData" xfId="119"/>
    <cellStyle name="SAPBEXresData 2" xfId="344"/>
    <cellStyle name="SAPBEXresDataEmph" xfId="120"/>
    <cellStyle name="SAPBEXresDataEmph 2" xfId="345"/>
    <cellStyle name="SAPBEXresItem" xfId="121"/>
    <cellStyle name="SAPBEXresItem 2" xfId="346"/>
    <cellStyle name="SAPBEXresItemX" xfId="122"/>
    <cellStyle name="SAPBEXresItemX 2" xfId="347"/>
    <cellStyle name="SAPBEXstdData" xfId="123"/>
    <cellStyle name="SAPBEXstdData 2" xfId="348"/>
    <cellStyle name="SAPBEXstdDataEmph" xfId="124"/>
    <cellStyle name="SAPBEXstdDataEmph 2" xfId="349"/>
    <cellStyle name="SAPBEXstdItem" xfId="125"/>
    <cellStyle name="SAPBEXstdItem 2" xfId="350"/>
    <cellStyle name="SAPBEXstdItemX" xfId="126"/>
    <cellStyle name="SAPBEXstdItemX 2" xfId="351"/>
    <cellStyle name="SAPBEXtitle" xfId="127"/>
    <cellStyle name="SAPBEXtitle 2" xfId="352"/>
    <cellStyle name="SAPBEXunassignedItem" xfId="128"/>
    <cellStyle name="SAPBEXundefined" xfId="129"/>
    <cellStyle name="SAPBEXundefined 2" xfId="353"/>
    <cellStyle name="SAPBorder" xfId="149"/>
    <cellStyle name="SAPDataCell" xfId="150"/>
    <cellStyle name="SAPDataRemoved" xfId="355"/>
    <cellStyle name="SAPDataTotalCell" xfId="151"/>
    <cellStyle name="SAPDimensionCell" xfId="152"/>
    <cellStyle name="SAPEditableDataCell" xfId="153"/>
    <cellStyle name="SAPEditableDataTotalCell" xfId="154"/>
    <cellStyle name="SAPEmphasized" xfId="155"/>
    <cellStyle name="SAPEmphasizedTotal" xfId="156"/>
    <cellStyle name="SAPError" xfId="356"/>
    <cellStyle name="SAPExceptionLevel1" xfId="157"/>
    <cellStyle name="SAPExceptionLevel2" xfId="158"/>
    <cellStyle name="SAPExceptionLevel3" xfId="159"/>
    <cellStyle name="SAPExceptionLevel4" xfId="160"/>
    <cellStyle name="SAPExceptionLevel5" xfId="161"/>
    <cellStyle name="SAPExceptionLevel6" xfId="162"/>
    <cellStyle name="SAPExceptionLevel7" xfId="163"/>
    <cellStyle name="SAPExceptionLevel8" xfId="164"/>
    <cellStyle name="SAPExceptionLevel9" xfId="165"/>
    <cellStyle name="SAPGroupingFillCell" xfId="354"/>
    <cellStyle name="SAPHierarchyCell0" xfId="166"/>
    <cellStyle name="SAPHierarchyCell1" xfId="167"/>
    <cellStyle name="SAPHierarchyCell2" xfId="168"/>
    <cellStyle name="SAPHierarchyCell3" xfId="169"/>
    <cellStyle name="SAPHierarchyCell4" xfId="170"/>
    <cellStyle name="SAPLockedDataCell" xfId="171"/>
    <cellStyle name="SAPLockedDataTotalCell" xfId="172"/>
    <cellStyle name="SAPMemberCell" xfId="173"/>
    <cellStyle name="SAPMemberTotalCell" xfId="174"/>
    <cellStyle name="SAPMessageText" xfId="357"/>
    <cellStyle name="SAPReadonlyDataCell" xfId="175"/>
    <cellStyle name="SAPReadonlyDataTotalCell" xfId="176"/>
    <cellStyle name="Sheet Title" xfId="130"/>
    <cellStyle name="Style 1" xfId="45"/>
    <cellStyle name="Title" xfId="4" builtinId="15" customBuiltin="1"/>
    <cellStyle name="Title 2" xfId="269"/>
    <cellStyle name="Total" xfId="20" builtinId="25" customBuiltin="1"/>
    <cellStyle name="Total 2" xfId="131"/>
    <cellStyle name="Total 3" xfId="210"/>
    <cellStyle name="Warning Text" xfId="17" builtinId="11" customBuiltin="1"/>
    <cellStyle name="Warning Text 2" xfId="132"/>
    <cellStyle name="Warning Text 3" xfId="20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0000FF"/>
      <color rgb="FF00FF00"/>
      <color rgb="FFFF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7</xdr:row>
      <xdr:rowOff>152400</xdr:rowOff>
    </xdr:from>
    <xdr:to>
      <xdr:col>2</xdr:col>
      <xdr:colOff>420848</xdr:colOff>
      <xdr:row>43</xdr:row>
      <xdr:rowOff>141948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85900"/>
          <a:ext cx="4878548" cy="68475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10</xdr:row>
      <xdr:rowOff>85725</xdr:rowOff>
    </xdr:from>
    <xdr:to>
      <xdr:col>3</xdr:col>
      <xdr:colOff>1935</xdr:colOff>
      <xdr:row>43</xdr:row>
      <xdr:rowOff>160970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19300"/>
          <a:ext cx="4354860" cy="636174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9</xdr:row>
      <xdr:rowOff>180975</xdr:rowOff>
    </xdr:from>
    <xdr:to>
      <xdr:col>3</xdr:col>
      <xdr:colOff>818236</xdr:colOff>
      <xdr:row>20</xdr:row>
      <xdr:rowOff>47380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14525"/>
          <a:ext cx="7314286" cy="1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21</xdr:row>
      <xdr:rowOff>66675</xdr:rowOff>
    </xdr:from>
    <xdr:to>
      <xdr:col>4</xdr:col>
      <xdr:colOff>75300</xdr:colOff>
      <xdr:row>28</xdr:row>
      <xdr:rowOff>152223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4086225"/>
          <a:ext cx="7200000" cy="1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542274</xdr:colOff>
      <xdr:row>35</xdr:row>
      <xdr:rowOff>8929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43100"/>
          <a:ext cx="5209524" cy="4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4</xdr:col>
      <xdr:colOff>8864</xdr:colOff>
      <xdr:row>19</xdr:row>
      <xdr:rowOff>133024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1100"/>
          <a:ext cx="5285714" cy="26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542274</xdr:colOff>
      <xdr:row>23</xdr:row>
      <xdr:rowOff>104405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5209524" cy="2961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</xdr:row>
      <xdr:rowOff>78350</xdr:rowOff>
    </xdr:from>
    <xdr:to>
      <xdr:col>1</xdr:col>
      <xdr:colOff>742950</xdr:colOff>
      <xdr:row>26</xdr:row>
      <xdr:rowOff>75613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621400"/>
          <a:ext cx="3781425" cy="3426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7</xdr:row>
      <xdr:rowOff>57150</xdr:rowOff>
    </xdr:from>
    <xdr:to>
      <xdr:col>4</xdr:col>
      <xdr:colOff>456523</xdr:colOff>
      <xdr:row>19</xdr:row>
      <xdr:rowOff>104482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400175"/>
          <a:ext cx="5419048" cy="23428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4</xdr:col>
      <xdr:colOff>18396</xdr:colOff>
      <xdr:row>30</xdr:row>
      <xdr:rowOff>37643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0"/>
          <a:ext cx="5228571" cy="36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</xdr:col>
      <xdr:colOff>390123</xdr:colOff>
      <xdr:row>18</xdr:row>
      <xdr:rowOff>104500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2550"/>
          <a:ext cx="3219048" cy="220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36</xdr:row>
      <xdr:rowOff>9525</xdr:rowOff>
    </xdr:from>
    <xdr:to>
      <xdr:col>3</xdr:col>
      <xdr:colOff>570854</xdr:colOff>
      <xdr:row>65</xdr:row>
      <xdr:rowOff>142168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886575"/>
          <a:ext cx="5171429" cy="5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12">
          <cell r="DA12">
            <v>5.3359999999999996E-3</v>
          </cell>
        </row>
        <row r="13">
          <cell r="DA13">
            <v>4.0000000000000001E-3</v>
          </cell>
        </row>
        <row r="14">
          <cell r="DA14">
            <v>3.8526999999999999E-2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5" x14ac:dyDescent="0.25"/>
  <cols>
    <col min="1" max="1" width="43.85546875" bestFit="1" customWidth="1"/>
    <col min="2" max="2" width="13.85546875" customWidth="1"/>
  </cols>
  <sheetData>
    <row r="1" spans="1:2" x14ac:dyDescent="0.25">
      <c r="A1" s="116" t="s">
        <v>130</v>
      </c>
    </row>
    <row r="2" spans="1:2" x14ac:dyDescent="0.25">
      <c r="A2" s="239" t="s">
        <v>187</v>
      </c>
    </row>
    <row r="3" spans="1:2" x14ac:dyDescent="0.25">
      <c r="A3" s="117"/>
    </row>
    <row r="4" spans="1:2" x14ac:dyDescent="0.25">
      <c r="A4" s="76" t="s">
        <v>72</v>
      </c>
      <c r="B4" s="78" t="s">
        <v>67</v>
      </c>
    </row>
    <row r="5" spans="1:2" x14ac:dyDescent="0.25">
      <c r="A5" t="s">
        <v>186</v>
      </c>
      <c r="B5" s="128">
        <v>1721781</v>
      </c>
    </row>
    <row r="6" spans="1:2" x14ac:dyDescent="0.25">
      <c r="B6" s="123"/>
    </row>
    <row r="7" spans="1:2" ht="15.75" thickBot="1" x14ac:dyDescent="0.3">
      <c r="B7" s="129">
        <f>SUM(B5:B6)</f>
        <v>1721781</v>
      </c>
    </row>
    <row r="8" spans="1:2" ht="15.75" thickTop="1" x14ac:dyDescent="0.25"/>
  </sheetData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M28" sqref="M28"/>
    </sheetView>
  </sheetViews>
  <sheetFormatPr defaultRowHeight="15" x14ac:dyDescent="0.25"/>
  <cols>
    <col min="1" max="1" width="48.5703125" bestFit="1" customWidth="1"/>
    <col min="2" max="2" width="11.28515625" bestFit="1" customWidth="1"/>
    <col min="6" max="6" width="48.5703125" bestFit="1" customWidth="1"/>
    <col min="7" max="7" width="13.5703125" bestFit="1" customWidth="1"/>
  </cols>
  <sheetData>
    <row r="1" spans="1:2" x14ac:dyDescent="0.25">
      <c r="A1" s="116" t="s">
        <v>130</v>
      </c>
    </row>
    <row r="2" spans="1:2" x14ac:dyDescent="0.25">
      <c r="A2" s="116" t="s">
        <v>138</v>
      </c>
    </row>
    <row r="3" spans="1:2" x14ac:dyDescent="0.25">
      <c r="A3" s="117"/>
    </row>
    <row r="5" spans="1:2" ht="15.75" thickBot="1" x14ac:dyDescent="0.3">
      <c r="A5" s="25" t="s">
        <v>72</v>
      </c>
      <c r="B5" s="69" t="s">
        <v>67</v>
      </c>
    </row>
    <row r="6" spans="1:2" ht="15.75" thickBot="1" x14ac:dyDescent="0.3">
      <c r="A6" t="s">
        <v>55</v>
      </c>
      <c r="B6" s="73">
        <v>136.96</v>
      </c>
    </row>
    <row r="8" spans="1:2" ht="15.75" thickBot="1" x14ac:dyDescent="0.3"/>
    <row r="9" spans="1:2" ht="15.75" thickBot="1" x14ac:dyDescent="0.3">
      <c r="A9" t="s">
        <v>98</v>
      </c>
      <c r="B9" s="7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RowHeight="15" x14ac:dyDescent="0.25"/>
  <cols>
    <col min="1" max="1" width="42.42578125" bestFit="1" customWidth="1"/>
    <col min="2" max="2" width="13.5703125" bestFit="1" customWidth="1"/>
    <col min="6" max="6" width="42.42578125" bestFit="1" customWidth="1"/>
    <col min="7" max="7" width="11.5703125" bestFit="1" customWidth="1"/>
  </cols>
  <sheetData>
    <row r="1" spans="1:2" x14ac:dyDescent="0.25">
      <c r="A1" s="116" t="s">
        <v>130</v>
      </c>
    </row>
    <row r="2" spans="1:2" x14ac:dyDescent="0.25">
      <c r="A2" s="116" t="s">
        <v>139</v>
      </c>
    </row>
    <row r="3" spans="1:2" x14ac:dyDescent="0.25">
      <c r="A3" s="117"/>
    </row>
    <row r="5" spans="1:2" ht="15.75" thickBot="1" x14ac:dyDescent="0.3">
      <c r="A5" s="25" t="s">
        <v>72</v>
      </c>
      <c r="B5" s="69" t="s">
        <v>67</v>
      </c>
    </row>
    <row r="6" spans="1:2" ht="15.75" thickBot="1" x14ac:dyDescent="0.3">
      <c r="A6" t="s">
        <v>57</v>
      </c>
      <c r="B6" s="120">
        <v>-77223141.709999993</v>
      </c>
    </row>
    <row r="7" spans="1:2" x14ac:dyDescent="0.25">
      <c r="B7" s="3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pane xSplit="1" ySplit="5" topLeftCell="B6" activePane="bottomRight" state="frozen"/>
      <selection activeCell="G25" sqref="G25"/>
      <selection pane="topRight" activeCell="G25" sqref="G25"/>
      <selection pane="bottomLeft" activeCell="G25" sqref="G25"/>
      <selection pane="bottomRight" activeCell="H76" sqref="H76"/>
    </sheetView>
  </sheetViews>
  <sheetFormatPr defaultRowHeight="15" x14ac:dyDescent="0.25"/>
  <cols>
    <col min="2" max="2" width="50.42578125" bestFit="1" customWidth="1"/>
    <col min="3" max="3" width="13.5703125" bestFit="1" customWidth="1"/>
    <col min="4" max="4" width="14.28515625" style="44" bestFit="1" customWidth="1"/>
    <col min="5" max="5" width="3.85546875" style="9" customWidth="1"/>
    <col min="6" max="6" width="3.7109375" customWidth="1"/>
    <col min="7" max="7" width="52.140625" bestFit="1" customWidth="1"/>
    <col min="8" max="8" width="15.7109375" customWidth="1"/>
    <col min="9" max="9" width="14" bestFit="1" customWidth="1"/>
    <col min="11" max="11" width="53.5703125" bestFit="1" customWidth="1"/>
    <col min="12" max="12" width="15.7109375" customWidth="1"/>
    <col min="13" max="13" width="13.28515625" style="79" bestFit="1" customWidth="1"/>
  </cols>
  <sheetData>
    <row r="1" spans="1:4" x14ac:dyDescent="0.25">
      <c r="A1" s="116" t="s">
        <v>130</v>
      </c>
    </row>
    <row r="2" spans="1:4" x14ac:dyDescent="0.25">
      <c r="A2" s="116" t="s">
        <v>135</v>
      </c>
    </row>
    <row r="3" spans="1:4" x14ac:dyDescent="0.25">
      <c r="A3" s="117"/>
    </row>
    <row r="5" spans="1:4" x14ac:dyDescent="0.25">
      <c r="B5" s="76" t="s">
        <v>72</v>
      </c>
      <c r="C5" s="77">
        <v>2023</v>
      </c>
      <c r="D5" s="78" t="s">
        <v>103</v>
      </c>
    </row>
    <row r="6" spans="1:4" x14ac:dyDescent="0.25">
      <c r="B6" t="s">
        <v>162</v>
      </c>
      <c r="C6" s="71">
        <v>-55838.52</v>
      </c>
    </row>
    <row r="7" spans="1:4" x14ac:dyDescent="0.25">
      <c r="B7" t="s">
        <v>163</v>
      </c>
      <c r="C7" s="71">
        <v>1459497.27</v>
      </c>
    </row>
    <row r="8" spans="1:4" x14ac:dyDescent="0.25">
      <c r="B8" t="s">
        <v>164</v>
      </c>
      <c r="C8" s="71">
        <v>-111093.7</v>
      </c>
    </row>
    <row r="9" spans="1:4" x14ac:dyDescent="0.25">
      <c r="B9" t="s">
        <v>165</v>
      </c>
      <c r="C9" s="71">
        <v>8616817.8300000001</v>
      </c>
    </row>
    <row r="10" spans="1:4" x14ac:dyDescent="0.25">
      <c r="B10" t="s">
        <v>166</v>
      </c>
      <c r="C10" s="71">
        <v>-890577.25</v>
      </c>
    </row>
    <row r="11" spans="1:4" x14ac:dyDescent="0.25">
      <c r="B11" t="s">
        <v>167</v>
      </c>
      <c r="C11" s="71">
        <v>2080600.27</v>
      </c>
    </row>
    <row r="12" spans="1:4" x14ac:dyDescent="0.25">
      <c r="B12" s="9"/>
      <c r="C12" s="9"/>
    </row>
    <row r="13" spans="1:4" x14ac:dyDescent="0.25">
      <c r="B13" t="s">
        <v>168</v>
      </c>
      <c r="C13" s="71">
        <v>519991.2</v>
      </c>
    </row>
    <row r="14" spans="1:4" x14ac:dyDescent="0.25">
      <c r="B14" t="s">
        <v>169</v>
      </c>
      <c r="C14" s="71">
        <v>1445550.19</v>
      </c>
    </row>
    <row r="15" spans="1:4" x14ac:dyDescent="0.25">
      <c r="B15" s="150" t="s">
        <v>170</v>
      </c>
      <c r="C15" s="236">
        <v>911715.31</v>
      </c>
      <c r="D15" s="44">
        <f>C15</f>
        <v>911715.31</v>
      </c>
    </row>
    <row r="16" spans="1:4" x14ac:dyDescent="0.25">
      <c r="B16" s="150" t="s">
        <v>171</v>
      </c>
      <c r="C16" s="236">
        <v>10599598.75</v>
      </c>
      <c r="D16" s="44">
        <f t="shared" ref="D16:D23" si="0">C16</f>
        <v>10599598.75</v>
      </c>
    </row>
    <row r="17" spans="2:4" x14ac:dyDescent="0.25">
      <c r="B17" s="150" t="s">
        <v>172</v>
      </c>
      <c r="C17" s="236">
        <v>270004.12</v>
      </c>
      <c r="D17" s="44">
        <f t="shared" si="0"/>
        <v>270004.12</v>
      </c>
    </row>
    <row r="18" spans="2:4" x14ac:dyDescent="0.25">
      <c r="B18" s="150" t="s">
        <v>173</v>
      </c>
      <c r="C18" s="236">
        <v>-18773042.050000001</v>
      </c>
      <c r="D18" s="44">
        <f t="shared" si="0"/>
        <v>-18773042.050000001</v>
      </c>
    </row>
    <row r="19" spans="2:4" x14ac:dyDescent="0.25">
      <c r="B19" s="150" t="s">
        <v>174</v>
      </c>
      <c r="C19" s="236">
        <v>-2738729.87</v>
      </c>
      <c r="D19" s="44">
        <f t="shared" si="0"/>
        <v>-2738729.87</v>
      </c>
    </row>
    <row r="20" spans="2:4" x14ac:dyDescent="0.25">
      <c r="B20" s="150" t="s">
        <v>175</v>
      </c>
      <c r="C20" s="236">
        <v>1907070.34</v>
      </c>
      <c r="D20" s="44">
        <f t="shared" si="0"/>
        <v>1907070.34</v>
      </c>
    </row>
    <row r="21" spans="2:4" x14ac:dyDescent="0.25">
      <c r="B21" s="150" t="s">
        <v>176</v>
      </c>
      <c r="C21" s="236">
        <v>353953.39</v>
      </c>
      <c r="D21" s="44">
        <f t="shared" si="0"/>
        <v>353953.39</v>
      </c>
    </row>
    <row r="22" spans="2:4" x14ac:dyDescent="0.25">
      <c r="B22" s="150" t="s">
        <v>177</v>
      </c>
      <c r="C22" s="236">
        <v>2064081.49</v>
      </c>
      <c r="D22" s="44">
        <f t="shared" si="0"/>
        <v>2064081.49</v>
      </c>
    </row>
    <row r="23" spans="2:4" x14ac:dyDescent="0.25">
      <c r="B23" s="150" t="s">
        <v>178</v>
      </c>
      <c r="C23" s="236">
        <v>188161.72</v>
      </c>
      <c r="D23" s="44">
        <f t="shared" si="0"/>
        <v>188161.72</v>
      </c>
    </row>
    <row r="25" spans="2:4" x14ac:dyDescent="0.25">
      <c r="B25" t="s">
        <v>182</v>
      </c>
      <c r="C25" s="71">
        <v>18451701.73</v>
      </c>
    </row>
    <row r="26" spans="2:4" x14ac:dyDescent="0.25">
      <c r="B26" t="s">
        <v>183</v>
      </c>
      <c r="C26" s="237">
        <v>0</v>
      </c>
    </row>
    <row r="27" spans="2:4" x14ac:dyDescent="0.25">
      <c r="B27" t="s">
        <v>184</v>
      </c>
      <c r="C27" s="71">
        <v>1582763.17</v>
      </c>
    </row>
    <row r="28" spans="2:4" x14ac:dyDescent="0.25">
      <c r="B28" t="s">
        <v>185</v>
      </c>
      <c r="C28" s="71">
        <v>2522133.27</v>
      </c>
    </row>
    <row r="29" spans="2:4" x14ac:dyDescent="0.25">
      <c r="C29" s="71"/>
    </row>
    <row r="30" spans="2:4" x14ac:dyDescent="0.25">
      <c r="C30" s="71"/>
    </row>
    <row r="31" spans="2:4" x14ac:dyDescent="0.25">
      <c r="B31" s="150" t="s">
        <v>179</v>
      </c>
      <c r="C31" s="236">
        <v>3237714.6</v>
      </c>
      <c r="D31" s="44">
        <f t="shared" ref="D31:D33" si="1">C31</f>
        <v>3237714.6</v>
      </c>
    </row>
    <row r="32" spans="2:4" x14ac:dyDescent="0.25">
      <c r="B32" s="150" t="s">
        <v>180</v>
      </c>
      <c r="C32" s="236">
        <v>2475032.9</v>
      </c>
      <c r="D32" s="44">
        <f t="shared" si="1"/>
        <v>2475032.9</v>
      </c>
    </row>
    <row r="33" spans="2:13" x14ac:dyDescent="0.25">
      <c r="B33" s="150" t="s">
        <v>181</v>
      </c>
      <c r="C33" s="236">
        <v>-17130912.120000001</v>
      </c>
      <c r="D33" s="44">
        <f t="shared" si="1"/>
        <v>-17130912.120000001</v>
      </c>
    </row>
    <row r="34" spans="2:13" ht="15.75" thickBot="1" x14ac:dyDescent="0.3">
      <c r="C34" s="71"/>
      <c r="M34"/>
    </row>
    <row r="35" spans="2:13" ht="15.75" thickBot="1" x14ac:dyDescent="0.3">
      <c r="C35" s="74">
        <f>SUM(C6:C34)</f>
        <v>18986194.039999995</v>
      </c>
      <c r="D35" s="75">
        <f>SUM(D6:D34)</f>
        <v>-16635351.420000004</v>
      </c>
      <c r="M35"/>
    </row>
    <row r="36" spans="2:13" x14ac:dyDescent="0.25">
      <c r="M36"/>
    </row>
    <row r="37" spans="2:13" x14ac:dyDescent="0.25">
      <c r="M37"/>
    </row>
    <row r="38" spans="2:13" x14ac:dyDescent="0.25">
      <c r="M38"/>
    </row>
    <row r="39" spans="2:13" x14ac:dyDescent="0.25">
      <c r="M39"/>
    </row>
    <row r="40" spans="2:13" x14ac:dyDescent="0.25">
      <c r="M40"/>
    </row>
    <row r="41" spans="2:13" x14ac:dyDescent="0.25">
      <c r="M41"/>
    </row>
    <row r="42" spans="2:13" x14ac:dyDescent="0.25">
      <c r="M42"/>
    </row>
    <row r="43" spans="2:13" x14ac:dyDescent="0.25">
      <c r="M43"/>
    </row>
    <row r="44" spans="2:13" x14ac:dyDescent="0.25">
      <c r="M44"/>
    </row>
    <row r="45" spans="2:13" x14ac:dyDescent="0.25">
      <c r="M45"/>
    </row>
    <row r="46" spans="2:13" x14ac:dyDescent="0.25">
      <c r="M46"/>
    </row>
    <row r="47" spans="2:13" x14ac:dyDescent="0.25">
      <c r="M47"/>
    </row>
    <row r="48" spans="2:13" x14ac:dyDescent="0.25">
      <c r="M48"/>
    </row>
    <row r="49" spans="13:13" x14ac:dyDescent="0.25">
      <c r="M49"/>
    </row>
    <row r="50" spans="13:13" x14ac:dyDescent="0.25">
      <c r="M50"/>
    </row>
    <row r="51" spans="13:13" x14ac:dyDescent="0.25">
      <c r="M51"/>
    </row>
    <row r="52" spans="13:13" x14ac:dyDescent="0.25">
      <c r="M52"/>
    </row>
  </sheetData>
  <conditionalFormatting sqref="B1 B6:B14 B24:B30 B34">
    <cfRule type="containsText" dxfId="2" priority="9" operator="containsText" text="am">
      <formula>NOT(ISERROR(SEARCH("am",B1)))</formula>
    </cfRule>
  </conditionalFormatting>
  <conditionalFormatting sqref="B5">
    <cfRule type="containsText" dxfId="1" priority="6" operator="containsText" text="AM">
      <formula>NOT(ISERROR(SEARCH("AM",B5)))</formula>
    </cfRule>
    <cfRule type="containsText" dxfId="0" priority="7" operator="containsText" text="Amort">
      <formula>NOT(ISERROR(SEARCH("Amort",B5)))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C9" sqref="C9"/>
    </sheetView>
  </sheetViews>
  <sheetFormatPr defaultRowHeight="15" x14ac:dyDescent="0.25"/>
  <cols>
    <col min="2" max="2" width="51" bestFit="1" customWidth="1"/>
    <col min="3" max="3" width="12.28515625" style="44" bestFit="1" customWidth="1"/>
    <col min="4" max="4" width="4.7109375" customWidth="1"/>
    <col min="5" max="5" width="49.85546875" bestFit="1" customWidth="1"/>
    <col min="6" max="6" width="15" bestFit="1" customWidth="1"/>
    <col min="10" max="10" width="15" style="33" bestFit="1" customWidth="1"/>
  </cols>
  <sheetData>
    <row r="1" spans="1:11" x14ac:dyDescent="0.25">
      <c r="A1" s="116" t="s">
        <v>130</v>
      </c>
    </row>
    <row r="2" spans="1:11" x14ac:dyDescent="0.25">
      <c r="A2" s="116" t="s">
        <v>140</v>
      </c>
    </row>
    <row r="3" spans="1:11" x14ac:dyDescent="0.25">
      <c r="A3" s="117"/>
    </row>
    <row r="4" spans="1:11" x14ac:dyDescent="0.25">
      <c r="C4" s="137">
        <v>2023</v>
      </c>
    </row>
    <row r="5" spans="1:11" x14ac:dyDescent="0.25">
      <c r="B5" t="s">
        <v>72</v>
      </c>
      <c r="C5" s="44" t="s">
        <v>67</v>
      </c>
      <c r="I5" s="9"/>
      <c r="J5" s="124"/>
      <c r="K5" s="9"/>
    </row>
    <row r="6" spans="1:11" x14ac:dyDescent="0.25">
      <c r="I6" s="113"/>
      <c r="J6" s="125"/>
      <c r="K6" s="9"/>
    </row>
    <row r="7" spans="1:11" ht="15.75" thickBot="1" x14ac:dyDescent="0.3">
      <c r="B7" s="9"/>
      <c r="I7" s="113"/>
      <c r="J7" s="125"/>
      <c r="K7" s="9"/>
    </row>
    <row r="8" spans="1:11" ht="15.75" thickBot="1" x14ac:dyDescent="0.3">
      <c r="B8" s="9" t="s">
        <v>141</v>
      </c>
      <c r="C8" s="73">
        <v>4941505.4400000004</v>
      </c>
      <c r="I8" s="113"/>
      <c r="J8" s="125"/>
      <c r="K8" s="9"/>
    </row>
    <row r="9" spans="1:11" ht="15.75" thickBot="1" x14ac:dyDescent="0.3">
      <c r="B9" s="9" t="s">
        <v>142</v>
      </c>
      <c r="C9" s="73">
        <v>44451247.25</v>
      </c>
      <c r="I9" s="113"/>
      <c r="J9" s="125"/>
      <c r="K9" s="9"/>
    </row>
    <row r="10" spans="1:11" x14ac:dyDescent="0.25">
      <c r="I10" s="113"/>
      <c r="J10" s="125"/>
      <c r="K10" s="9"/>
    </row>
    <row r="11" spans="1:11" x14ac:dyDescent="0.25">
      <c r="I11" s="113"/>
      <c r="J11" s="125"/>
      <c r="K11" s="9"/>
    </row>
    <row r="12" spans="1:11" x14ac:dyDescent="0.25">
      <c r="I12" s="113"/>
      <c r="J12" s="125"/>
      <c r="K12" s="9"/>
    </row>
    <row r="13" spans="1:11" x14ac:dyDescent="0.25">
      <c r="I13" s="113"/>
      <c r="J13" s="125"/>
      <c r="K13" s="9"/>
    </row>
    <row r="14" spans="1:11" x14ac:dyDescent="0.25">
      <c r="I14" s="113"/>
      <c r="J14" s="125"/>
      <c r="K14" s="9"/>
    </row>
    <row r="15" spans="1:11" x14ac:dyDescent="0.25">
      <c r="I15" s="113"/>
      <c r="J15" s="125"/>
      <c r="K15" s="9"/>
    </row>
    <row r="16" spans="1:11" x14ac:dyDescent="0.25">
      <c r="I16" s="113"/>
      <c r="J16" s="125"/>
      <c r="K16" s="9"/>
    </row>
    <row r="17" spans="9:11" x14ac:dyDescent="0.25">
      <c r="I17" s="113"/>
      <c r="J17" s="125"/>
      <c r="K17" s="9"/>
    </row>
    <row r="18" spans="9:11" x14ac:dyDescent="0.25">
      <c r="I18" s="113"/>
      <c r="J18" s="125"/>
      <c r="K18" s="9"/>
    </row>
    <row r="19" spans="9:11" x14ac:dyDescent="0.25">
      <c r="I19" s="113"/>
      <c r="J19" s="125"/>
      <c r="K19" s="9"/>
    </row>
    <row r="20" spans="9:11" x14ac:dyDescent="0.25">
      <c r="I20" s="113"/>
      <c r="J20" s="125"/>
      <c r="K20" s="9"/>
    </row>
    <row r="21" spans="9:11" x14ac:dyDescent="0.25">
      <c r="I21" s="113"/>
      <c r="J21" s="125"/>
      <c r="K21" s="9"/>
    </row>
    <row r="22" spans="9:11" x14ac:dyDescent="0.25">
      <c r="I22" s="113"/>
      <c r="J22" s="125"/>
      <c r="K22" s="9"/>
    </row>
    <row r="23" spans="9:11" x14ac:dyDescent="0.25">
      <c r="I23" s="113"/>
      <c r="J23" s="125"/>
      <c r="K23" s="9"/>
    </row>
    <row r="24" spans="9:11" x14ac:dyDescent="0.25">
      <c r="I24" s="113"/>
      <c r="J24" s="125"/>
      <c r="K24" s="9"/>
    </row>
    <row r="25" spans="9:11" x14ac:dyDescent="0.25">
      <c r="I25" s="113"/>
      <c r="J25" s="125"/>
      <c r="K25" s="9"/>
    </row>
    <row r="26" spans="9:11" x14ac:dyDescent="0.25">
      <c r="I26" s="113"/>
      <c r="J26" s="125"/>
      <c r="K26" s="9"/>
    </row>
    <row r="27" spans="9:11" x14ac:dyDescent="0.25">
      <c r="I27" s="113"/>
      <c r="J27" s="125"/>
      <c r="K27" s="9"/>
    </row>
    <row r="28" spans="9:11" x14ac:dyDescent="0.25">
      <c r="I28" s="113"/>
      <c r="J28" s="125"/>
      <c r="K28" s="9"/>
    </row>
    <row r="29" spans="9:11" x14ac:dyDescent="0.25">
      <c r="I29" s="113"/>
      <c r="J29" s="125"/>
      <c r="K29" s="9"/>
    </row>
    <row r="30" spans="9:11" x14ac:dyDescent="0.25">
      <c r="I30" s="113"/>
      <c r="J30" s="125"/>
      <c r="K30" s="9"/>
    </row>
    <row r="31" spans="9:11" x14ac:dyDescent="0.25">
      <c r="I31" s="113"/>
      <c r="J31" s="125"/>
      <c r="K31" s="9"/>
    </row>
    <row r="32" spans="9:11" x14ac:dyDescent="0.25">
      <c r="I32" s="113"/>
      <c r="J32" s="125"/>
      <c r="K32" s="9"/>
    </row>
    <row r="33" spans="9:11" x14ac:dyDescent="0.25">
      <c r="I33" s="113"/>
      <c r="J33" s="125"/>
      <c r="K33" s="9"/>
    </row>
    <row r="34" spans="9:11" x14ac:dyDescent="0.25">
      <c r="I34" s="113"/>
      <c r="J34" s="125"/>
      <c r="K34" s="9"/>
    </row>
    <row r="35" spans="9:11" x14ac:dyDescent="0.25">
      <c r="I35" s="113"/>
      <c r="J35" s="125"/>
      <c r="K35" s="9"/>
    </row>
    <row r="36" spans="9:11" x14ac:dyDescent="0.25">
      <c r="I36" s="113"/>
      <c r="J36" s="125"/>
      <c r="K36" s="9"/>
    </row>
    <row r="37" spans="9:11" x14ac:dyDescent="0.25">
      <c r="I37" s="113"/>
      <c r="J37" s="125"/>
      <c r="K37" s="9"/>
    </row>
    <row r="38" spans="9:11" x14ac:dyDescent="0.25">
      <c r="I38" s="113"/>
      <c r="J38" s="125"/>
      <c r="K38" s="9"/>
    </row>
    <row r="39" spans="9:11" x14ac:dyDescent="0.25">
      <c r="I39" s="113"/>
      <c r="J39" s="125"/>
      <c r="K39" s="9"/>
    </row>
    <row r="40" spans="9:11" x14ac:dyDescent="0.25">
      <c r="I40" s="113"/>
      <c r="J40" s="125"/>
      <c r="K40" s="9"/>
    </row>
    <row r="41" spans="9:11" x14ac:dyDescent="0.25">
      <c r="I41" s="113"/>
      <c r="J41" s="125"/>
      <c r="K41" s="9"/>
    </row>
    <row r="42" spans="9:11" x14ac:dyDescent="0.25">
      <c r="I42" s="113"/>
      <c r="J42" s="125"/>
      <c r="K42" s="9"/>
    </row>
    <row r="43" spans="9:11" x14ac:dyDescent="0.25">
      <c r="I43" s="113"/>
      <c r="J43" s="125"/>
      <c r="K43" s="9"/>
    </row>
    <row r="44" spans="9:11" x14ac:dyDescent="0.25">
      <c r="I44" s="113"/>
      <c r="J44" s="125"/>
      <c r="K44" s="9"/>
    </row>
    <row r="45" spans="9:11" x14ac:dyDescent="0.25">
      <c r="I45" s="113"/>
      <c r="J45" s="125"/>
      <c r="K45" s="9"/>
    </row>
    <row r="46" spans="9:11" x14ac:dyDescent="0.25">
      <c r="I46" s="113"/>
      <c r="J46" s="125"/>
      <c r="K46" s="9"/>
    </row>
    <row r="47" spans="9:11" x14ac:dyDescent="0.25">
      <c r="I47" s="113"/>
      <c r="J47" s="125"/>
      <c r="K47" s="9"/>
    </row>
    <row r="48" spans="9:11" x14ac:dyDescent="0.25">
      <c r="I48" s="113"/>
      <c r="J48" s="125"/>
      <c r="K48" s="9"/>
    </row>
    <row r="49" spans="9:11" x14ac:dyDescent="0.25">
      <c r="I49" s="113"/>
      <c r="J49" s="125"/>
      <c r="K49" s="9"/>
    </row>
    <row r="50" spans="9:11" x14ac:dyDescent="0.25">
      <c r="I50" s="113"/>
      <c r="J50" s="125"/>
      <c r="K50" s="9"/>
    </row>
    <row r="51" spans="9:11" x14ac:dyDescent="0.25">
      <c r="I51" s="113"/>
      <c r="J51" s="125"/>
      <c r="K51" s="9"/>
    </row>
    <row r="52" spans="9:11" x14ac:dyDescent="0.25">
      <c r="I52" s="113"/>
      <c r="J52" s="125"/>
      <c r="K52" s="9"/>
    </row>
    <row r="53" spans="9:11" x14ac:dyDescent="0.25">
      <c r="I53" s="113"/>
      <c r="J53" s="125"/>
      <c r="K53" s="9"/>
    </row>
    <row r="54" spans="9:11" x14ac:dyDescent="0.25">
      <c r="I54" s="113"/>
      <c r="J54" s="125"/>
      <c r="K54" s="9"/>
    </row>
    <row r="55" spans="9:11" x14ac:dyDescent="0.25">
      <c r="I55" s="113"/>
      <c r="J55" s="125"/>
      <c r="K55" s="9"/>
    </row>
    <row r="56" spans="9:11" x14ac:dyDescent="0.25">
      <c r="I56" s="113"/>
      <c r="J56" s="125"/>
      <c r="K56" s="9"/>
    </row>
    <row r="57" spans="9:11" x14ac:dyDescent="0.25">
      <c r="I57" s="113"/>
      <c r="J57" s="125"/>
      <c r="K57" s="9"/>
    </row>
    <row r="58" spans="9:11" x14ac:dyDescent="0.25">
      <c r="I58" s="113"/>
      <c r="J58" s="125"/>
      <c r="K58" s="9"/>
    </row>
    <row r="59" spans="9:11" x14ac:dyDescent="0.25">
      <c r="I59" s="113"/>
      <c r="J59" s="125"/>
      <c r="K59" s="9"/>
    </row>
    <row r="60" spans="9:11" x14ac:dyDescent="0.25">
      <c r="I60" s="113"/>
      <c r="J60" s="125"/>
      <c r="K60" s="9"/>
    </row>
    <row r="61" spans="9:11" x14ac:dyDescent="0.25">
      <c r="I61" s="113"/>
      <c r="J61" s="125"/>
      <c r="K61" s="9"/>
    </row>
    <row r="62" spans="9:11" x14ac:dyDescent="0.25">
      <c r="I62" s="113"/>
      <c r="J62" s="125"/>
      <c r="K62" s="9"/>
    </row>
    <row r="63" spans="9:11" x14ac:dyDescent="0.25">
      <c r="I63" s="113"/>
      <c r="J63" s="125"/>
      <c r="K63" s="9"/>
    </row>
    <row r="64" spans="9:11" x14ac:dyDescent="0.25">
      <c r="I64" s="113"/>
      <c r="J64" s="125"/>
      <c r="K64" s="9"/>
    </row>
    <row r="65" spans="3:11" x14ac:dyDescent="0.25">
      <c r="I65" s="113"/>
      <c r="J65" s="125"/>
      <c r="K65" s="9"/>
    </row>
    <row r="66" spans="3:11" x14ac:dyDescent="0.25">
      <c r="I66" s="113"/>
      <c r="J66" s="125"/>
      <c r="K66" s="9"/>
    </row>
    <row r="67" spans="3:11" x14ac:dyDescent="0.25">
      <c r="I67" s="113"/>
      <c r="J67" s="125"/>
      <c r="K67" s="9"/>
    </row>
    <row r="68" spans="3:11" x14ac:dyDescent="0.25">
      <c r="I68" s="113"/>
      <c r="J68" s="125"/>
      <c r="K68" s="9"/>
    </row>
    <row r="69" spans="3:11" x14ac:dyDescent="0.25">
      <c r="C69" s="128"/>
      <c r="I69" s="113"/>
      <c r="J69" s="125"/>
      <c r="K69" s="9"/>
    </row>
    <row r="70" spans="3:11" x14ac:dyDescent="0.25">
      <c r="C70" s="128"/>
      <c r="I70" s="113"/>
      <c r="J70" s="125"/>
      <c r="K70" s="9"/>
    </row>
    <row r="71" spans="3:11" x14ac:dyDescent="0.25">
      <c r="C71" s="49"/>
      <c r="I71" s="117"/>
      <c r="J71" s="122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M10" sqref="M10"/>
    </sheetView>
  </sheetViews>
  <sheetFormatPr defaultRowHeight="15" x14ac:dyDescent="0.25"/>
  <cols>
    <col min="1" max="1" width="72" customWidth="1"/>
    <col min="2" max="2" width="13.28515625" style="33" bestFit="1" customWidth="1"/>
    <col min="3" max="3" width="13.28515625" bestFit="1" customWidth="1"/>
    <col min="4" max="4" width="12.42578125" bestFit="1" customWidth="1"/>
    <col min="5" max="5" width="13.28515625" bestFit="1" customWidth="1"/>
    <col min="6" max="6" width="4.28515625" customWidth="1"/>
    <col min="7" max="7" width="3.5703125" customWidth="1"/>
    <col min="8" max="8" width="15.5703125" bestFit="1" customWidth="1"/>
    <col min="9" max="9" width="9" bestFit="1" customWidth="1"/>
    <col min="10" max="10" width="40.140625" bestFit="1" customWidth="1"/>
    <col min="11" max="11" width="10.85546875" bestFit="1" customWidth="1"/>
    <col min="12" max="12" width="18.5703125" bestFit="1" customWidth="1"/>
  </cols>
  <sheetData>
    <row r="1" spans="1:5" x14ac:dyDescent="0.25">
      <c r="A1" s="116" t="s">
        <v>143</v>
      </c>
    </row>
    <row r="2" spans="1:5" x14ac:dyDescent="0.25">
      <c r="A2" s="116" t="s">
        <v>144</v>
      </c>
    </row>
    <row r="3" spans="1:5" x14ac:dyDescent="0.25">
      <c r="A3" s="117"/>
    </row>
    <row r="4" spans="1:5" ht="15.75" thickBot="1" x14ac:dyDescent="0.3">
      <c r="B4" s="25" t="s">
        <v>99</v>
      </c>
      <c r="C4" s="25" t="s">
        <v>100</v>
      </c>
      <c r="D4" s="25" t="s">
        <v>101</v>
      </c>
      <c r="E4" s="25" t="s">
        <v>102</v>
      </c>
    </row>
    <row r="5" spans="1:5" ht="15.75" thickBot="1" x14ac:dyDescent="0.3">
      <c r="B5" s="75">
        <f>SUM(B6:B9)</f>
        <v>1782737.6099999999</v>
      </c>
      <c r="C5" s="75">
        <f>SUM(C6:C9)</f>
        <v>36281.81</v>
      </c>
      <c r="D5" s="75">
        <f t="shared" ref="D5" si="0">SUM(D6:D9)</f>
        <v>122298.23999999999</v>
      </c>
      <c r="E5" s="75">
        <f>SUM(E6:E9)</f>
        <v>1624157.56</v>
      </c>
    </row>
    <row r="6" spans="1:5" x14ac:dyDescent="0.25">
      <c r="B6" s="71"/>
      <c r="E6" s="71"/>
    </row>
    <row r="7" spans="1:5" x14ac:dyDescent="0.25">
      <c r="A7" s="9" t="s">
        <v>82</v>
      </c>
      <c r="B7" s="121">
        <v>571935.66</v>
      </c>
      <c r="C7" s="121">
        <v>18131.64</v>
      </c>
      <c r="D7" s="121">
        <v>61117.919999999998</v>
      </c>
      <c r="E7" s="121">
        <f>B7-C7-D7</f>
        <v>492686.10000000003</v>
      </c>
    </row>
    <row r="8" spans="1:5" x14ac:dyDescent="0.25">
      <c r="A8" s="9" t="s">
        <v>83</v>
      </c>
      <c r="B8" s="121">
        <v>734872.33</v>
      </c>
      <c r="C8" s="9"/>
      <c r="D8" s="9"/>
      <c r="E8" s="121">
        <f t="shared" ref="E8:E9" si="1">B8-C8-D8</f>
        <v>734872.33</v>
      </c>
    </row>
    <row r="9" spans="1:5" x14ac:dyDescent="0.25">
      <c r="A9" s="9" t="s">
        <v>84</v>
      </c>
      <c r="B9" s="121">
        <v>475929.62</v>
      </c>
      <c r="C9" s="124">
        <v>18150.169999999998</v>
      </c>
      <c r="D9" s="124">
        <v>61180.32</v>
      </c>
      <c r="E9" s="121">
        <f t="shared" si="1"/>
        <v>396599.13</v>
      </c>
    </row>
    <row r="12" spans="1:5" x14ac:dyDescent="0.25">
      <c r="E12" s="71"/>
    </row>
  </sheetData>
  <sortState ref="A5:C8">
    <sortCondition ref="A2"/>
  </sortState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zoomScaleNormal="100" workbookViewId="0">
      <selection activeCell="T40" sqref="T40"/>
    </sheetView>
  </sheetViews>
  <sheetFormatPr defaultColWidth="9.140625" defaultRowHeight="12.75" x14ac:dyDescent="0.2"/>
  <cols>
    <col min="1" max="1" width="5.42578125" style="84" customWidth="1"/>
    <col min="2" max="2" width="63.140625" style="84" customWidth="1"/>
    <col min="3" max="3" width="3.42578125" style="84" customWidth="1"/>
    <col min="4" max="4" width="7.85546875" style="84" customWidth="1"/>
    <col min="5" max="5" width="15.42578125" style="84" customWidth="1"/>
    <col min="6" max="16384" width="9.140625" style="84"/>
  </cols>
  <sheetData>
    <row r="3" spans="1:5" x14ac:dyDescent="0.2">
      <c r="A3" s="81"/>
      <c r="B3" s="82"/>
      <c r="C3" s="82"/>
      <c r="D3" s="82"/>
      <c r="E3" s="83"/>
    </row>
    <row r="4" spans="1:5" x14ac:dyDescent="0.2">
      <c r="A4" s="81"/>
      <c r="B4" s="81"/>
      <c r="C4" s="81"/>
      <c r="D4" s="81"/>
      <c r="E4" s="83"/>
    </row>
    <row r="5" spans="1:5" x14ac:dyDescent="0.2">
      <c r="A5" s="81"/>
      <c r="B5" s="81"/>
      <c r="C5" s="81"/>
      <c r="D5" s="81"/>
    </row>
    <row r="6" spans="1:5" ht="15" x14ac:dyDescent="0.25">
      <c r="A6" s="142" t="s">
        <v>117</v>
      </c>
      <c r="B6" s="143"/>
      <c r="C6" s="85"/>
      <c r="D6" s="85"/>
      <c r="E6" s="85"/>
    </row>
    <row r="7" spans="1:5" ht="15" x14ac:dyDescent="0.25">
      <c r="A7" s="144" t="s">
        <v>118</v>
      </c>
      <c r="B7" s="143"/>
      <c r="C7" s="86"/>
      <c r="D7" s="86"/>
      <c r="E7" s="86"/>
    </row>
    <row r="8" spans="1:5" ht="15" x14ac:dyDescent="0.25">
      <c r="A8" s="145" t="s">
        <v>148</v>
      </c>
      <c r="B8" s="143"/>
      <c r="C8" s="86"/>
      <c r="D8" s="86"/>
      <c r="E8" s="86"/>
    </row>
    <row r="9" spans="1:5" ht="15" x14ac:dyDescent="0.25">
      <c r="A9" s="145" t="s">
        <v>149</v>
      </c>
      <c r="B9" s="143"/>
      <c r="C9" s="86"/>
      <c r="D9" s="86"/>
      <c r="E9" s="86"/>
    </row>
    <row r="10" spans="1:5" x14ac:dyDescent="0.2">
      <c r="A10" s="81"/>
      <c r="B10" s="81"/>
      <c r="C10" s="81"/>
      <c r="D10" s="81"/>
      <c r="E10" s="81"/>
    </row>
    <row r="11" spans="1:5" x14ac:dyDescent="0.2">
      <c r="A11" s="87" t="s">
        <v>2</v>
      </c>
      <c r="B11" s="87"/>
      <c r="C11" s="87"/>
      <c r="D11" s="87"/>
      <c r="E11" s="87"/>
    </row>
    <row r="12" spans="1:5" x14ac:dyDescent="0.2">
      <c r="A12" s="88" t="s">
        <v>3</v>
      </c>
      <c r="B12" s="89" t="s">
        <v>4</v>
      </c>
      <c r="C12" s="88"/>
      <c r="D12" s="88" t="s">
        <v>119</v>
      </c>
      <c r="E12" s="88" t="s">
        <v>120</v>
      </c>
    </row>
    <row r="13" spans="1:5" x14ac:dyDescent="0.2">
      <c r="A13" s="82"/>
      <c r="B13" s="82"/>
      <c r="C13" s="82"/>
      <c r="D13" s="82"/>
      <c r="E13" s="90"/>
    </row>
    <row r="14" spans="1:5" x14ac:dyDescent="0.2">
      <c r="A14" s="90">
        <v>1</v>
      </c>
      <c r="B14" s="91" t="s">
        <v>19</v>
      </c>
      <c r="C14" s="82"/>
      <c r="D14" s="82"/>
      <c r="E14" s="92">
        <v>7.1970000000000003E-3</v>
      </c>
    </row>
    <row r="15" spans="1:5" x14ac:dyDescent="0.2">
      <c r="A15" s="90">
        <v>2</v>
      </c>
      <c r="B15" s="91" t="s">
        <v>20</v>
      </c>
      <c r="C15" s="82"/>
      <c r="D15" s="82"/>
      <c r="E15" s="92">
        <v>2E-3</v>
      </c>
    </row>
    <row r="16" spans="1:5" x14ac:dyDescent="0.2">
      <c r="A16" s="90">
        <v>3</v>
      </c>
      <c r="B16" s="91" t="str">
        <f>"STATE UTILITY TAX - NET OF BAD DEBTS ( "&amp;D16*100&amp;"% - ( LINE 1 * "&amp;D16*100&amp;"%) )"</f>
        <v>STATE UTILITY TAX - NET OF BAD DEBTS ( 3.8734% - ( LINE 1 * 3.8734%) )</v>
      </c>
      <c r="C16" s="82"/>
      <c r="D16" s="93">
        <v>3.8733999999999998E-2</v>
      </c>
      <c r="E16" s="94">
        <f>ROUND(D16-(D16*E14),6)</f>
        <v>3.8455000000000003E-2</v>
      </c>
    </row>
    <row r="17" spans="1:5" x14ac:dyDescent="0.2">
      <c r="A17" s="90">
        <v>4</v>
      </c>
      <c r="B17" s="91"/>
      <c r="C17" s="82"/>
      <c r="D17" s="90"/>
      <c r="E17" s="95"/>
    </row>
    <row r="18" spans="1:5" x14ac:dyDescent="0.2">
      <c r="A18" s="90">
        <v>5</v>
      </c>
      <c r="B18" s="91" t="s">
        <v>121</v>
      </c>
      <c r="C18" s="82"/>
      <c r="D18" s="90"/>
      <c r="E18" s="92">
        <f>ROUND(SUM(E14:E16),6)</f>
        <v>4.7652E-2</v>
      </c>
    </row>
    <row r="19" spans="1:5" x14ac:dyDescent="0.2">
      <c r="A19" s="90">
        <v>6</v>
      </c>
      <c r="B19" s="82"/>
      <c r="C19" s="82"/>
      <c r="D19" s="90"/>
      <c r="E19" s="92"/>
    </row>
    <row r="20" spans="1:5" x14ac:dyDescent="0.2">
      <c r="A20" s="90">
        <v>7</v>
      </c>
      <c r="B20" s="82" t="s">
        <v>122</v>
      </c>
      <c r="C20" s="82"/>
      <c r="D20" s="90"/>
      <c r="E20" s="92">
        <f>ROUND(1-E18,6)</f>
        <v>0.95234799999999997</v>
      </c>
    </row>
    <row r="21" spans="1:5" x14ac:dyDescent="0.2">
      <c r="A21" s="90">
        <v>8</v>
      </c>
      <c r="B21" s="91" t="s">
        <v>123</v>
      </c>
      <c r="C21" s="82"/>
      <c r="D21" s="96">
        <v>0.21</v>
      </c>
      <c r="E21" s="92">
        <f>ROUND((E20)*D21,6)</f>
        <v>0.199993</v>
      </c>
    </row>
    <row r="22" spans="1:5" x14ac:dyDescent="0.2">
      <c r="A22" s="90">
        <v>9</v>
      </c>
      <c r="B22" s="91" t="s">
        <v>124</v>
      </c>
      <c r="C22" s="82"/>
      <c r="D22" s="82"/>
      <c r="E22" s="97">
        <f>ROUND(1-E21-E18,6)</f>
        <v>0.752355</v>
      </c>
    </row>
    <row r="23" spans="1:5" x14ac:dyDescent="0.2">
      <c r="A23" s="82"/>
      <c r="B23" s="82"/>
      <c r="C23" s="82"/>
      <c r="D23" s="82"/>
      <c r="E23" s="90"/>
    </row>
    <row r="26" spans="1:5" x14ac:dyDescent="0.2">
      <c r="E26" s="98"/>
    </row>
  </sheetData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abSelected="1" topLeftCell="A2" zoomScale="85" zoomScaleNormal="85" workbookViewId="0">
      <pane ySplit="8" topLeftCell="A22" activePane="bottomLeft" state="frozen"/>
      <selection activeCell="A2" sqref="A2"/>
      <selection pane="bottomLeft" activeCell="G39" sqref="G39"/>
    </sheetView>
  </sheetViews>
  <sheetFormatPr defaultRowHeight="15" x14ac:dyDescent="0.25"/>
  <cols>
    <col min="1" max="1" width="5.140625" customWidth="1"/>
    <col min="2" max="2" width="67.7109375" style="9" customWidth="1"/>
    <col min="3" max="3" width="11" style="9" bestFit="1" customWidth="1"/>
    <col min="4" max="4" width="33.140625" style="9" bestFit="1" customWidth="1"/>
    <col min="5" max="5" width="14.42578125" style="9" bestFit="1" customWidth="1"/>
    <col min="6" max="6" width="1.7109375" style="113" customWidth="1"/>
    <col min="7" max="7" width="44.140625" customWidth="1"/>
    <col min="8" max="8" width="1.7109375" customWidth="1"/>
    <col min="9" max="9" width="59" customWidth="1"/>
    <col min="10" max="10" width="11.140625" customWidth="1"/>
    <col min="11" max="11" width="33.140625" customWidth="1"/>
    <col min="12" max="12" width="14.5703125" customWidth="1"/>
    <col min="13" max="13" width="1.7109375" customWidth="1"/>
    <col min="14" max="14" width="16.42578125" customWidth="1"/>
    <col min="15" max="15" width="10.5703125" bestFit="1" customWidth="1"/>
  </cols>
  <sheetData>
    <row r="1" spans="1:6" x14ac:dyDescent="0.25">
      <c r="A1" s="1"/>
      <c r="B1" s="130"/>
      <c r="D1" s="131"/>
      <c r="E1" s="2"/>
      <c r="F1" s="112"/>
    </row>
    <row r="2" spans="1:6" x14ac:dyDescent="0.25">
      <c r="A2" s="1"/>
      <c r="B2" s="131"/>
      <c r="D2" s="131"/>
      <c r="E2" s="50"/>
    </row>
    <row r="3" spans="1:6" x14ac:dyDescent="0.25">
      <c r="A3" s="59"/>
      <c r="B3" s="61" t="s">
        <v>0</v>
      </c>
      <c r="D3" s="61"/>
      <c r="E3" s="62"/>
      <c r="F3" s="114"/>
    </row>
    <row r="4" spans="1:6" x14ac:dyDescent="0.25">
      <c r="A4" s="59"/>
      <c r="B4" s="60" t="s">
        <v>80</v>
      </c>
      <c r="D4" s="60"/>
      <c r="E4" s="62"/>
    </row>
    <row r="5" spans="1:6" x14ac:dyDescent="0.25">
      <c r="A5" s="63"/>
      <c r="B5" s="60" t="s">
        <v>1</v>
      </c>
      <c r="D5" s="60"/>
      <c r="E5" s="64"/>
    </row>
    <row r="6" spans="1:6" x14ac:dyDescent="0.25">
      <c r="A6" s="59"/>
      <c r="B6" s="60" t="s">
        <v>147</v>
      </c>
      <c r="D6" s="60"/>
      <c r="E6" s="63"/>
      <c r="F6" s="9"/>
    </row>
    <row r="7" spans="1:6" x14ac:dyDescent="0.25">
      <c r="A7" s="3"/>
      <c r="B7" s="65"/>
      <c r="D7" s="59"/>
      <c r="E7" s="63"/>
      <c r="F7" s="9"/>
    </row>
    <row r="8" spans="1:6" x14ac:dyDescent="0.25">
      <c r="A8" s="4" t="s">
        <v>2</v>
      </c>
      <c r="B8" s="132"/>
      <c r="D8" s="59"/>
      <c r="E8" s="59"/>
      <c r="F8" s="9"/>
    </row>
    <row r="9" spans="1:6" x14ac:dyDescent="0.25">
      <c r="A9" s="5" t="s">
        <v>3</v>
      </c>
      <c r="B9" s="133" t="s">
        <v>4</v>
      </c>
      <c r="C9" s="7" t="s">
        <v>81</v>
      </c>
      <c r="D9" s="6"/>
      <c r="E9" s="7" t="s">
        <v>5</v>
      </c>
      <c r="F9" s="9"/>
    </row>
    <row r="10" spans="1:6" x14ac:dyDescent="0.25">
      <c r="A10" s="100"/>
      <c r="B10" s="134"/>
      <c r="C10" s="102"/>
      <c r="D10" s="101"/>
      <c r="E10" s="102"/>
      <c r="F10" s="9"/>
    </row>
    <row r="11" spans="1:6" x14ac:dyDescent="0.25">
      <c r="A11" s="8"/>
      <c r="B11" s="63"/>
      <c r="C11" s="63"/>
      <c r="D11" s="63"/>
      <c r="E11" s="63"/>
      <c r="F11" s="9"/>
    </row>
    <row r="12" spans="1:6" x14ac:dyDescent="0.25">
      <c r="A12" s="32">
        <v>1</v>
      </c>
      <c r="B12" s="138" t="s">
        <v>6</v>
      </c>
      <c r="C12" s="60"/>
      <c r="D12" s="59"/>
      <c r="E12" s="60"/>
      <c r="F12" s="9"/>
    </row>
    <row r="13" spans="1:6" x14ac:dyDescent="0.25">
      <c r="A13" s="32">
        <f>A12+1</f>
        <v>2</v>
      </c>
      <c r="B13" s="141" t="s">
        <v>125</v>
      </c>
      <c r="C13" s="60"/>
      <c r="D13" s="59"/>
      <c r="E13" s="60"/>
      <c r="F13" s="9"/>
    </row>
    <row r="14" spans="1:6" x14ac:dyDescent="0.25">
      <c r="A14" s="32">
        <f t="shared" ref="A14:A63" si="0">A13+1</f>
        <v>3</v>
      </c>
      <c r="B14" s="45" t="s">
        <v>7</v>
      </c>
      <c r="C14" s="135">
        <f>-E45/E14</f>
        <v>0.95059866131095283</v>
      </c>
      <c r="D14" s="66" t="s">
        <v>111</v>
      </c>
      <c r="E14" s="246">
        <f>'SOE 2023 YTD'!B35</f>
        <v>103031288.93000001</v>
      </c>
      <c r="F14" s="9"/>
    </row>
    <row r="15" spans="1:6" x14ac:dyDescent="0.25">
      <c r="A15" s="32">
        <f t="shared" si="0"/>
        <v>4</v>
      </c>
      <c r="B15" s="242" t="s">
        <v>216</v>
      </c>
      <c r="C15" s="240"/>
      <c r="D15" s="66" t="s">
        <v>111</v>
      </c>
      <c r="E15" s="99">
        <f>'SOE 2023 YTD'!B40</f>
        <v>3203741.37</v>
      </c>
      <c r="F15" s="9"/>
    </row>
    <row r="16" spans="1:6" x14ac:dyDescent="0.25">
      <c r="A16" s="32">
        <f t="shared" si="0"/>
        <v>5</v>
      </c>
      <c r="B16" s="242" t="s">
        <v>190</v>
      </c>
      <c r="C16" s="240"/>
      <c r="D16" s="66" t="s">
        <v>111</v>
      </c>
      <c r="E16" s="99">
        <f>'SOE 2023 YTD'!B32</f>
        <v>-899359.32</v>
      </c>
      <c r="F16" s="9"/>
    </row>
    <row r="17" spans="1:16" x14ac:dyDescent="0.25">
      <c r="A17" s="32">
        <f t="shared" si="0"/>
        <v>6</v>
      </c>
      <c r="B17" s="46" t="s">
        <v>8</v>
      </c>
      <c r="C17" s="135">
        <f>-E46/E17</f>
        <v>0.95065167388897232</v>
      </c>
      <c r="D17" s="66" t="s">
        <v>111</v>
      </c>
      <c r="E17" s="99">
        <f>'SOE 2023 YTD'!B46</f>
        <v>49536671.710000001</v>
      </c>
      <c r="F17" s="9"/>
    </row>
    <row r="18" spans="1:16" x14ac:dyDescent="0.25">
      <c r="A18" s="32">
        <f t="shared" si="0"/>
        <v>7</v>
      </c>
      <c r="B18" s="45" t="s">
        <v>9</v>
      </c>
      <c r="C18" s="135">
        <f>-E47/E18</f>
        <v>0.95402411483635652</v>
      </c>
      <c r="D18" s="66" t="s">
        <v>111</v>
      </c>
      <c r="E18" s="99">
        <f>'SOE 2023 YTD'!B33</f>
        <v>108439710.78</v>
      </c>
      <c r="F18" s="9"/>
    </row>
    <row r="19" spans="1:16" x14ac:dyDescent="0.25">
      <c r="A19" s="32">
        <f t="shared" si="0"/>
        <v>8</v>
      </c>
      <c r="B19" s="45" t="s">
        <v>10</v>
      </c>
      <c r="C19" s="135">
        <f>-E48/E19</f>
        <v>0.94937475340847699</v>
      </c>
      <c r="D19" s="66" t="s">
        <v>111</v>
      </c>
      <c r="E19" s="99">
        <f>'SOE 2023 YTD'!B39</f>
        <v>47021030.420000002</v>
      </c>
      <c r="F19" s="9"/>
    </row>
    <row r="20" spans="1:16" x14ac:dyDescent="0.25">
      <c r="A20" s="32">
        <f t="shared" si="0"/>
        <v>9</v>
      </c>
      <c r="B20" s="13" t="s">
        <v>27</v>
      </c>
      <c r="C20" s="135">
        <f>-E49/E20</f>
        <v>0.95096997640814696</v>
      </c>
      <c r="D20" s="66" t="s">
        <v>111</v>
      </c>
      <c r="E20" s="99">
        <f>'SOE 2023 YTD'!B34</f>
        <v>-81204605.430000007</v>
      </c>
      <c r="F20" s="9"/>
    </row>
    <row r="21" spans="1:16" x14ac:dyDescent="0.25">
      <c r="A21" s="32">
        <f t="shared" si="0"/>
        <v>10</v>
      </c>
      <c r="B21" s="47" t="s">
        <v>11</v>
      </c>
      <c r="C21" s="135">
        <f>-(E30+E50)/E21</f>
        <v>0.95111505057577439</v>
      </c>
      <c r="D21" s="66" t="s">
        <v>111</v>
      </c>
      <c r="E21" s="99">
        <f>'SOE 2023 YTD'!B42</f>
        <v>2685.08</v>
      </c>
      <c r="F21" s="9"/>
    </row>
    <row r="22" spans="1:16" x14ac:dyDescent="0.25">
      <c r="A22" s="32">
        <f t="shared" si="0"/>
        <v>11</v>
      </c>
      <c r="B22" s="47" t="s">
        <v>13</v>
      </c>
      <c r="C22" s="243">
        <f>'23GRC CF'!E20</f>
        <v>0.95234799999999997</v>
      </c>
      <c r="D22" s="66" t="s">
        <v>111</v>
      </c>
      <c r="E22" s="247">
        <f>-E31/C22</f>
        <v>-17467723.374228753</v>
      </c>
      <c r="F22" s="9"/>
    </row>
    <row r="23" spans="1:16" x14ac:dyDescent="0.25">
      <c r="A23" s="32">
        <f t="shared" si="0"/>
        <v>12</v>
      </c>
      <c r="B23" s="15" t="s">
        <v>15</v>
      </c>
      <c r="C23" s="135">
        <f>-(E51+E52+E53+E54+E55+E32)/E23</f>
        <v>0.95308325341269684</v>
      </c>
      <c r="D23" s="66" t="s">
        <v>111</v>
      </c>
      <c r="E23" s="248">
        <f>'SOEG Green Pwr '!L16</f>
        <v>8045429.3500000006</v>
      </c>
      <c r="F23" s="9"/>
    </row>
    <row r="24" spans="1:16" x14ac:dyDescent="0.25">
      <c r="A24" s="32">
        <f t="shared" si="0"/>
        <v>13</v>
      </c>
      <c r="B24" s="15" t="s">
        <v>78</v>
      </c>
      <c r="C24" s="135">
        <f>-E56/E24</f>
        <v>0.92303899970560632</v>
      </c>
      <c r="D24" s="67" t="s">
        <v>111</v>
      </c>
      <c r="E24" s="99">
        <f>'SOE 2023 YTD'!B37</f>
        <v>48157496.340000004</v>
      </c>
      <c r="F24" s="9"/>
    </row>
    <row r="25" spans="1:16" x14ac:dyDescent="0.25">
      <c r="A25" s="32">
        <f t="shared" si="0"/>
        <v>14</v>
      </c>
      <c r="F25" s="9"/>
    </row>
    <row r="26" spans="1:16" x14ac:dyDescent="0.25">
      <c r="A26" s="32">
        <f t="shared" si="0"/>
        <v>15</v>
      </c>
      <c r="C26" s="136"/>
      <c r="D26" s="136"/>
      <c r="E26" s="136"/>
      <c r="F26" s="9"/>
    </row>
    <row r="27" spans="1:16" s="9" customFormat="1" x14ac:dyDescent="0.25">
      <c r="A27" s="32">
        <f t="shared" si="0"/>
        <v>16</v>
      </c>
      <c r="B27" s="106" t="s">
        <v>126</v>
      </c>
      <c r="C27" s="105"/>
      <c r="D27" s="68"/>
      <c r="E27" s="107">
        <f>SUM(E14:E26)</f>
        <v>267866365.8557713</v>
      </c>
      <c r="G27"/>
      <c r="H27"/>
      <c r="I27"/>
      <c r="J27"/>
      <c r="K27"/>
      <c r="L27"/>
      <c r="M27"/>
      <c r="N27"/>
      <c r="O27"/>
      <c r="P27"/>
    </row>
    <row r="28" spans="1:16" s="9" customFormat="1" x14ac:dyDescent="0.25">
      <c r="A28" s="32">
        <f t="shared" si="0"/>
        <v>17</v>
      </c>
      <c r="C28" s="105"/>
      <c r="D28" s="68"/>
      <c r="E28" s="99"/>
      <c r="G28"/>
      <c r="H28"/>
      <c r="I28"/>
      <c r="J28"/>
      <c r="K28"/>
      <c r="L28"/>
      <c r="M28"/>
      <c r="N28"/>
      <c r="O28"/>
      <c r="P28"/>
    </row>
    <row r="29" spans="1:16" s="9" customFormat="1" x14ac:dyDescent="0.25">
      <c r="A29" s="32">
        <f t="shared" si="0"/>
        <v>18</v>
      </c>
      <c r="B29" s="140" t="s">
        <v>127</v>
      </c>
      <c r="C29" s="105"/>
      <c r="D29" s="68"/>
      <c r="E29" s="99"/>
      <c r="G29"/>
      <c r="H29"/>
      <c r="I29"/>
      <c r="J29"/>
      <c r="K29"/>
      <c r="L29"/>
      <c r="M29"/>
      <c r="N29"/>
      <c r="O29"/>
      <c r="P29"/>
    </row>
    <row r="30" spans="1:16" x14ac:dyDescent="0.25">
      <c r="A30" s="32">
        <f t="shared" si="0"/>
        <v>19</v>
      </c>
      <c r="B30" s="47" t="s">
        <v>12</v>
      </c>
      <c r="C30" s="10"/>
      <c r="D30" s="66" t="s">
        <v>112</v>
      </c>
      <c r="E30" s="99">
        <f>-'Sch 135_136 GreenPwr'!B6</f>
        <v>-2416.86</v>
      </c>
      <c r="F30" s="9"/>
    </row>
    <row r="31" spans="1:16" x14ac:dyDescent="0.25">
      <c r="A31" s="32">
        <f t="shared" si="0"/>
        <v>20</v>
      </c>
      <c r="B31" s="47" t="s">
        <v>14</v>
      </c>
      <c r="C31" s="10"/>
      <c r="D31" s="66" t="s">
        <v>112</v>
      </c>
      <c r="E31" s="249">
        <f>-'Sch 142 Decoupling'!D35</f>
        <v>16635351.420000004</v>
      </c>
      <c r="F31" s="9"/>
    </row>
    <row r="32" spans="1:16" x14ac:dyDescent="0.25">
      <c r="A32" s="32">
        <f>A30+1</f>
        <v>20</v>
      </c>
      <c r="B32" s="47" t="s">
        <v>16</v>
      </c>
      <c r="C32" s="10"/>
      <c r="D32" s="66" t="s">
        <v>112</v>
      </c>
      <c r="E32" s="249">
        <f>-'Sch 135_136 GreenPwr'!B5</f>
        <v>-943720.93</v>
      </c>
      <c r="F32" s="9"/>
    </row>
    <row r="33" spans="1:16" s="9" customFormat="1" x14ac:dyDescent="0.25">
      <c r="A33" s="32">
        <f>A31+1</f>
        <v>21</v>
      </c>
      <c r="B33" s="109" t="s">
        <v>189</v>
      </c>
      <c r="C33" s="244"/>
      <c r="D33" s="110" t="s">
        <v>112</v>
      </c>
      <c r="E33" s="238">
        <f>-'Sch Bill Discount 129D'!B7</f>
        <v>-1721781</v>
      </c>
      <c r="G33"/>
      <c r="H33"/>
      <c r="I33"/>
      <c r="J33"/>
      <c r="K33"/>
      <c r="L33"/>
      <c r="M33"/>
      <c r="N33"/>
      <c r="O33"/>
      <c r="P33"/>
    </row>
    <row r="34" spans="1:16" s="9" customFormat="1" x14ac:dyDescent="0.25">
      <c r="A34" s="32">
        <f>A33+1</f>
        <v>22</v>
      </c>
      <c r="B34" s="108" t="s">
        <v>128</v>
      </c>
      <c r="C34" s="105"/>
      <c r="D34" s="68"/>
      <c r="E34" s="107">
        <f>SUM(E30:E33)</f>
        <v>13967432.630000005</v>
      </c>
      <c r="G34"/>
      <c r="H34"/>
      <c r="I34"/>
      <c r="J34"/>
      <c r="K34"/>
      <c r="L34"/>
      <c r="M34"/>
      <c r="N34"/>
      <c r="O34"/>
      <c r="P34"/>
    </row>
    <row r="35" spans="1:16" x14ac:dyDescent="0.25">
      <c r="A35" s="32">
        <f t="shared" si="0"/>
        <v>23</v>
      </c>
      <c r="C35" s="105"/>
      <c r="D35" s="68"/>
      <c r="E35" s="99"/>
      <c r="F35" s="9"/>
    </row>
    <row r="36" spans="1:16" x14ac:dyDescent="0.25">
      <c r="A36" s="32">
        <f t="shared" si="0"/>
        <v>24</v>
      </c>
      <c r="B36" s="29" t="s">
        <v>17</v>
      </c>
      <c r="C36" s="12"/>
      <c r="D36" s="14"/>
      <c r="E36" s="111">
        <f>SUM(E27,E34)</f>
        <v>281833798.4857713</v>
      </c>
      <c r="F36" s="9"/>
    </row>
    <row r="37" spans="1:16" x14ac:dyDescent="0.25">
      <c r="A37" s="32">
        <f t="shared" si="0"/>
        <v>25</v>
      </c>
      <c r="B37" s="20"/>
      <c r="C37" s="20"/>
      <c r="D37" s="20"/>
      <c r="E37" s="11"/>
      <c r="F37" s="9"/>
    </row>
    <row r="38" spans="1:16" x14ac:dyDescent="0.25">
      <c r="A38" s="32">
        <f t="shared" si="0"/>
        <v>26</v>
      </c>
      <c r="B38" s="22" t="s">
        <v>18</v>
      </c>
      <c r="C38" s="12"/>
      <c r="D38" s="18"/>
      <c r="E38" s="19"/>
      <c r="F38" s="9"/>
    </row>
    <row r="39" spans="1:16" x14ac:dyDescent="0.25">
      <c r="A39" s="32">
        <f t="shared" si="0"/>
        <v>27</v>
      </c>
      <c r="B39" s="15" t="s">
        <v>19</v>
      </c>
      <c r="C39" s="241">
        <f>[1]Summaries!$DA$12</f>
        <v>5.3359999999999996E-3</v>
      </c>
      <c r="D39" s="80" t="s">
        <v>129</v>
      </c>
      <c r="E39" s="34">
        <f>-SUM($E$14:$E$21,$E$23:$E$24)*C39</f>
        <v>-1522542.7001312799</v>
      </c>
      <c r="F39" s="9"/>
    </row>
    <row r="40" spans="1:16" x14ac:dyDescent="0.25">
      <c r="A40" s="32">
        <f t="shared" si="0"/>
        <v>28</v>
      </c>
      <c r="B40" s="15" t="s">
        <v>20</v>
      </c>
      <c r="C40" s="241">
        <f>[1]Summaries!$DA$13</f>
        <v>4.0000000000000001E-3</v>
      </c>
      <c r="D40" s="80" t="s">
        <v>108</v>
      </c>
      <c r="E40" s="34">
        <f>-SUM($E$14:$E$21,$E$23:$E$24)*C40</f>
        <v>-1141336.3569200002</v>
      </c>
      <c r="F40" s="9"/>
    </row>
    <row r="41" spans="1:16" x14ac:dyDescent="0.25">
      <c r="A41" s="32">
        <f t="shared" si="0"/>
        <v>29</v>
      </c>
      <c r="B41" s="15" t="s">
        <v>21</v>
      </c>
      <c r="C41" s="241">
        <f>[1]Summaries!$DA$14</f>
        <v>3.8526999999999999E-2</v>
      </c>
      <c r="D41" s="80" t="s">
        <v>106</v>
      </c>
      <c r="E41" s="34">
        <f>-SUM($E$14:$E$21,$E$23:$E$24)*C41</f>
        <v>-10993066.45576421</v>
      </c>
      <c r="F41" s="9"/>
    </row>
    <row r="42" spans="1:16" x14ac:dyDescent="0.25">
      <c r="A42" s="32">
        <f t="shared" si="0"/>
        <v>30</v>
      </c>
      <c r="B42" s="12" t="s">
        <v>22</v>
      </c>
      <c r="C42" s="23"/>
      <c r="D42" s="10"/>
      <c r="E42" s="24">
        <f>SUM(E39:E41)</f>
        <v>-13656945.51281549</v>
      </c>
      <c r="F42" s="9"/>
    </row>
    <row r="43" spans="1:16" x14ac:dyDescent="0.25">
      <c r="A43" s="32">
        <f t="shared" si="0"/>
        <v>31</v>
      </c>
      <c r="B43" s="12"/>
      <c r="C43" s="17"/>
      <c r="D43" s="18"/>
      <c r="E43" s="19"/>
      <c r="F43" s="9"/>
    </row>
    <row r="44" spans="1:16" x14ac:dyDescent="0.25">
      <c r="A44" s="32">
        <f t="shared" si="0"/>
        <v>32</v>
      </c>
      <c r="B44" s="139" t="s">
        <v>23</v>
      </c>
      <c r="C44" s="14"/>
      <c r="D44" s="14"/>
      <c r="E44" s="16"/>
      <c r="F44" s="9"/>
    </row>
    <row r="45" spans="1:16" x14ac:dyDescent="0.25">
      <c r="A45" s="32">
        <f t="shared" si="0"/>
        <v>33</v>
      </c>
      <c r="B45" s="45" t="s">
        <v>24</v>
      </c>
      <c r="C45" s="14"/>
      <c r="D45" s="80" t="s">
        <v>105</v>
      </c>
      <c r="E45" s="246">
        <f>-'Sch 120 Conserv'!B5</f>
        <v>-97941405.329999998</v>
      </c>
      <c r="F45" s="9"/>
    </row>
    <row r="46" spans="1:16" x14ac:dyDescent="0.25">
      <c r="A46" s="32">
        <f t="shared" si="0"/>
        <v>34</v>
      </c>
      <c r="B46" s="46" t="s">
        <v>25</v>
      </c>
      <c r="C46" s="14"/>
      <c r="D46" s="80" t="s">
        <v>106</v>
      </c>
      <c r="E46" s="249">
        <f>-'Sch 140 PropertyTaxes'!B9</f>
        <v>-47092119.880000003</v>
      </c>
      <c r="F46" s="9"/>
    </row>
    <row r="47" spans="1:16" x14ac:dyDescent="0.25">
      <c r="A47" s="32">
        <f t="shared" si="0"/>
        <v>35</v>
      </c>
      <c r="B47" s="45" t="s">
        <v>9</v>
      </c>
      <c r="C47" s="14"/>
      <c r="D47" s="80" t="s">
        <v>106</v>
      </c>
      <c r="E47" s="249">
        <f>-'Sch 81 MunicipalTaxes'!B6</f>
        <v>-103454099.09</v>
      </c>
      <c r="F47" s="9"/>
    </row>
    <row r="48" spans="1:16" x14ac:dyDescent="0.25">
      <c r="A48" s="32">
        <f t="shared" si="0"/>
        <v>36</v>
      </c>
      <c r="B48" s="45" t="s">
        <v>26</v>
      </c>
      <c r="C48" s="14"/>
      <c r="D48" s="80" t="s">
        <v>104</v>
      </c>
      <c r="E48" s="249">
        <f>-'Sch 129 LowInc'!B5-'Sch 129 LowInc'!B6</f>
        <v>-44640579.159999996</v>
      </c>
      <c r="F48" s="9"/>
    </row>
    <row r="49" spans="1:6" x14ac:dyDescent="0.25">
      <c r="A49" s="32">
        <f t="shared" si="0"/>
        <v>37</v>
      </c>
      <c r="B49" s="13" t="s">
        <v>27</v>
      </c>
      <c r="C49" s="48"/>
      <c r="D49" s="30" t="s">
        <v>109</v>
      </c>
      <c r="E49" s="249">
        <f>-'Sch 194 Res. Exchge'!B6</f>
        <v>77223141.709999993</v>
      </c>
      <c r="F49" s="9"/>
    </row>
    <row r="50" spans="1:6" x14ac:dyDescent="0.25">
      <c r="A50" s="32">
        <f t="shared" si="0"/>
        <v>38</v>
      </c>
      <c r="B50" s="47" t="s">
        <v>28</v>
      </c>
      <c r="C50" s="48"/>
      <c r="D50" s="30" t="s">
        <v>110</v>
      </c>
      <c r="E50" s="249">
        <f>-'Sch 137 Int on Rec Proc'!B6</f>
        <v>-136.96</v>
      </c>
      <c r="F50" s="9"/>
    </row>
    <row r="51" spans="1:6" x14ac:dyDescent="0.25">
      <c r="A51" s="32">
        <f t="shared" si="0"/>
        <v>39</v>
      </c>
      <c r="B51" s="13" t="s">
        <v>29</v>
      </c>
      <c r="C51" s="14"/>
      <c r="D51" s="80" t="s">
        <v>107</v>
      </c>
      <c r="E51" s="249">
        <f>-'Green Power 557'!C8</f>
        <v>-4941505.4400000004</v>
      </c>
      <c r="F51" s="9"/>
    </row>
    <row r="52" spans="1:6" x14ac:dyDescent="0.25">
      <c r="A52" s="32">
        <f t="shared" si="0"/>
        <v>40</v>
      </c>
      <c r="B52" s="15" t="s">
        <v>113</v>
      </c>
      <c r="C52" s="14"/>
      <c r="D52" s="80" t="s">
        <v>104</v>
      </c>
      <c r="E52" s="249">
        <f>-SUM('Customer Assis Green Pwr'!E7:E8)</f>
        <v>-1227558.43</v>
      </c>
      <c r="F52" s="9"/>
    </row>
    <row r="53" spans="1:6" x14ac:dyDescent="0.25">
      <c r="A53" s="32">
        <f t="shared" si="0"/>
        <v>41</v>
      </c>
      <c r="B53" s="15" t="s">
        <v>114</v>
      </c>
      <c r="C53" s="14"/>
      <c r="D53" s="80" t="s">
        <v>104</v>
      </c>
      <c r="E53" s="249">
        <f>-'Customer Assis Green Pwr'!E9</f>
        <v>-396599.13</v>
      </c>
      <c r="F53" s="9"/>
    </row>
    <row r="54" spans="1:6" x14ac:dyDescent="0.25">
      <c r="A54" s="32">
        <f t="shared" si="0"/>
        <v>42</v>
      </c>
      <c r="B54" s="15" t="s">
        <v>115</v>
      </c>
      <c r="C54" s="14"/>
      <c r="D54" s="80" t="s">
        <v>108</v>
      </c>
      <c r="E54" s="249">
        <f>-'Customer Assis Green Pwr'!D5</f>
        <v>-122298.23999999999</v>
      </c>
      <c r="F54" s="9"/>
    </row>
    <row r="55" spans="1:6" x14ac:dyDescent="0.25">
      <c r="A55" s="32">
        <f t="shared" si="0"/>
        <v>43</v>
      </c>
      <c r="B55" s="15" t="s">
        <v>116</v>
      </c>
      <c r="C55" s="48"/>
      <c r="D55" s="80" t="s">
        <v>106</v>
      </c>
      <c r="E55" s="249">
        <f>-'Customer Assis Green Pwr'!C5</f>
        <v>-36281.81</v>
      </c>
      <c r="F55" s="9"/>
    </row>
    <row r="56" spans="1:6" x14ac:dyDescent="0.25">
      <c r="A56" s="32">
        <f t="shared" si="0"/>
        <v>44</v>
      </c>
      <c r="B56" s="47" t="s">
        <v>79</v>
      </c>
      <c r="D56" s="80" t="s">
        <v>107</v>
      </c>
      <c r="E56" s="249">
        <f>-'Green Power 557'!C9</f>
        <v>-44451247.25</v>
      </c>
      <c r="F56" s="9"/>
    </row>
    <row r="57" spans="1:6" x14ac:dyDescent="0.25">
      <c r="A57" s="32">
        <f t="shared" si="0"/>
        <v>45</v>
      </c>
      <c r="B57" s="136"/>
      <c r="C57" s="136"/>
      <c r="D57" s="136"/>
      <c r="E57" s="136"/>
      <c r="F57" s="9"/>
    </row>
    <row r="58" spans="1:6" x14ac:dyDescent="0.25">
      <c r="A58" s="32">
        <f t="shared" si="0"/>
        <v>46</v>
      </c>
      <c r="B58" s="13" t="s">
        <v>30</v>
      </c>
      <c r="C58" s="14"/>
      <c r="D58" s="126"/>
      <c r="E58" s="21">
        <f>SUM(E45:E57)</f>
        <v>-267080689.01000008</v>
      </c>
      <c r="F58" s="9"/>
    </row>
    <row r="59" spans="1:6" x14ac:dyDescent="0.25">
      <c r="A59" s="32">
        <f t="shared" si="0"/>
        <v>47</v>
      </c>
      <c r="B59" s="14"/>
      <c r="C59" s="13"/>
      <c r="D59" s="14"/>
      <c r="E59" s="16"/>
      <c r="F59" s="9"/>
    </row>
    <row r="60" spans="1:6" x14ac:dyDescent="0.25">
      <c r="A60" s="32">
        <f t="shared" si="0"/>
        <v>48</v>
      </c>
      <c r="B60" s="13" t="s">
        <v>31</v>
      </c>
      <c r="C60" s="35">
        <v>0.21</v>
      </c>
      <c r="D60" s="26"/>
      <c r="E60" s="27">
        <f>-E36-E42-E58</f>
        <v>-1096163.9629557431</v>
      </c>
      <c r="F60" s="9"/>
    </row>
    <row r="61" spans="1:6" x14ac:dyDescent="0.25">
      <c r="A61" s="32">
        <f t="shared" si="0"/>
        <v>49</v>
      </c>
      <c r="B61" s="13" t="s">
        <v>32</v>
      </c>
      <c r="C61" s="13"/>
      <c r="D61" s="26"/>
      <c r="E61" s="27">
        <f>E60*0.21</f>
        <v>-230194.43222070605</v>
      </c>
      <c r="F61" s="9"/>
    </row>
    <row r="62" spans="1:6" ht="15.75" thickBot="1" x14ac:dyDescent="0.3">
      <c r="A62" s="32">
        <f t="shared" si="0"/>
        <v>50</v>
      </c>
      <c r="B62" s="13" t="s">
        <v>33</v>
      </c>
      <c r="D62" s="26"/>
      <c r="E62" s="28">
        <f>E60-E61</f>
        <v>-865969.53073503706</v>
      </c>
      <c r="F62" s="9"/>
    </row>
    <row r="63" spans="1:6" ht="15.75" thickTop="1" x14ac:dyDescent="0.25">
      <c r="A63" s="32">
        <f t="shared" si="0"/>
        <v>51</v>
      </c>
      <c r="F63" s="9"/>
    </row>
    <row r="64" spans="1:6" x14ac:dyDescent="0.25">
      <c r="A64" s="32"/>
      <c r="B64" s="13"/>
      <c r="E64" s="103"/>
      <c r="F64" s="9"/>
    </row>
    <row r="65" spans="1:6" x14ac:dyDescent="0.25">
      <c r="A65" s="32"/>
      <c r="F65" s="9"/>
    </row>
    <row r="66" spans="1:6" x14ac:dyDescent="0.25">
      <c r="A66" s="32"/>
      <c r="F66" s="104"/>
    </row>
    <row r="67" spans="1:6" x14ac:dyDescent="0.25">
      <c r="A67" s="32"/>
      <c r="F67" s="9"/>
    </row>
    <row r="68" spans="1:6" x14ac:dyDescent="0.25">
      <c r="A68" s="31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C1" workbookViewId="0">
      <selection activeCell="J30" sqref="J30"/>
    </sheetView>
  </sheetViews>
  <sheetFormatPr defaultRowHeight="15" x14ac:dyDescent="0.25"/>
  <cols>
    <col min="1" max="1" width="8.42578125" customWidth="1"/>
    <col min="2" max="2" width="6.85546875" customWidth="1"/>
    <col min="3" max="3" width="18.7109375" customWidth="1"/>
    <col min="4" max="4" width="24.42578125" customWidth="1"/>
    <col min="5" max="5" width="10.140625" bestFit="1" customWidth="1"/>
    <col min="6" max="6" width="11.28515625" bestFit="1" customWidth="1"/>
    <col min="7" max="8" width="13.140625" bestFit="1" customWidth="1"/>
    <col min="9" max="9" width="9.28515625" customWidth="1"/>
    <col min="10" max="10" width="25" bestFit="1" customWidth="1"/>
    <col min="11" max="11" width="15.7109375" bestFit="1" customWidth="1"/>
    <col min="12" max="12" width="13.140625" bestFit="1" customWidth="1"/>
    <col min="13" max="13" width="30.5703125" bestFit="1" customWidth="1"/>
  </cols>
  <sheetData>
    <row r="1" spans="1:12" x14ac:dyDescent="0.25">
      <c r="A1" s="36" t="s">
        <v>34</v>
      </c>
      <c r="B1" s="36" t="s">
        <v>34</v>
      </c>
      <c r="C1" s="36" t="s">
        <v>34</v>
      </c>
      <c r="D1" s="37" t="s">
        <v>68</v>
      </c>
      <c r="E1" s="38"/>
      <c r="F1" s="38"/>
      <c r="G1" s="38"/>
      <c r="H1" s="38"/>
      <c r="I1" s="38"/>
    </row>
    <row r="2" spans="1:12" x14ac:dyDescent="0.25">
      <c r="A2" s="36" t="s">
        <v>34</v>
      </c>
      <c r="B2" s="39" t="s">
        <v>34</v>
      </c>
      <c r="C2" s="36" t="s">
        <v>71</v>
      </c>
      <c r="D2" s="42" t="s">
        <v>37</v>
      </c>
      <c r="E2" s="42" t="s">
        <v>73</v>
      </c>
      <c r="F2" s="42" t="s">
        <v>38</v>
      </c>
      <c r="G2" s="42" t="s">
        <v>39</v>
      </c>
      <c r="H2" s="42" t="s">
        <v>74</v>
      </c>
      <c r="I2" s="42" t="s">
        <v>40</v>
      </c>
      <c r="J2" s="56" t="s">
        <v>69</v>
      </c>
      <c r="K2" s="42" t="s">
        <v>145</v>
      </c>
      <c r="L2" s="42"/>
    </row>
    <row r="3" spans="1:12" x14ac:dyDescent="0.25">
      <c r="A3" s="36" t="s">
        <v>35</v>
      </c>
      <c r="B3" s="40"/>
      <c r="C3" s="36" t="s">
        <v>36</v>
      </c>
      <c r="D3" s="41" t="s">
        <v>75</v>
      </c>
      <c r="E3" s="41" t="s">
        <v>75</v>
      </c>
      <c r="F3" s="41" t="s">
        <v>75</v>
      </c>
      <c r="G3" s="41" t="s">
        <v>75</v>
      </c>
      <c r="H3" s="41" t="s">
        <v>75</v>
      </c>
      <c r="I3" s="41" t="s">
        <v>75</v>
      </c>
      <c r="J3" s="57" t="s">
        <v>75</v>
      </c>
      <c r="K3" s="41"/>
      <c r="L3" s="41" t="s">
        <v>53</v>
      </c>
    </row>
    <row r="4" spans="1:12" x14ac:dyDescent="0.25">
      <c r="A4" s="37" t="s">
        <v>76</v>
      </c>
      <c r="B4" s="42" t="s">
        <v>77</v>
      </c>
      <c r="C4" s="37" t="s">
        <v>150</v>
      </c>
      <c r="D4" s="52">
        <v>24451.05</v>
      </c>
      <c r="E4" s="52">
        <v>1116.18</v>
      </c>
      <c r="F4" s="52">
        <v>50484.43</v>
      </c>
      <c r="G4" s="52">
        <v>595399.77</v>
      </c>
      <c r="H4" s="52">
        <v>119108.68</v>
      </c>
      <c r="I4" s="52">
        <v>12</v>
      </c>
      <c r="J4" s="54">
        <f t="shared" ref="J4:J15" si="0">SUM(D4:I4)</f>
        <v>790572.1100000001</v>
      </c>
      <c r="K4" s="127">
        <v>-4017.55</v>
      </c>
      <c r="L4" s="52">
        <f>J4-K4</f>
        <v>794589.66000000015</v>
      </c>
    </row>
    <row r="5" spans="1:12" x14ac:dyDescent="0.25">
      <c r="A5" s="38"/>
      <c r="B5" s="43"/>
      <c r="C5" s="37" t="s">
        <v>151</v>
      </c>
      <c r="D5" s="52">
        <v>22375.81</v>
      </c>
      <c r="E5" s="52">
        <v>1325.5</v>
      </c>
      <c r="F5" s="52">
        <v>35534.67</v>
      </c>
      <c r="G5" s="52">
        <v>558085.11</v>
      </c>
      <c r="H5" s="52">
        <v>118998.57</v>
      </c>
      <c r="I5" s="52">
        <v>9.16</v>
      </c>
      <c r="J5" s="54">
        <f t="shared" si="0"/>
        <v>736328.82</v>
      </c>
      <c r="K5" s="127">
        <v>-4017.55</v>
      </c>
      <c r="L5" s="52">
        <f t="shared" ref="L5:L14" si="1">J5-K5</f>
        <v>740346.37</v>
      </c>
    </row>
    <row r="6" spans="1:12" x14ac:dyDescent="0.25">
      <c r="A6" s="38"/>
      <c r="B6" s="43"/>
      <c r="C6" s="37" t="s">
        <v>152</v>
      </c>
      <c r="D6" s="52">
        <v>27310.42</v>
      </c>
      <c r="E6" s="52">
        <v>1157.67</v>
      </c>
      <c r="F6" s="52">
        <v>29922.65</v>
      </c>
      <c r="G6" s="52">
        <v>560325.56000000006</v>
      </c>
      <c r="H6" s="52">
        <v>118505.35</v>
      </c>
      <c r="I6" s="52">
        <v>8.3800000000000008</v>
      </c>
      <c r="J6" s="54">
        <f t="shared" si="0"/>
        <v>737230.03</v>
      </c>
      <c r="K6" s="127">
        <v>-70952.14</v>
      </c>
      <c r="L6" s="52">
        <f t="shared" si="1"/>
        <v>808182.17</v>
      </c>
    </row>
    <row r="7" spans="1:12" x14ac:dyDescent="0.25">
      <c r="A7" s="38"/>
      <c r="B7" s="43"/>
      <c r="C7" s="37" t="s">
        <v>153</v>
      </c>
      <c r="D7" s="52">
        <v>20069.939999999999</v>
      </c>
      <c r="E7" s="52">
        <v>1251.5</v>
      </c>
      <c r="F7" s="52">
        <v>44028.82</v>
      </c>
      <c r="G7" s="52">
        <v>513308.43</v>
      </c>
      <c r="H7" s="52">
        <v>117795.63</v>
      </c>
      <c r="I7" s="52">
        <v>8.08</v>
      </c>
      <c r="J7" s="54">
        <f t="shared" si="0"/>
        <v>696462.39999999991</v>
      </c>
      <c r="K7" s="127">
        <v>-4017.55</v>
      </c>
      <c r="L7" s="52">
        <f t="shared" si="1"/>
        <v>700479.95</v>
      </c>
    </row>
    <row r="8" spans="1:12" x14ac:dyDescent="0.25">
      <c r="A8" s="38"/>
      <c r="B8" s="43"/>
      <c r="C8" s="37" t="s">
        <v>154</v>
      </c>
      <c r="D8" s="52">
        <v>20456.72</v>
      </c>
      <c r="E8" s="52">
        <v>1158.17</v>
      </c>
      <c r="F8" s="52">
        <v>30107.89</v>
      </c>
      <c r="G8" s="52">
        <v>449348.85</v>
      </c>
      <c r="H8" s="52">
        <v>117685.49</v>
      </c>
      <c r="I8" s="52">
        <v>6.5</v>
      </c>
      <c r="J8" s="54">
        <f t="shared" si="0"/>
        <v>618763.62</v>
      </c>
      <c r="K8" s="127">
        <v>-4017.55</v>
      </c>
      <c r="L8" s="52">
        <f t="shared" si="1"/>
        <v>622781.17000000004</v>
      </c>
    </row>
    <row r="9" spans="1:12" x14ac:dyDescent="0.25">
      <c r="A9" s="38"/>
      <c r="B9" s="43"/>
      <c r="C9" s="37" t="s">
        <v>155</v>
      </c>
      <c r="D9" s="52">
        <v>22522.28</v>
      </c>
      <c r="E9" s="52">
        <v>1122.5</v>
      </c>
      <c r="F9" s="52">
        <v>33727.269999999997</v>
      </c>
      <c r="G9" s="52">
        <v>423063.29</v>
      </c>
      <c r="H9" s="52">
        <v>118144.84</v>
      </c>
      <c r="I9" s="52">
        <v>5.94</v>
      </c>
      <c r="J9" s="54">
        <f t="shared" si="0"/>
        <v>598586.11999999988</v>
      </c>
      <c r="K9" s="127">
        <v>4256.5</v>
      </c>
      <c r="L9" s="52">
        <f t="shared" si="1"/>
        <v>594329.61999999988</v>
      </c>
    </row>
    <row r="10" spans="1:12" x14ac:dyDescent="0.25">
      <c r="A10" s="38"/>
      <c r="B10" s="43"/>
      <c r="C10" s="37" t="s">
        <v>156</v>
      </c>
      <c r="D10" s="52">
        <v>20038.75</v>
      </c>
      <c r="E10" s="52">
        <v>1084.3399999999999</v>
      </c>
      <c r="F10" s="52">
        <v>31091.11</v>
      </c>
      <c r="G10" s="52">
        <v>425050.41</v>
      </c>
      <c r="H10" s="52">
        <v>117288.55</v>
      </c>
      <c r="I10" s="52">
        <v>5.51</v>
      </c>
      <c r="J10" s="54">
        <f t="shared" si="0"/>
        <v>594558.67000000004</v>
      </c>
      <c r="K10" s="127">
        <v>-3153.83</v>
      </c>
      <c r="L10" s="52">
        <f t="shared" si="1"/>
        <v>597712.5</v>
      </c>
    </row>
    <row r="11" spans="1:12" x14ac:dyDescent="0.25">
      <c r="A11" s="38"/>
      <c r="B11" s="43"/>
      <c r="C11" s="37" t="s">
        <v>157</v>
      </c>
      <c r="D11" s="52">
        <v>20656.12</v>
      </c>
      <c r="E11" s="52">
        <v>1190.33</v>
      </c>
      <c r="F11" s="52">
        <v>40420.42</v>
      </c>
      <c r="G11" s="52">
        <v>435805.18</v>
      </c>
      <c r="H11" s="52">
        <v>117342.83</v>
      </c>
      <c r="I11" s="52">
        <v>6.15</v>
      </c>
      <c r="J11" s="54">
        <f t="shared" si="0"/>
        <v>615421.03</v>
      </c>
      <c r="K11" s="127">
        <v>-3153.83</v>
      </c>
      <c r="L11" s="52">
        <f t="shared" si="1"/>
        <v>618574.86</v>
      </c>
    </row>
    <row r="12" spans="1:12" x14ac:dyDescent="0.25">
      <c r="A12" s="38"/>
      <c r="B12" s="43"/>
      <c r="C12" s="37" t="s">
        <v>158</v>
      </c>
      <c r="D12" s="52">
        <v>20145.13</v>
      </c>
      <c r="E12" s="52">
        <v>1140.83</v>
      </c>
      <c r="F12" s="52">
        <v>30082.23</v>
      </c>
      <c r="G12" s="52">
        <v>432097.76</v>
      </c>
      <c r="H12" s="52">
        <v>117632.2</v>
      </c>
      <c r="I12" s="52">
        <v>6.62</v>
      </c>
      <c r="J12" s="54">
        <f t="shared" si="0"/>
        <v>601104.77</v>
      </c>
      <c r="K12" s="127">
        <v>-3153.83</v>
      </c>
      <c r="L12" s="52">
        <f t="shared" si="1"/>
        <v>604258.6</v>
      </c>
    </row>
    <row r="13" spans="1:12" x14ac:dyDescent="0.25">
      <c r="A13" s="38"/>
      <c r="B13" s="43"/>
      <c r="C13" s="37" t="s">
        <v>159</v>
      </c>
      <c r="D13" s="52">
        <v>19388.87</v>
      </c>
      <c r="E13" s="52">
        <v>1191.17</v>
      </c>
      <c r="F13" s="52">
        <v>30584.31</v>
      </c>
      <c r="G13" s="52">
        <v>413948.93</v>
      </c>
      <c r="H13" s="52">
        <v>116767.05</v>
      </c>
      <c r="I13" s="52">
        <v>8.06</v>
      </c>
      <c r="J13" s="54">
        <f t="shared" si="0"/>
        <v>581888.39000000013</v>
      </c>
      <c r="K13" s="127">
        <v>-3153.83</v>
      </c>
      <c r="L13" s="52">
        <f t="shared" si="1"/>
        <v>585042.22000000009</v>
      </c>
    </row>
    <row r="14" spans="1:12" x14ac:dyDescent="0.25">
      <c r="A14" s="38"/>
      <c r="B14" s="43"/>
      <c r="C14" s="37" t="s">
        <v>160</v>
      </c>
      <c r="D14" s="52">
        <v>19955.07</v>
      </c>
      <c r="E14" s="52">
        <v>1055.83</v>
      </c>
      <c r="F14" s="52">
        <v>37056.97</v>
      </c>
      <c r="G14" s="52">
        <v>473875.02</v>
      </c>
      <c r="H14" s="52">
        <v>117401.14</v>
      </c>
      <c r="I14" s="52">
        <v>8.99</v>
      </c>
      <c r="J14" s="54">
        <f t="shared" si="0"/>
        <v>649353.02</v>
      </c>
      <c r="K14" s="127">
        <v>-1112.1400000000001</v>
      </c>
      <c r="L14" s="52">
        <f t="shared" si="1"/>
        <v>650465.16</v>
      </c>
    </row>
    <row r="15" spans="1:12" x14ac:dyDescent="0.25">
      <c r="A15" s="38"/>
      <c r="B15" s="38"/>
      <c r="C15" s="37" t="s">
        <v>161</v>
      </c>
      <c r="D15" s="148">
        <v>22201.51</v>
      </c>
      <c r="E15" s="148">
        <v>1096.3399999999999</v>
      </c>
      <c r="F15" s="148">
        <v>34247.31</v>
      </c>
      <c r="G15" s="148">
        <v>549367.76</v>
      </c>
      <c r="H15" s="148">
        <v>116744.11</v>
      </c>
      <c r="I15" s="148">
        <v>12.76</v>
      </c>
      <c r="J15" s="54">
        <f t="shared" si="0"/>
        <v>723669.79</v>
      </c>
      <c r="K15" s="127">
        <v>-4997.28</v>
      </c>
      <c r="L15" s="52">
        <f>J15-K15</f>
        <v>728667.07000000007</v>
      </c>
    </row>
    <row r="16" spans="1:12" x14ac:dyDescent="0.25">
      <c r="C16" s="58" t="s">
        <v>70</v>
      </c>
      <c r="D16" s="53">
        <f t="shared" ref="D16:L16" si="2">SUM(D4:D15)</f>
        <v>259571.67</v>
      </c>
      <c r="E16" s="53">
        <f t="shared" si="2"/>
        <v>13890.36</v>
      </c>
      <c r="F16" s="53">
        <f t="shared" si="2"/>
        <v>427288.08</v>
      </c>
      <c r="G16" s="53">
        <f t="shared" si="2"/>
        <v>5829676.0700000003</v>
      </c>
      <c r="H16" s="53">
        <f t="shared" si="2"/>
        <v>1413414.44</v>
      </c>
      <c r="I16" s="53">
        <f t="shared" si="2"/>
        <v>98.149999999999991</v>
      </c>
      <c r="J16" s="55">
        <f t="shared" si="2"/>
        <v>7943938.7700000005</v>
      </c>
      <c r="K16" s="53">
        <f t="shared" si="2"/>
        <v>-101490.58000000002</v>
      </c>
      <c r="L16" s="149">
        <f t="shared" si="2"/>
        <v>8045429.3500000006</v>
      </c>
    </row>
    <row r="19" spans="3:3" x14ac:dyDescent="0.25">
      <c r="C19" s="245" t="s">
        <v>188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pane ySplit="4" topLeftCell="A8" activePane="bottomLeft" state="frozen"/>
      <selection activeCell="G25" sqref="G25"/>
      <selection pane="bottomLeft" activeCell="B5" sqref="B5"/>
    </sheetView>
  </sheetViews>
  <sheetFormatPr defaultRowHeight="15" x14ac:dyDescent="0.25"/>
  <cols>
    <col min="1" max="1" width="52.140625" bestFit="1" customWidth="1"/>
    <col min="2" max="2" width="16" style="44" bestFit="1" customWidth="1"/>
    <col min="5" max="5" width="52.140625" bestFit="1" customWidth="1"/>
    <col min="6" max="6" width="15" bestFit="1" customWidth="1"/>
  </cols>
  <sheetData>
    <row r="1" spans="1:2" x14ac:dyDescent="0.25">
      <c r="A1" s="116" t="s">
        <v>130</v>
      </c>
    </row>
    <row r="2" spans="1:2" x14ac:dyDescent="0.25">
      <c r="A2" s="116" t="s">
        <v>131</v>
      </c>
    </row>
    <row r="3" spans="1:2" x14ac:dyDescent="0.25">
      <c r="A3" s="117"/>
    </row>
    <row r="4" spans="1:2" x14ac:dyDescent="0.25">
      <c r="A4" s="25" t="s">
        <v>72</v>
      </c>
      <c r="B4" s="69" t="s">
        <v>67</v>
      </c>
    </row>
    <row r="5" spans="1:2" x14ac:dyDescent="0.25">
      <c r="A5" s="146" t="s">
        <v>91</v>
      </c>
      <c r="B5" s="147">
        <v>943720.93</v>
      </c>
    </row>
    <row r="6" spans="1:2" x14ac:dyDescent="0.25">
      <c r="A6" s="146" t="s">
        <v>92</v>
      </c>
      <c r="B6" s="147">
        <v>2416.86</v>
      </c>
    </row>
    <row r="7" spans="1:2" x14ac:dyDescent="0.25">
      <c r="A7" s="146"/>
      <c r="B7" s="147"/>
    </row>
    <row r="8" spans="1:2" x14ac:dyDescent="0.25">
      <c r="A8" s="51"/>
      <c r="B8" s="115"/>
    </row>
    <row r="9" spans="1:2" x14ac:dyDescent="0.25">
      <c r="A9" s="51"/>
      <c r="B9" s="115"/>
    </row>
    <row r="11" spans="1:2" x14ac:dyDescent="0.25">
      <c r="A11" s="51"/>
      <c r="B11" s="115"/>
    </row>
    <row r="12" spans="1:2" x14ac:dyDescent="0.25">
      <c r="A12" s="51"/>
      <c r="B12" s="115"/>
    </row>
    <row r="13" spans="1:2" x14ac:dyDescent="0.25">
      <c r="A13" s="51"/>
      <c r="B13" s="115"/>
    </row>
    <row r="14" spans="1:2" x14ac:dyDescent="0.25">
      <c r="A14" s="51"/>
      <c r="B14" s="115"/>
    </row>
    <row r="15" spans="1:2" x14ac:dyDescent="0.25">
      <c r="A15" s="51"/>
      <c r="B15" s="115"/>
    </row>
    <row r="16" spans="1:2" x14ac:dyDescent="0.25">
      <c r="A16" s="51"/>
      <c r="B16" s="115"/>
    </row>
    <row r="17" spans="1:2" x14ac:dyDescent="0.25">
      <c r="A17" s="51"/>
      <c r="B17" s="115"/>
    </row>
    <row r="18" spans="1:2" x14ac:dyDescent="0.25">
      <c r="A18" s="51"/>
      <c r="B18" s="115"/>
    </row>
    <row r="19" spans="1:2" x14ac:dyDescent="0.25">
      <c r="A19" s="51"/>
      <c r="B19" s="115"/>
    </row>
    <row r="20" spans="1:2" x14ac:dyDescent="0.25">
      <c r="A20" s="51"/>
      <c r="B20" s="115"/>
    </row>
    <row r="21" spans="1:2" x14ac:dyDescent="0.25">
      <c r="A21" s="51"/>
      <c r="B21" s="115"/>
    </row>
    <row r="22" spans="1:2" x14ac:dyDescent="0.25">
      <c r="A22" s="51"/>
      <c r="B22" s="115"/>
    </row>
    <row r="23" spans="1:2" x14ac:dyDescent="0.25">
      <c r="A23" s="51"/>
      <c r="B23" s="115"/>
    </row>
    <row r="24" spans="1:2" x14ac:dyDescent="0.25">
      <c r="A24" s="51"/>
      <c r="B24" s="115"/>
    </row>
    <row r="25" spans="1:2" x14ac:dyDescent="0.25">
      <c r="A25" s="51"/>
      <c r="B25" s="115"/>
    </row>
    <row r="26" spans="1:2" x14ac:dyDescent="0.25">
      <c r="A26" s="51"/>
      <c r="B26" s="115"/>
    </row>
    <row r="27" spans="1:2" x14ac:dyDescent="0.25">
      <c r="A27" s="51"/>
      <c r="B27" s="115"/>
    </row>
    <row r="28" spans="1:2" x14ac:dyDescent="0.25">
      <c r="A28" s="51"/>
      <c r="B28" s="115"/>
    </row>
    <row r="29" spans="1:2" x14ac:dyDescent="0.25">
      <c r="A29" s="51"/>
      <c r="B29" s="115"/>
    </row>
    <row r="36" spans="1:2" x14ac:dyDescent="0.25">
      <c r="A36" s="51"/>
      <c r="B36" s="115"/>
    </row>
    <row r="37" spans="1:2" x14ac:dyDescent="0.25">
      <c r="A37" s="51"/>
      <c r="B37" s="115"/>
    </row>
    <row r="38" spans="1:2" x14ac:dyDescent="0.25">
      <c r="A38" s="51"/>
      <c r="B38" s="115"/>
    </row>
    <row r="39" spans="1:2" x14ac:dyDescent="0.25">
      <c r="A39" s="51"/>
      <c r="B39" s="115"/>
    </row>
    <row r="40" spans="1:2" x14ac:dyDescent="0.25">
      <c r="A40" s="51"/>
      <c r="B40" s="115"/>
    </row>
    <row r="41" spans="1:2" x14ac:dyDescent="0.25">
      <c r="A41" s="51"/>
      <c r="B41" s="115"/>
    </row>
    <row r="42" spans="1:2" x14ac:dyDescent="0.25">
      <c r="A42" s="51"/>
      <c r="B42" s="115"/>
    </row>
    <row r="43" spans="1:2" x14ac:dyDescent="0.25">
      <c r="A43" s="51"/>
      <c r="B43" s="115"/>
    </row>
    <row r="44" spans="1:2" x14ac:dyDescent="0.25">
      <c r="A44" s="51"/>
      <c r="B44" s="115"/>
    </row>
    <row r="45" spans="1:2" x14ac:dyDescent="0.25">
      <c r="A45" s="51"/>
      <c r="B45" s="115"/>
    </row>
    <row r="46" spans="1:2" x14ac:dyDescent="0.25">
      <c r="A46" s="51"/>
      <c r="B46" s="115"/>
    </row>
    <row r="47" spans="1:2" x14ac:dyDescent="0.25">
      <c r="A47" s="51"/>
      <c r="B47" s="115"/>
    </row>
    <row r="48" spans="1:2" x14ac:dyDescent="0.25">
      <c r="A48" s="51"/>
      <c r="B48" s="115"/>
    </row>
    <row r="49" spans="2:2" x14ac:dyDescent="0.25">
      <c r="B49"/>
    </row>
    <row r="50" spans="2:2" x14ac:dyDescent="0.25">
      <c r="B50"/>
    </row>
    <row r="51" spans="2:2" x14ac:dyDescent="0.25">
      <c r="B5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zoomScaleNormal="100" workbookViewId="0">
      <pane xSplit="1" ySplit="10" topLeftCell="B11" activePane="bottomRight" state="frozen"/>
      <selection activeCell="G25" sqref="G25"/>
      <selection pane="topRight" activeCell="G25" sqref="G25"/>
      <selection pane="bottomLeft" activeCell="G25" sqref="G25"/>
      <selection pane="bottomRight" activeCell="B11" sqref="B11:T29"/>
    </sheetView>
  </sheetViews>
  <sheetFormatPr defaultColWidth="9.140625" defaultRowHeight="12.75" x14ac:dyDescent="0.2"/>
  <cols>
    <col min="1" max="1" width="41.85546875" style="152" customWidth="1"/>
    <col min="2" max="2" width="18.140625" style="152" bestFit="1" customWidth="1"/>
    <col min="3" max="3" width="0.7109375" style="152" customWidth="1"/>
    <col min="4" max="4" width="18.140625" style="152" bestFit="1" customWidth="1"/>
    <col min="5" max="5" width="0.7109375" style="152" customWidth="1"/>
    <col min="6" max="6" width="16.140625" style="152" customWidth="1"/>
    <col min="7" max="7" width="0.7109375" style="152" customWidth="1"/>
    <col min="8" max="8" width="7.7109375" style="152" customWidth="1"/>
    <col min="9" max="9" width="0.7109375" style="152" customWidth="1"/>
    <col min="10" max="10" width="18.140625" style="152" bestFit="1" customWidth="1"/>
    <col min="11" max="11" width="0.7109375" style="152" customWidth="1"/>
    <col min="12" max="12" width="16.28515625" style="152" bestFit="1" customWidth="1"/>
    <col min="13" max="13" width="0.7109375" style="152" customWidth="1"/>
    <col min="14" max="14" width="7.7109375" style="152" customWidth="1"/>
    <col min="15" max="15" width="0.7109375" style="152" customWidth="1"/>
    <col min="16" max="16" width="7.7109375" style="152" customWidth="1"/>
    <col min="17" max="17" width="9.28515625" style="152" customWidth="1"/>
    <col min="18" max="18" width="7.42578125" style="152" customWidth="1"/>
    <col min="19" max="16384" width="9.140625" style="152"/>
  </cols>
  <sheetData>
    <row r="1" spans="1:18" ht="15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18" ht="15" x14ac:dyDescent="0.25">
      <c r="A2" s="151" t="s">
        <v>41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18" ht="15" x14ac:dyDescent="0.25">
      <c r="A3" s="151" t="s">
        <v>191</v>
      </c>
      <c r="B3" s="151"/>
      <c r="C3" s="151"/>
      <c r="D3" s="151"/>
      <c r="E3" s="151"/>
      <c r="F3" s="151"/>
      <c r="G3" s="153"/>
      <c r="H3" s="151"/>
      <c r="I3" s="151"/>
      <c r="J3" s="151"/>
      <c r="K3" s="151"/>
      <c r="L3" s="151"/>
      <c r="M3" s="151"/>
      <c r="N3" s="151"/>
      <c r="O3" s="151"/>
      <c r="P3" s="154"/>
      <c r="Q3" s="151"/>
      <c r="R3" s="151"/>
    </row>
    <row r="4" spans="1:18" x14ac:dyDescent="0.2">
      <c r="A4" s="155" t="s">
        <v>42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</row>
    <row r="5" spans="1:18" x14ac:dyDescent="0.2">
      <c r="A5" s="157" t="s">
        <v>34</v>
      </c>
      <c r="B5" s="158"/>
      <c r="C5" s="158"/>
      <c r="D5" s="158"/>
      <c r="E5" s="158"/>
      <c r="F5" s="159"/>
      <c r="G5" s="159"/>
      <c r="H5" s="159"/>
      <c r="I5" s="159"/>
      <c r="J5" s="159"/>
      <c r="K5" s="158"/>
      <c r="L5" s="158"/>
      <c r="M5" s="158"/>
      <c r="N5" s="158"/>
      <c r="O5" s="158"/>
      <c r="P5" s="158"/>
      <c r="Q5" s="158"/>
      <c r="R5" s="158"/>
    </row>
    <row r="6" spans="1:18" x14ac:dyDescent="0.2">
      <c r="A6" s="160" t="s">
        <v>34</v>
      </c>
      <c r="B6" s="159"/>
      <c r="C6" s="159"/>
      <c r="D6" s="159"/>
      <c r="E6" s="159"/>
      <c r="F6" s="161" t="s">
        <v>85</v>
      </c>
      <c r="G6" s="161"/>
      <c r="H6" s="161"/>
      <c r="I6" s="159"/>
      <c r="J6" s="159"/>
      <c r="K6" s="159"/>
      <c r="L6" s="161" t="s">
        <v>192</v>
      </c>
      <c r="M6" s="161"/>
      <c r="N6" s="161"/>
      <c r="O6" s="162"/>
      <c r="P6" s="163" t="s">
        <v>86</v>
      </c>
      <c r="Q6" s="163"/>
      <c r="R6" s="163"/>
    </row>
    <row r="7" spans="1:18" x14ac:dyDescent="0.2">
      <c r="A7" s="164"/>
      <c r="B7" s="165" t="s">
        <v>58</v>
      </c>
      <c r="C7" s="159"/>
      <c r="D7" s="166"/>
      <c r="E7" s="164"/>
      <c r="F7" s="159"/>
      <c r="G7" s="159"/>
      <c r="H7" s="159"/>
      <c r="I7" s="159"/>
      <c r="J7" s="165" t="s">
        <v>58</v>
      </c>
      <c r="K7" s="159"/>
      <c r="L7" s="159"/>
      <c r="M7" s="159"/>
      <c r="N7" s="159"/>
      <c r="O7" s="159"/>
      <c r="P7" s="159"/>
      <c r="Q7" s="165"/>
      <c r="R7" s="159"/>
    </row>
    <row r="8" spans="1:18" ht="13.15" hidden="1" customHeight="1" x14ac:dyDescent="0.2">
      <c r="A8" s="164"/>
      <c r="B8" s="164"/>
      <c r="C8" s="159"/>
      <c r="D8" s="164"/>
      <c r="E8" s="164"/>
      <c r="F8" s="167"/>
      <c r="G8" s="168"/>
      <c r="H8" s="159"/>
      <c r="I8" s="159"/>
      <c r="J8" s="164"/>
      <c r="K8" s="162"/>
      <c r="L8" s="168"/>
      <c r="M8" s="162"/>
      <c r="N8" s="162"/>
      <c r="O8" s="162"/>
      <c r="P8" s="168"/>
      <c r="Q8" s="167"/>
      <c r="R8" s="162"/>
    </row>
    <row r="9" spans="1:18" ht="12.75" customHeight="1" x14ac:dyDescent="0.2">
      <c r="A9" s="169" t="s">
        <v>59</v>
      </c>
      <c r="B9" s="170">
        <v>2023</v>
      </c>
      <c r="C9" s="159"/>
      <c r="D9" s="163" t="s">
        <v>136</v>
      </c>
      <c r="E9" s="159"/>
      <c r="F9" s="163" t="s">
        <v>88</v>
      </c>
      <c r="G9" s="159"/>
      <c r="H9" s="163" t="s">
        <v>89</v>
      </c>
      <c r="I9" s="159"/>
      <c r="J9" s="170">
        <v>2022</v>
      </c>
      <c r="K9" s="159"/>
      <c r="L9" s="163" t="s">
        <v>88</v>
      </c>
      <c r="M9" s="159"/>
      <c r="N9" s="163" t="s">
        <v>89</v>
      </c>
      <c r="O9" s="167"/>
      <c r="P9" s="170">
        <v>2023</v>
      </c>
      <c r="Q9" s="163" t="s">
        <v>87</v>
      </c>
      <c r="R9" s="170">
        <v>2022</v>
      </c>
    </row>
    <row r="10" spans="1:18" ht="6.6" customHeight="1" x14ac:dyDescent="0.2">
      <c r="A10" s="171"/>
      <c r="B10" s="172"/>
      <c r="C10" s="171"/>
      <c r="D10" s="172"/>
      <c r="E10" s="171"/>
      <c r="F10" s="172"/>
      <c r="G10" s="171"/>
      <c r="H10" s="172"/>
      <c r="I10" s="171"/>
      <c r="J10" s="172"/>
      <c r="K10" s="171"/>
      <c r="L10" s="172"/>
      <c r="M10" s="171"/>
      <c r="N10" s="172"/>
      <c r="O10" s="172"/>
      <c r="P10" s="172"/>
      <c r="Q10" s="172"/>
      <c r="R10" s="172"/>
    </row>
    <row r="11" spans="1:18" x14ac:dyDescent="0.2">
      <c r="A11" s="173" t="s">
        <v>43</v>
      </c>
      <c r="B11" s="174">
        <v>1514148994.6500001</v>
      </c>
      <c r="C11" s="174"/>
      <c r="D11" s="174">
        <v>1545998586</v>
      </c>
      <c r="E11" s="174"/>
      <c r="F11" s="174">
        <f>B11-D11</f>
        <v>-31849591.349999905</v>
      </c>
      <c r="G11" s="175"/>
      <c r="H11" s="176">
        <f>IF(D11=0,"n/a",IF(AND(F11/D11&lt;1,F11/D11&gt;-1),F11/D11,"n/a"))</f>
        <v>-2.0601306908310395E-2</v>
      </c>
      <c r="I11" s="177"/>
      <c r="J11" s="174">
        <v>1381833367.55</v>
      </c>
      <c r="K11" s="174"/>
      <c r="L11" s="174">
        <f>B11-J11</f>
        <v>132315627.10000014</v>
      </c>
      <c r="M11" s="177"/>
      <c r="N11" s="176">
        <f>IF(J11=0,"n/a",IF(AND(L11/J11&lt;1,L11/J11&gt;-1),L11/J11,"n/a"))</f>
        <v>9.5753677836421525E-2</v>
      </c>
      <c r="O11" s="178"/>
      <c r="P11" s="179">
        <v>0.17530831409666828</v>
      </c>
      <c r="Q11" s="180">
        <v>0.18306712618816695</v>
      </c>
      <c r="R11" s="180">
        <v>0.15924917129222677</v>
      </c>
    </row>
    <row r="12" spans="1:18" x14ac:dyDescent="0.2">
      <c r="A12" s="173" t="s">
        <v>44</v>
      </c>
      <c r="B12" s="181">
        <v>1071384693.61</v>
      </c>
      <c r="C12" s="181"/>
      <c r="D12" s="181">
        <v>1108967436</v>
      </c>
      <c r="E12" s="181"/>
      <c r="F12" s="181">
        <f>B12-D12</f>
        <v>-37582742.389999986</v>
      </c>
      <c r="G12" s="181"/>
      <c r="H12" s="176">
        <f>IF(D12=0,"n/a",IF(AND(F12/D12&lt;1,F12/D12&gt;-1),F12/D12,"n/a"))</f>
        <v>-3.3889852100219817E-2</v>
      </c>
      <c r="I12" s="181"/>
      <c r="J12" s="181">
        <v>981170440.22000003</v>
      </c>
      <c r="K12" s="181"/>
      <c r="L12" s="181">
        <f>B12-J12</f>
        <v>90214253.389999986</v>
      </c>
      <c r="M12" s="181"/>
      <c r="N12" s="176">
        <f>IF(J12=0,"n/a",IF(AND(L12/J12&lt;1,L12/J12&gt;-1),L12/J12,"n/a"))</f>
        <v>9.1945547574559999E-2</v>
      </c>
      <c r="O12" s="178"/>
      <c r="P12" s="182">
        <v>1.0004221482336513</v>
      </c>
      <c r="Q12" s="183">
        <v>1.0854475057288107</v>
      </c>
      <c r="R12" s="183">
        <v>0.8808350924865147</v>
      </c>
    </row>
    <row r="13" spans="1:18" x14ac:dyDescent="0.2">
      <c r="A13" s="173" t="s">
        <v>45</v>
      </c>
      <c r="B13" s="181">
        <v>123547974.70999999</v>
      </c>
      <c r="C13" s="181"/>
      <c r="D13" s="181">
        <v>126523901</v>
      </c>
      <c r="E13" s="181"/>
      <c r="F13" s="181">
        <f>B13-D13</f>
        <v>-2975926.2900000066</v>
      </c>
      <c r="G13" s="181"/>
      <c r="H13" s="176">
        <f>IF(D13=0,"n/a",IF(AND(F13/D13&lt;1,F13/D13&gt;-1),F13/D13,"n/a"))</f>
        <v>-2.352066500067846E-2</v>
      </c>
      <c r="I13" s="181"/>
      <c r="J13" s="181">
        <v>116711892.81</v>
      </c>
      <c r="K13" s="181"/>
      <c r="L13" s="181">
        <f>B13-J13</f>
        <v>6836081.8999999911</v>
      </c>
      <c r="M13" s="181"/>
      <c r="N13" s="176">
        <f>IF(J13=0,"n/a",IF(AND(L13/J13&lt;1,L13/J13&gt;-1),L13/J13,"n/a"))</f>
        <v>5.8572282013528175E-2</v>
      </c>
      <c r="O13" s="178"/>
      <c r="P13" s="182">
        <v>1.7701359074264686</v>
      </c>
      <c r="Q13" s="183">
        <v>1.9407147561528439</v>
      </c>
      <c r="R13" s="183">
        <v>1.6848674852765049</v>
      </c>
    </row>
    <row r="14" spans="1:18" x14ac:dyDescent="0.2">
      <c r="A14" s="173" t="s">
        <v>46</v>
      </c>
      <c r="B14" s="181">
        <v>20865110.77</v>
      </c>
      <c r="C14" s="181"/>
      <c r="D14" s="181">
        <v>21275659</v>
      </c>
      <c r="E14" s="181"/>
      <c r="F14" s="181">
        <f>B14-D14</f>
        <v>-410548.23000000045</v>
      </c>
      <c r="G14" s="181"/>
      <c r="H14" s="176">
        <f>IF(D14=0,"n/a",IF(AND(F14/D14&lt;1,F14/D14&gt;-1),F14/D14,"n/a"))</f>
        <v>-1.9296616382129476E-2</v>
      </c>
      <c r="I14" s="181"/>
      <c r="J14" s="181">
        <v>18414823.609999999</v>
      </c>
      <c r="K14" s="181"/>
      <c r="L14" s="181">
        <f>B14-J14</f>
        <v>2450287.16</v>
      </c>
      <c r="M14" s="181"/>
      <c r="N14" s="176">
        <f>IF(J14=0,"n/a",IF(AND(L14/J14&lt;1,L14/J14&gt;-1),L14/J14,"n/a"))</f>
        <v>0.13306058270736812</v>
      </c>
      <c r="O14" s="178"/>
      <c r="P14" s="182">
        <v>3.1144745454816847</v>
      </c>
      <c r="Q14" s="183">
        <v>3.0010313918613423</v>
      </c>
      <c r="R14" s="183">
        <v>2.5805092417167872</v>
      </c>
    </row>
    <row r="15" spans="1:18" x14ac:dyDescent="0.2">
      <c r="A15" s="173" t="s">
        <v>47</v>
      </c>
      <c r="B15" s="181">
        <v>324999.76</v>
      </c>
      <c r="C15" s="184"/>
      <c r="D15" s="181">
        <v>333817</v>
      </c>
      <c r="E15" s="184"/>
      <c r="F15" s="181">
        <f>B15-D15</f>
        <v>-8817.2399999999907</v>
      </c>
      <c r="G15" s="184"/>
      <c r="H15" s="176">
        <f>IF(D15=0,"n/a",IF(AND(F15/D15&lt;1,F15/D15&gt;-1),F15/D15,"n/a"))</f>
        <v>-2.641339416506646E-2</v>
      </c>
      <c r="I15" s="184"/>
      <c r="J15" s="181">
        <v>343676.59</v>
      </c>
      <c r="K15" s="181"/>
      <c r="L15" s="181">
        <f>B15-J15</f>
        <v>-18676.830000000016</v>
      </c>
      <c r="M15" s="184"/>
      <c r="N15" s="176">
        <f>IF(J15=0,"n/a",IF(AND(L15/J15&lt;1,L15/J15&gt;-1),L15/J15,"n/a"))</f>
        <v>-5.4344201913781837E-2</v>
      </c>
      <c r="O15" s="185"/>
      <c r="P15" s="182">
        <v>1.5350117037280827E-5</v>
      </c>
      <c r="Q15" s="183">
        <v>1.642237171676561E-5</v>
      </c>
      <c r="R15" s="183">
        <v>1.5895829186154959E-5</v>
      </c>
    </row>
    <row r="16" spans="1:18" ht="8.4499999999999993" customHeight="1" x14ac:dyDescent="0.2">
      <c r="A16" s="171"/>
      <c r="B16" s="186"/>
      <c r="C16" s="181"/>
      <c r="D16" s="186"/>
      <c r="E16" s="181"/>
      <c r="F16" s="186"/>
      <c r="G16" s="181"/>
      <c r="H16" s="187" t="s">
        <v>34</v>
      </c>
      <c r="I16" s="181"/>
      <c r="J16" s="186"/>
      <c r="K16" s="181"/>
      <c r="L16" s="186"/>
      <c r="M16" s="181"/>
      <c r="N16" s="187" t="s">
        <v>34</v>
      </c>
      <c r="O16" s="178"/>
      <c r="P16" s="188"/>
      <c r="Q16" s="188" t="s">
        <v>90</v>
      </c>
      <c r="R16" s="188" t="s">
        <v>90</v>
      </c>
    </row>
    <row r="17" spans="1:18" x14ac:dyDescent="0.2">
      <c r="A17" s="189" t="s">
        <v>60</v>
      </c>
      <c r="B17" s="190">
        <f>SUM(B11:B16)</f>
        <v>2730271773.5000005</v>
      </c>
      <c r="C17" s="181"/>
      <c r="D17" s="190">
        <f>SUM(D11:D16)</f>
        <v>2803099399</v>
      </c>
      <c r="E17" s="181"/>
      <c r="F17" s="190">
        <f>SUM(F11:F16)</f>
        <v>-72827625.499999896</v>
      </c>
      <c r="G17" s="191"/>
      <c r="H17" s="192">
        <f>IF(D17=0,"n/a",IF(AND(F17/D17&lt;1,F17/D17&gt;-1),F17/D17,"n/a"))</f>
        <v>-2.5981107029590531E-2</v>
      </c>
      <c r="I17" s="191"/>
      <c r="J17" s="190">
        <f>SUM(J11:J16)</f>
        <v>2498474200.7800002</v>
      </c>
      <c r="K17" s="181"/>
      <c r="L17" s="190">
        <f>SUM(L11:L16)</f>
        <v>231797572.72000009</v>
      </c>
      <c r="M17" s="191"/>
      <c r="N17" s="192">
        <f>IF(J17=0,"n/a",IF(AND(L17/J17&lt;1,L17/J17&gt;-1),L17/J17,"n/a"))</f>
        <v>9.2775651894918529E-2</v>
      </c>
      <c r="O17" s="178"/>
      <c r="P17" s="193">
        <f>IF(B67=0,"n/a",B17/B67)</f>
        <v>0.12895391450999624</v>
      </c>
      <c r="Q17" s="193">
        <f>IF(D67=0,"n/a",D17/D67)</f>
        <v>0.13790052720328888</v>
      </c>
      <c r="R17" s="193">
        <f>IF(J67=0,"n/a",J17/J67)</f>
        <v>0.11556015241426223</v>
      </c>
    </row>
    <row r="18" spans="1:18" x14ac:dyDescent="0.2">
      <c r="A18" s="173" t="s">
        <v>61</v>
      </c>
      <c r="B18" s="181">
        <v>23572559.449999999</v>
      </c>
      <c r="C18" s="181"/>
      <c r="D18" s="181">
        <v>12079614</v>
      </c>
      <c r="E18" s="181"/>
      <c r="F18" s="181">
        <f>B18-D18</f>
        <v>11492945.449999999</v>
      </c>
      <c r="G18" s="181"/>
      <c r="H18" s="176">
        <f>IF(D18=0,"n/a",IF(AND(F18/D18&lt;1,F18/D18&gt;-1),F18/D18,"n/a"))</f>
        <v>0.95143317079502698</v>
      </c>
      <c r="I18" s="181"/>
      <c r="J18" s="181">
        <v>22353048.170000002</v>
      </c>
      <c r="K18" s="181"/>
      <c r="L18" s="181">
        <f>B18-J18</f>
        <v>1219511.2799999975</v>
      </c>
      <c r="M18" s="181"/>
      <c r="N18" s="176">
        <f>IF(J18=0,"n/a",IF(AND(L18/J18&lt;1,L18/J18&gt;-1),L18/J18,"n/a"))</f>
        <v>5.4556822439845228E-2</v>
      </c>
      <c r="O18" s="185"/>
      <c r="P18" s="183">
        <f>IF(B68=0,"n/a",B18/B68)</f>
        <v>1.0382217730681561E-2</v>
      </c>
      <c r="Q18" s="183">
        <f>IF(D68=0,"n/a",D18/D68)</f>
        <v>5.3877342296744799E-3</v>
      </c>
      <c r="R18" s="183">
        <f>IF(J68=0,"n/a",J18/J68)</f>
        <v>9.7157120314335741E-3</v>
      </c>
    </row>
    <row r="19" spans="1:18" ht="12.75" customHeight="1" x14ac:dyDescent="0.2">
      <c r="A19" s="173" t="s">
        <v>48</v>
      </c>
      <c r="B19" s="181">
        <v>502390834.41000003</v>
      </c>
      <c r="C19" s="184"/>
      <c r="D19" s="181">
        <v>23649940</v>
      </c>
      <c r="E19" s="184"/>
      <c r="F19" s="181">
        <f>B19-D19</f>
        <v>478740894.41000003</v>
      </c>
      <c r="G19" s="184"/>
      <c r="H19" s="176" t="str">
        <f>IF(D19=0,"n/a",IF(AND(F19/D19&lt;1,F19/D19&gt;-1),F19/D19,"n/a"))</f>
        <v>n/a</v>
      </c>
      <c r="I19" s="184"/>
      <c r="J19" s="181">
        <v>329588903.31</v>
      </c>
      <c r="K19" s="181"/>
      <c r="L19" s="181">
        <f>B19-J19</f>
        <v>172801931.10000002</v>
      </c>
      <c r="M19" s="184"/>
      <c r="N19" s="176">
        <f>IF(J19=0,"n/a",IF(AND(L19/J19&lt;1,L19/J19&gt;-1),L19/J19,"n/a"))</f>
        <v>0.52429535510626235</v>
      </c>
      <c r="O19" s="178"/>
      <c r="P19" s="193">
        <f>IF(B69=0,"n/a",B19/B69)</f>
        <v>6.858953444944127E-2</v>
      </c>
      <c r="Q19" s="193" t="str">
        <f>IF(D69=0,"n/a",D19/D69)</f>
        <v>n/a</v>
      </c>
      <c r="R19" s="193">
        <f>IF(J69=0,"n/a",J19/J69)</f>
        <v>9.1449878215987004E-2</v>
      </c>
    </row>
    <row r="20" spans="1:18" ht="6" customHeight="1" x14ac:dyDescent="0.2">
      <c r="A20" s="171"/>
      <c r="B20" s="194"/>
      <c r="C20" s="195"/>
      <c r="D20" s="194"/>
      <c r="E20" s="195"/>
      <c r="F20" s="194"/>
      <c r="G20" s="195"/>
      <c r="H20" s="194" t="s">
        <v>34</v>
      </c>
      <c r="I20" s="195"/>
      <c r="J20" s="194"/>
      <c r="K20" s="195"/>
      <c r="L20" s="194"/>
      <c r="M20" s="195"/>
      <c r="N20" s="194" t="s">
        <v>34</v>
      </c>
      <c r="O20" s="196"/>
      <c r="P20" s="196"/>
      <c r="Q20" s="196"/>
      <c r="R20" s="196"/>
    </row>
    <row r="21" spans="1:18" x14ac:dyDescent="0.2">
      <c r="A21" s="197" t="s">
        <v>62</v>
      </c>
      <c r="B21" s="181">
        <f>SUM(B17:B19)</f>
        <v>3256235167.3600001</v>
      </c>
      <c r="C21" s="181"/>
      <c r="D21" s="181">
        <f>SUM(D17:D19)</f>
        <v>2838828953</v>
      </c>
      <c r="E21" s="181"/>
      <c r="F21" s="181">
        <f>SUM(F17:F19)</f>
        <v>417406214.36000013</v>
      </c>
      <c r="G21" s="181"/>
      <c r="H21" s="198">
        <f>IF(D21=0,"n/a",IF(AND(F21/D21&lt;1,F21/D21&gt;-1),F21/D21,"n/a"))</f>
        <v>0.14703464747986883</v>
      </c>
      <c r="I21" s="181"/>
      <c r="J21" s="181">
        <f>SUM(J17:J19)</f>
        <v>2850416152.2600002</v>
      </c>
      <c r="K21" s="181"/>
      <c r="L21" s="181">
        <f>SUM(L17:L19)</f>
        <v>405819015.10000014</v>
      </c>
      <c r="M21" s="181"/>
      <c r="N21" s="198">
        <f>IF(J21=0,"n/a",IF(AND(L21/J21&lt;1,L21/J21&gt;-1),L21/J21,"n/a"))</f>
        <v>0.14237184797673832</v>
      </c>
      <c r="O21" s="178"/>
      <c r="P21" s="177"/>
      <c r="Q21" s="177"/>
      <c r="R21" s="177"/>
    </row>
    <row r="22" spans="1:18" ht="6.6" customHeight="1" x14ac:dyDescent="0.2">
      <c r="A22" s="199"/>
      <c r="B22" s="184"/>
      <c r="C22" s="184"/>
      <c r="D22" s="184"/>
      <c r="E22" s="184"/>
      <c r="F22" s="184"/>
      <c r="G22" s="184"/>
      <c r="H22" s="200" t="s">
        <v>34</v>
      </c>
      <c r="I22" s="184"/>
      <c r="J22" s="184"/>
      <c r="K22" s="184"/>
      <c r="L22" s="184"/>
      <c r="M22" s="184"/>
      <c r="N22" s="200" t="s">
        <v>34</v>
      </c>
      <c r="O22" s="185"/>
      <c r="P22" s="200"/>
      <c r="Q22" s="200"/>
      <c r="R22" s="200"/>
    </row>
    <row r="23" spans="1:18" x14ac:dyDescent="0.2">
      <c r="A23" s="173" t="s">
        <v>49</v>
      </c>
      <c r="B23" s="181">
        <v>47546521.189999998</v>
      </c>
      <c r="C23" s="181"/>
      <c r="D23" s="181">
        <v>71587821</v>
      </c>
      <c r="E23" s="181"/>
      <c r="F23" s="181">
        <f>B23-D23</f>
        <v>-24041299.810000002</v>
      </c>
      <c r="G23" s="181"/>
      <c r="H23" s="176">
        <f>IF(D23=0,"n/a",IF(AND(F23/D23&lt;1,F23/D23&gt;-1),F23/D23,"n/a"))</f>
        <v>-0.33582946755705839</v>
      </c>
      <c r="I23" s="181"/>
      <c r="J23" s="181">
        <v>111024352.11</v>
      </c>
      <c r="K23" s="181"/>
      <c r="L23" s="181">
        <f>B23-J23</f>
        <v>-63477830.920000002</v>
      </c>
      <c r="M23" s="181"/>
      <c r="N23" s="176">
        <f>IF(J23=0,"n/a",IF(AND(L23/J23&lt;1,L23/J23&gt;-1),L23/J23,"n/a"))</f>
        <v>-0.57174691600188621</v>
      </c>
      <c r="O23" s="185"/>
      <c r="P23" s="200"/>
      <c r="Q23" s="200"/>
      <c r="R23" s="200"/>
    </row>
    <row r="24" spans="1:18" x14ac:dyDescent="0.2">
      <c r="A24" s="173" t="s">
        <v>50</v>
      </c>
      <c r="B24" s="181">
        <v>22577993.66</v>
      </c>
      <c r="C24" s="181"/>
      <c r="D24" s="181">
        <v>0</v>
      </c>
      <c r="E24" s="181"/>
      <c r="F24" s="181">
        <f>B24-D24</f>
        <v>22577993.66</v>
      </c>
      <c r="G24" s="181"/>
      <c r="H24" s="176" t="str">
        <f>IF(D24=0,"n/a",IF(AND(F24/D24&lt;1,F24/D24&gt;-1),F24/D24,"n/a"))</f>
        <v>n/a</v>
      </c>
      <c r="I24" s="181"/>
      <c r="J24" s="181">
        <v>24673703.890000001</v>
      </c>
      <c r="K24" s="181"/>
      <c r="L24" s="181">
        <f>B24-J24</f>
        <v>-2095710.2300000004</v>
      </c>
      <c r="M24" s="181"/>
      <c r="N24" s="176">
        <f>IF(J24=0,"n/a",IF(AND(L24/J24&lt;1,L24/J24&gt;-1),L24/J24,"n/a"))</f>
        <v>-8.4936993624591978E-2</v>
      </c>
      <c r="O24" s="185"/>
      <c r="P24" s="200"/>
      <c r="Q24" s="200"/>
      <c r="R24" s="200"/>
    </row>
    <row r="25" spans="1:18" x14ac:dyDescent="0.2">
      <c r="A25" s="173" t="s">
        <v>51</v>
      </c>
      <c r="B25" s="181">
        <v>-18986194.039999999</v>
      </c>
      <c r="C25" s="181"/>
      <c r="D25" s="181">
        <v>637385</v>
      </c>
      <c r="E25" s="181"/>
      <c r="F25" s="181">
        <f>B25-D25</f>
        <v>-19623579.039999999</v>
      </c>
      <c r="G25" s="181"/>
      <c r="H25" s="176" t="str">
        <f>IF(D25=0,"n/a",IF(AND(F25/D25&lt;1,F25/D25&gt;-1),F25/D25,"n/a"))</f>
        <v>n/a</v>
      </c>
      <c r="I25" s="181"/>
      <c r="J25" s="181">
        <v>-49490067.270000003</v>
      </c>
      <c r="K25" s="181"/>
      <c r="L25" s="181">
        <f>B25-J25</f>
        <v>30503873.230000004</v>
      </c>
      <c r="M25" s="181"/>
      <c r="N25" s="176">
        <f>IF(J25=0,"n/a",IF(AND(L25/J25&lt;1,L25/J25&gt;-1),L25/J25,"n/a"))</f>
        <v>-0.61636354348806688</v>
      </c>
      <c r="O25" s="185"/>
      <c r="P25" s="200"/>
      <c r="Q25" s="200"/>
      <c r="R25" s="200"/>
    </row>
    <row r="26" spans="1:18" x14ac:dyDescent="0.2">
      <c r="A26" s="173" t="s">
        <v>52</v>
      </c>
      <c r="B26" s="190">
        <v>38493631.270000003</v>
      </c>
      <c r="C26" s="184"/>
      <c r="D26" s="190">
        <v>99648986</v>
      </c>
      <c r="E26" s="184"/>
      <c r="F26" s="190">
        <f>B26-D26</f>
        <v>-61155354.729999997</v>
      </c>
      <c r="G26" s="184"/>
      <c r="H26" s="192">
        <f>IF(D26=0,"n/a",IF(AND(F26/D26&lt;1,F26/D26&gt;-1),F26/D26,"n/a"))</f>
        <v>-0.61370774741250245</v>
      </c>
      <c r="I26" s="184"/>
      <c r="J26" s="190">
        <v>24833246.289999999</v>
      </c>
      <c r="K26" s="181"/>
      <c r="L26" s="190">
        <f>B26-J26</f>
        <v>13660384.980000004</v>
      </c>
      <c r="M26" s="184"/>
      <c r="N26" s="192">
        <f>IF(J26=0,"n/a",IF(AND(L26/J26&lt;1,L26/J26&gt;-1),L26/J26,"n/a"))</f>
        <v>0.55008454474600244</v>
      </c>
      <c r="O26" s="185"/>
      <c r="P26" s="200"/>
      <c r="Q26" s="200"/>
      <c r="R26" s="200"/>
    </row>
    <row r="27" spans="1:18" ht="12.75" customHeight="1" x14ac:dyDescent="0.2">
      <c r="A27" s="173" t="s">
        <v>63</v>
      </c>
      <c r="B27" s="190">
        <f>SUM(B23:B26)</f>
        <v>89631952.079999998</v>
      </c>
      <c r="C27" s="181"/>
      <c r="D27" s="190">
        <f>SUM(D23:D26)</f>
        <v>171874192</v>
      </c>
      <c r="E27" s="181"/>
      <c r="F27" s="190">
        <f>SUM(F23:F26)</f>
        <v>-82242239.920000002</v>
      </c>
      <c r="G27" s="181"/>
      <c r="H27" s="192">
        <f>IF(D27=0,"n/a",IF(AND(F27/D27&lt;1,F27/D27&gt;-1),F27/D27,"n/a"))</f>
        <v>-0.47850255447309975</v>
      </c>
      <c r="I27" s="181"/>
      <c r="J27" s="190">
        <f>SUM(J23:J26)</f>
        <v>111041235.01999998</v>
      </c>
      <c r="K27" s="181"/>
      <c r="L27" s="190">
        <f>SUM(L23:L26)</f>
        <v>-21409282.939999998</v>
      </c>
      <c r="M27" s="181"/>
      <c r="N27" s="192">
        <f>IF(J27=0,"n/a",IF(AND(L27/J27&lt;1,L27/J27&gt;-1),L27/J27,"n/a"))</f>
        <v>-0.19280479847098156</v>
      </c>
      <c r="O27" s="178"/>
      <c r="P27" s="177"/>
      <c r="Q27" s="177"/>
      <c r="R27" s="177"/>
    </row>
    <row r="28" spans="1:18" ht="6.6" customHeight="1" x14ac:dyDescent="0.2">
      <c r="A28" s="199"/>
      <c r="B28" s="201"/>
      <c r="C28" s="201"/>
      <c r="D28" s="201"/>
      <c r="E28" s="201"/>
      <c r="F28" s="201"/>
      <c r="G28" s="184"/>
      <c r="H28" s="200" t="s">
        <v>34</v>
      </c>
      <c r="I28" s="184"/>
      <c r="J28" s="184"/>
      <c r="K28" s="184"/>
      <c r="L28" s="184"/>
      <c r="M28" s="184"/>
      <c r="N28" s="200" t="s">
        <v>34</v>
      </c>
      <c r="O28" s="185"/>
      <c r="P28" s="200"/>
      <c r="Q28" s="200"/>
      <c r="R28" s="200"/>
    </row>
    <row r="29" spans="1:18" ht="13.5" thickBot="1" x14ac:dyDescent="0.25">
      <c r="A29" s="189" t="s">
        <v>64</v>
      </c>
      <c r="B29" s="202">
        <f>+B27+B21</f>
        <v>3345867119.4400001</v>
      </c>
      <c r="C29" s="174"/>
      <c r="D29" s="202">
        <f>+D27+D21</f>
        <v>3010703145</v>
      </c>
      <c r="E29" s="174"/>
      <c r="F29" s="202">
        <f>+F27+F21</f>
        <v>335163974.44000012</v>
      </c>
      <c r="G29" s="181"/>
      <c r="H29" s="203">
        <f>IF(D29=0,"n/a",IF(AND(F29/D29&lt;1,F29/D29&gt;-1),F29/D29,"n/a"))</f>
        <v>0.11132415196650021</v>
      </c>
      <c r="I29" s="181"/>
      <c r="J29" s="202">
        <f>+J27+J21</f>
        <v>2961457387.2800002</v>
      </c>
      <c r="K29" s="174"/>
      <c r="L29" s="202">
        <f>+L27+L21</f>
        <v>384409732.16000015</v>
      </c>
      <c r="M29" s="181"/>
      <c r="N29" s="203">
        <f>IF(J29=0,"n/a",IF(AND(L29/J29&lt;1,L29/J29&gt;-1),L29/J29,"n/a"))</f>
        <v>0.12980424226636186</v>
      </c>
      <c r="O29" s="178"/>
      <c r="P29" s="177"/>
      <c r="Q29" s="177"/>
      <c r="R29" s="177"/>
    </row>
    <row r="30" spans="1:18" ht="4.1500000000000004" customHeight="1" thickTop="1" x14ac:dyDescent="0.2">
      <c r="A30" s="173"/>
      <c r="B30" s="201"/>
      <c r="C30" s="174"/>
      <c r="D30" s="201"/>
      <c r="E30" s="174"/>
      <c r="F30" s="201"/>
      <c r="G30" s="181"/>
      <c r="H30" s="184"/>
      <c r="I30" s="181"/>
      <c r="J30" s="201"/>
      <c r="K30" s="174"/>
      <c r="L30" s="201"/>
      <c r="M30" s="181"/>
      <c r="N30" s="204"/>
      <c r="O30" s="178"/>
      <c r="P30" s="177"/>
      <c r="Q30" s="177"/>
      <c r="R30" s="177"/>
    </row>
    <row r="31" spans="1:18" ht="12.75" customHeight="1" x14ac:dyDescent="0.2">
      <c r="A31" s="171"/>
      <c r="B31" s="205"/>
      <c r="C31" s="205"/>
      <c r="D31" s="205"/>
      <c r="E31" s="205"/>
      <c r="F31" s="205"/>
      <c r="G31" s="206"/>
      <c r="H31" s="206"/>
      <c r="I31" s="206"/>
      <c r="J31" s="205"/>
      <c r="K31" s="205"/>
      <c r="L31" s="205"/>
      <c r="M31" s="206"/>
      <c r="N31" s="181"/>
      <c r="O31" s="207"/>
      <c r="P31" s="196"/>
      <c r="Q31" s="196"/>
      <c r="R31" s="196"/>
    </row>
    <row r="32" spans="1:18" x14ac:dyDescent="0.2">
      <c r="A32" s="173" t="s">
        <v>190</v>
      </c>
      <c r="B32" s="174">
        <v>-899359.32</v>
      </c>
      <c r="C32" s="174"/>
      <c r="D32" s="174">
        <v>0</v>
      </c>
      <c r="E32" s="174"/>
      <c r="F32" s="174"/>
      <c r="G32" s="181"/>
      <c r="H32" s="181"/>
      <c r="I32" s="181"/>
      <c r="J32" s="174">
        <v>0</v>
      </c>
      <c r="K32" s="174"/>
      <c r="L32" s="174"/>
      <c r="M32" s="181"/>
      <c r="N32" s="181"/>
      <c r="O32" s="177"/>
      <c r="P32" s="177"/>
      <c r="Q32" s="177"/>
      <c r="R32" s="177"/>
    </row>
    <row r="33" spans="1:18" x14ac:dyDescent="0.2">
      <c r="A33" s="173" t="s">
        <v>193</v>
      </c>
      <c r="B33" s="174">
        <v>108439710.78</v>
      </c>
      <c r="C33" s="174"/>
      <c r="D33" s="174">
        <v>109511669</v>
      </c>
      <c r="E33" s="174"/>
      <c r="F33" s="174"/>
      <c r="G33" s="181"/>
      <c r="H33" s="181"/>
      <c r="I33" s="181"/>
      <c r="J33" s="174">
        <v>97868168.989999995</v>
      </c>
      <c r="K33" s="174"/>
      <c r="L33" s="174"/>
      <c r="M33" s="181"/>
      <c r="N33" s="181"/>
      <c r="O33" s="177"/>
      <c r="P33" s="177"/>
      <c r="Q33" s="177"/>
      <c r="R33" s="177"/>
    </row>
    <row r="34" spans="1:18" x14ac:dyDescent="0.2">
      <c r="A34" s="173" t="s">
        <v>194</v>
      </c>
      <c r="B34" s="174">
        <v>-81204605.430000007</v>
      </c>
      <c r="C34" s="174"/>
      <c r="D34" s="174">
        <v>71359403</v>
      </c>
      <c r="E34" s="174"/>
      <c r="F34" s="174"/>
      <c r="G34" s="181"/>
      <c r="H34" s="181"/>
      <c r="I34" s="181"/>
      <c r="J34" s="174">
        <v>-81709083.799999997</v>
      </c>
      <c r="K34" s="174"/>
      <c r="L34" s="174"/>
      <c r="M34" s="181"/>
      <c r="N34" s="181"/>
      <c r="O34" s="177"/>
      <c r="P34" s="177"/>
      <c r="Q34" s="177"/>
      <c r="R34" s="177"/>
    </row>
    <row r="35" spans="1:18" x14ac:dyDescent="0.2">
      <c r="A35" s="173" t="s">
        <v>195</v>
      </c>
      <c r="B35" s="174">
        <v>103031288.93000001</v>
      </c>
      <c r="C35" s="174"/>
      <c r="D35" s="174">
        <v>110484826</v>
      </c>
      <c r="E35" s="174"/>
      <c r="F35" s="174"/>
      <c r="G35" s="181"/>
      <c r="H35" s="181"/>
      <c r="I35" s="181"/>
      <c r="J35" s="174">
        <v>101006212.95999999</v>
      </c>
      <c r="K35" s="174"/>
      <c r="L35" s="174"/>
      <c r="M35" s="181"/>
      <c r="N35" s="181"/>
      <c r="O35" s="177"/>
      <c r="P35" s="177"/>
      <c r="Q35" s="177"/>
      <c r="R35" s="177"/>
    </row>
    <row r="36" spans="1:18" x14ac:dyDescent="0.2">
      <c r="A36" s="173" t="s">
        <v>196</v>
      </c>
      <c r="B36" s="174">
        <v>1236484.8999999999</v>
      </c>
      <c r="C36" s="174"/>
      <c r="D36" s="174">
        <v>1864541</v>
      </c>
      <c r="E36" s="174"/>
      <c r="F36" s="174"/>
      <c r="G36" s="181"/>
      <c r="H36" s="181"/>
      <c r="I36" s="181"/>
      <c r="J36" s="174">
        <v>-30080007.370000001</v>
      </c>
      <c r="K36" s="174"/>
      <c r="L36" s="174"/>
      <c r="M36" s="181"/>
      <c r="N36" s="181"/>
      <c r="O36" s="177"/>
      <c r="P36" s="177"/>
      <c r="Q36" s="177"/>
      <c r="R36" s="177"/>
    </row>
    <row r="37" spans="1:18" x14ac:dyDescent="0.2">
      <c r="A37" s="173" t="s">
        <v>197</v>
      </c>
      <c r="B37" s="174">
        <v>48157496.340000004</v>
      </c>
      <c r="C37" s="174"/>
      <c r="D37" s="174">
        <v>0</v>
      </c>
      <c r="E37" s="174"/>
      <c r="F37" s="174"/>
      <c r="G37" s="181"/>
      <c r="H37" s="181"/>
      <c r="I37" s="181"/>
      <c r="J37" s="174">
        <v>46623386.640000001</v>
      </c>
      <c r="K37" s="174"/>
      <c r="L37" s="174"/>
      <c r="M37" s="181"/>
      <c r="N37" s="181"/>
      <c r="O37" s="177"/>
      <c r="P37" s="177"/>
      <c r="Q37" s="177"/>
      <c r="R37" s="177"/>
    </row>
    <row r="38" spans="1:18" x14ac:dyDescent="0.2">
      <c r="A38" s="173" t="s">
        <v>198</v>
      </c>
      <c r="B38" s="174">
        <v>1895831.93</v>
      </c>
      <c r="C38" s="174"/>
      <c r="D38" s="174">
        <v>0</v>
      </c>
      <c r="E38" s="174"/>
      <c r="F38" s="174"/>
      <c r="G38" s="181"/>
      <c r="H38" s="181"/>
      <c r="I38" s="181"/>
      <c r="J38" s="174">
        <v>71468245.489999995</v>
      </c>
      <c r="K38" s="174"/>
      <c r="L38" s="174"/>
      <c r="M38" s="181"/>
      <c r="N38" s="181"/>
      <c r="O38" s="177"/>
      <c r="P38" s="177"/>
      <c r="Q38" s="177"/>
      <c r="R38" s="177"/>
    </row>
    <row r="39" spans="1:18" x14ac:dyDescent="0.2">
      <c r="A39" s="173" t="s">
        <v>199</v>
      </c>
      <c r="B39" s="174">
        <v>47021030.420000002</v>
      </c>
      <c r="C39" s="174"/>
      <c r="D39" s="174">
        <v>43848340</v>
      </c>
      <c r="E39" s="174"/>
      <c r="F39" s="174"/>
      <c r="G39" s="181"/>
      <c r="H39" s="181"/>
      <c r="I39" s="181"/>
      <c r="J39" s="174">
        <v>35506636.869999997</v>
      </c>
      <c r="K39" s="174"/>
      <c r="L39" s="174"/>
      <c r="M39" s="181"/>
      <c r="N39" s="181"/>
      <c r="O39" s="177"/>
      <c r="P39" s="177"/>
      <c r="Q39" s="177"/>
      <c r="R39" s="177"/>
    </row>
    <row r="40" spans="1:18" x14ac:dyDescent="0.2">
      <c r="A40" s="173" t="s">
        <v>200</v>
      </c>
      <c r="B40" s="174">
        <v>3203741.37</v>
      </c>
      <c r="C40" s="174"/>
      <c r="D40" s="174">
        <v>0</v>
      </c>
      <c r="E40" s="174"/>
      <c r="F40" s="174"/>
      <c r="G40" s="181"/>
      <c r="H40" s="181"/>
      <c r="I40" s="181"/>
      <c r="J40" s="174">
        <v>0</v>
      </c>
      <c r="K40" s="174"/>
      <c r="L40" s="174"/>
      <c r="M40" s="181"/>
      <c r="N40" s="181"/>
      <c r="O40" s="177"/>
      <c r="P40" s="177"/>
      <c r="Q40" s="177"/>
      <c r="R40" s="177"/>
    </row>
    <row r="41" spans="1:18" x14ac:dyDescent="0.2">
      <c r="A41" s="173" t="s">
        <v>201</v>
      </c>
      <c r="B41" s="174">
        <v>0</v>
      </c>
      <c r="C41" s="174"/>
      <c r="D41" s="174">
        <v>0</v>
      </c>
      <c r="E41" s="174"/>
      <c r="F41" s="174"/>
      <c r="G41" s="181"/>
      <c r="H41" s="181"/>
      <c r="I41" s="181"/>
      <c r="J41" s="174">
        <v>0</v>
      </c>
      <c r="K41" s="174"/>
      <c r="L41" s="174"/>
      <c r="M41" s="181"/>
      <c r="N41" s="181"/>
      <c r="O41" s="177"/>
      <c r="P41" s="177"/>
      <c r="Q41" s="177"/>
      <c r="R41" s="177"/>
    </row>
    <row r="42" spans="1:18" x14ac:dyDescent="0.2">
      <c r="A42" s="173" t="s">
        <v>202</v>
      </c>
      <c r="B42" s="174">
        <v>2685.08</v>
      </c>
      <c r="C42" s="174"/>
      <c r="D42" s="174">
        <v>-307889</v>
      </c>
      <c r="E42" s="174"/>
      <c r="F42" s="174"/>
      <c r="G42" s="181"/>
      <c r="H42" s="181"/>
      <c r="I42" s="181"/>
      <c r="J42" s="174">
        <v>-450680.44</v>
      </c>
      <c r="K42" s="174"/>
      <c r="L42" s="174"/>
      <c r="M42" s="181"/>
      <c r="N42" s="181"/>
      <c r="O42" s="177"/>
      <c r="P42" s="177"/>
      <c r="Q42" s="177"/>
      <c r="R42" s="177"/>
    </row>
    <row r="43" spans="1:18" x14ac:dyDescent="0.2">
      <c r="A43" s="173" t="s">
        <v>203</v>
      </c>
      <c r="B43" s="174">
        <v>-35465646.399999999</v>
      </c>
      <c r="C43" s="174"/>
      <c r="D43" s="174">
        <v>0</v>
      </c>
      <c r="E43" s="174"/>
      <c r="F43" s="174"/>
      <c r="G43" s="181"/>
      <c r="H43" s="181"/>
      <c r="I43" s="181"/>
      <c r="J43" s="174">
        <v>-28508035.280000001</v>
      </c>
      <c r="K43" s="174"/>
      <c r="L43" s="174"/>
      <c r="M43" s="181"/>
      <c r="N43" s="181"/>
      <c r="O43" s="177"/>
      <c r="P43" s="177"/>
      <c r="Q43" s="177"/>
      <c r="R43" s="177"/>
    </row>
    <row r="44" spans="1:18" ht="12.75" customHeight="1" x14ac:dyDescent="0.2">
      <c r="A44" s="173" t="s">
        <v>204</v>
      </c>
      <c r="B44" s="174">
        <v>33739508.754000001</v>
      </c>
      <c r="C44" s="174"/>
      <c r="D44" s="174">
        <v>0</v>
      </c>
      <c r="E44" s="174"/>
      <c r="F44" s="174"/>
      <c r="G44" s="181"/>
      <c r="H44" s="181"/>
      <c r="I44" s="181"/>
      <c r="J44" s="174">
        <v>32517564.27</v>
      </c>
      <c r="K44" s="174"/>
      <c r="L44" s="174"/>
      <c r="M44" s="181"/>
      <c r="N44" s="181"/>
      <c r="O44" s="177"/>
      <c r="P44" s="177"/>
      <c r="Q44" s="177"/>
      <c r="R44" s="177"/>
    </row>
    <row r="45" spans="1:18" ht="12.75" customHeight="1" x14ac:dyDescent="0.2">
      <c r="A45" s="173" t="s">
        <v>205</v>
      </c>
      <c r="B45" s="174">
        <v>-1418501.3829999999</v>
      </c>
      <c r="C45" s="174"/>
      <c r="D45" s="174">
        <v>0</v>
      </c>
      <c r="E45" s="174"/>
      <c r="F45" s="174"/>
      <c r="G45" s="181"/>
      <c r="H45" s="181"/>
      <c r="I45" s="181"/>
      <c r="J45" s="174">
        <v>-207000.18</v>
      </c>
      <c r="K45" s="174"/>
      <c r="L45" s="174"/>
      <c r="M45" s="181"/>
      <c r="N45" s="181"/>
      <c r="O45" s="177"/>
      <c r="P45" s="177"/>
      <c r="Q45" s="177"/>
      <c r="R45" s="177"/>
    </row>
    <row r="46" spans="1:18" ht="12.75" customHeight="1" x14ac:dyDescent="0.2">
      <c r="A46" s="173" t="s">
        <v>206</v>
      </c>
      <c r="B46" s="174">
        <v>49536671.710000001</v>
      </c>
      <c r="C46" s="174"/>
      <c r="D46" s="174">
        <v>50818130</v>
      </c>
      <c r="E46" s="174"/>
      <c r="F46" s="174"/>
      <c r="G46" s="181"/>
      <c r="H46" s="181"/>
      <c r="I46" s="181"/>
      <c r="J46" s="174">
        <v>56084345.590000004</v>
      </c>
      <c r="K46" s="174"/>
      <c r="L46" s="174"/>
      <c r="M46" s="181"/>
      <c r="N46" s="181"/>
      <c r="O46" s="177"/>
      <c r="P46" s="177"/>
      <c r="Q46" s="177"/>
      <c r="R46" s="177"/>
    </row>
    <row r="47" spans="1:18" ht="12.75" customHeight="1" x14ac:dyDescent="0.2">
      <c r="A47" s="173" t="s">
        <v>207</v>
      </c>
      <c r="B47" s="174">
        <v>35102690.109999999</v>
      </c>
      <c r="C47" s="174"/>
      <c r="D47" s="174">
        <v>0</v>
      </c>
      <c r="E47" s="174"/>
      <c r="F47" s="174"/>
      <c r="G47" s="181"/>
      <c r="H47" s="181"/>
      <c r="I47" s="181"/>
      <c r="J47" s="174">
        <v>0</v>
      </c>
      <c r="K47" s="174"/>
      <c r="L47" s="174"/>
      <c r="M47" s="181"/>
      <c r="N47" s="181"/>
      <c r="O47" s="177"/>
      <c r="P47" s="177"/>
      <c r="Q47" s="177"/>
      <c r="R47" s="177"/>
    </row>
    <row r="48" spans="1:18" ht="12.75" customHeight="1" x14ac:dyDescent="0.2">
      <c r="A48" s="173" t="s">
        <v>208</v>
      </c>
      <c r="B48" s="174">
        <v>7997053.0199999996</v>
      </c>
      <c r="C48" s="174"/>
      <c r="D48" s="174">
        <v>0</v>
      </c>
      <c r="E48" s="174"/>
      <c r="F48" s="174"/>
      <c r="G48" s="181"/>
      <c r="H48" s="181"/>
      <c r="I48" s="181"/>
      <c r="J48" s="174">
        <v>0</v>
      </c>
      <c r="K48" s="174"/>
      <c r="L48" s="174"/>
      <c r="M48" s="181"/>
      <c r="N48" s="181"/>
      <c r="O48" s="177"/>
      <c r="P48" s="177"/>
      <c r="Q48" s="177"/>
      <c r="R48" s="177"/>
    </row>
    <row r="49" spans="1:18" ht="12.75" customHeight="1" x14ac:dyDescent="0.2">
      <c r="A49" s="173" t="s">
        <v>209</v>
      </c>
      <c r="B49" s="174">
        <v>54167412.390000001</v>
      </c>
      <c r="C49" s="174"/>
      <c r="D49" s="174">
        <v>0</v>
      </c>
      <c r="E49" s="174"/>
      <c r="F49" s="174"/>
      <c r="G49" s="181"/>
      <c r="H49" s="181"/>
      <c r="I49" s="181"/>
      <c r="J49" s="174">
        <v>0</v>
      </c>
      <c r="K49" s="174"/>
      <c r="L49" s="174"/>
      <c r="M49" s="181"/>
      <c r="N49" s="181"/>
      <c r="O49" s="177"/>
      <c r="P49" s="177"/>
      <c r="Q49" s="177"/>
      <c r="R49" s="177"/>
    </row>
    <row r="50" spans="1:18" ht="12.75" customHeight="1" x14ac:dyDescent="0.2">
      <c r="A50" s="173" t="s">
        <v>210</v>
      </c>
      <c r="B50" s="174">
        <v>191219075.65000001</v>
      </c>
      <c r="C50" s="174"/>
      <c r="D50" s="174">
        <v>0</v>
      </c>
      <c r="E50" s="174"/>
      <c r="F50" s="174"/>
      <c r="G50" s="181"/>
      <c r="H50" s="181"/>
      <c r="I50" s="181"/>
      <c r="J50" s="174">
        <v>0</v>
      </c>
      <c r="K50" s="174"/>
      <c r="L50" s="174"/>
      <c r="M50" s="181"/>
      <c r="N50" s="181"/>
      <c r="O50" s="177"/>
      <c r="P50" s="177"/>
      <c r="Q50" s="177"/>
      <c r="R50" s="177"/>
    </row>
    <row r="51" spans="1:18" ht="12.75" customHeight="1" x14ac:dyDescent="0.2">
      <c r="A51" s="173" t="s">
        <v>211</v>
      </c>
      <c r="B51" s="174">
        <v>86370162.939999998</v>
      </c>
      <c r="C51" s="174"/>
      <c r="D51" s="174">
        <v>0</v>
      </c>
      <c r="E51" s="174"/>
      <c r="F51" s="174"/>
      <c r="G51" s="181"/>
      <c r="H51" s="181"/>
      <c r="I51" s="181"/>
      <c r="J51" s="174">
        <v>0</v>
      </c>
      <c r="K51" s="174"/>
      <c r="L51" s="174"/>
      <c r="M51" s="181"/>
      <c r="N51" s="181"/>
      <c r="O51" s="177"/>
      <c r="P51" s="177"/>
      <c r="Q51" s="177"/>
      <c r="R51" s="177"/>
    </row>
    <row r="52" spans="1:18" ht="12.75" customHeight="1" x14ac:dyDescent="0.2">
      <c r="A52" s="173" t="s">
        <v>212</v>
      </c>
      <c r="B52" s="174">
        <v>5031042.12</v>
      </c>
      <c r="C52" s="174"/>
      <c r="D52" s="174">
        <v>0</v>
      </c>
      <c r="E52" s="174"/>
      <c r="F52" s="174"/>
      <c r="G52" s="181"/>
      <c r="H52" s="181"/>
      <c r="I52" s="181"/>
      <c r="J52" s="174">
        <v>0</v>
      </c>
      <c r="K52" s="174"/>
      <c r="L52" s="174"/>
      <c r="M52" s="181"/>
      <c r="N52" s="181"/>
      <c r="O52" s="177"/>
      <c r="P52" s="177"/>
      <c r="Q52" s="177"/>
      <c r="R52" s="177"/>
    </row>
    <row r="53" spans="1:18" ht="12.75" customHeight="1" x14ac:dyDescent="0.2">
      <c r="A53" s="173" t="s">
        <v>213</v>
      </c>
      <c r="B53" s="174">
        <v>-101886.1</v>
      </c>
      <c r="C53" s="174"/>
      <c r="D53" s="174">
        <v>0</v>
      </c>
      <c r="E53" s="174"/>
      <c r="F53" s="174"/>
      <c r="G53" s="181"/>
      <c r="H53" s="181"/>
      <c r="I53" s="181"/>
      <c r="J53" s="174">
        <v>0</v>
      </c>
      <c r="K53" s="174"/>
      <c r="L53" s="174"/>
      <c r="M53" s="181"/>
      <c r="N53" s="181"/>
      <c r="O53" s="177"/>
      <c r="P53" s="177"/>
      <c r="Q53" s="177"/>
      <c r="R53" s="177"/>
    </row>
    <row r="54" spans="1:18" ht="12.75" customHeight="1" x14ac:dyDescent="0.2">
      <c r="A54" s="173" t="s">
        <v>214</v>
      </c>
      <c r="B54" s="174">
        <v>-11909056.32</v>
      </c>
      <c r="C54" s="174"/>
      <c r="D54" s="174">
        <v>0</v>
      </c>
      <c r="E54" s="174"/>
      <c r="F54" s="174"/>
      <c r="G54" s="181"/>
      <c r="H54" s="181"/>
      <c r="I54" s="181"/>
      <c r="J54" s="174">
        <v>-16827486.010000002</v>
      </c>
      <c r="K54" s="174"/>
      <c r="L54" s="174"/>
      <c r="M54" s="181"/>
      <c r="N54" s="181"/>
      <c r="O54" s="177"/>
      <c r="P54" s="177"/>
      <c r="Q54" s="177"/>
      <c r="R54" s="177"/>
    </row>
    <row r="55" spans="1:18" ht="12.75" customHeight="1" x14ac:dyDescent="0.2">
      <c r="A55" s="173" t="s">
        <v>215</v>
      </c>
      <c r="B55" s="174">
        <v>-17624786.670000002</v>
      </c>
      <c r="C55" s="174"/>
      <c r="D55" s="174">
        <v>0</v>
      </c>
      <c r="E55" s="174"/>
      <c r="F55" s="174"/>
      <c r="G55" s="181"/>
      <c r="H55" s="181"/>
      <c r="I55" s="181"/>
      <c r="J55" s="174">
        <v>16498521.439999999</v>
      </c>
      <c r="K55" s="174"/>
      <c r="L55" s="174"/>
      <c r="M55" s="181"/>
      <c r="N55" s="181"/>
      <c r="O55" s="177"/>
      <c r="P55" s="177"/>
      <c r="Q55" s="177"/>
      <c r="R55" s="177"/>
    </row>
    <row r="56" spans="1:18" ht="12.75" customHeight="1" x14ac:dyDescent="0.2">
      <c r="A56" s="173"/>
      <c r="B56" s="181"/>
      <c r="C56" s="181"/>
      <c r="D56" s="181"/>
      <c r="E56" s="181"/>
      <c r="F56" s="181"/>
      <c r="G56" s="181"/>
      <c r="H56" s="181"/>
      <c r="I56" s="181"/>
      <c r="J56" s="181"/>
      <c r="K56" s="174"/>
      <c r="L56" s="174"/>
      <c r="M56" s="181"/>
      <c r="N56" s="181"/>
      <c r="O56" s="159"/>
      <c r="P56" s="159"/>
      <c r="Q56" s="159"/>
      <c r="R56" s="159"/>
    </row>
    <row r="57" spans="1:18" x14ac:dyDescent="0.2">
      <c r="A57" s="173"/>
      <c r="B57" s="208"/>
      <c r="C57" s="208"/>
      <c r="D57" s="208"/>
      <c r="E57" s="208"/>
      <c r="F57" s="209" t="s">
        <v>85</v>
      </c>
      <c r="G57" s="161"/>
      <c r="H57" s="161"/>
      <c r="I57" s="159"/>
      <c r="J57" s="208"/>
      <c r="K57" s="208"/>
      <c r="L57" s="209" t="s">
        <v>192</v>
      </c>
      <c r="M57" s="161"/>
      <c r="N57" s="161"/>
      <c r="O57" s="159"/>
      <c r="P57" s="159"/>
      <c r="Q57" s="159"/>
      <c r="R57" s="159"/>
    </row>
    <row r="58" spans="1:18" x14ac:dyDescent="0.2">
      <c r="A58" s="159"/>
      <c r="B58" s="210" t="s">
        <v>58</v>
      </c>
      <c r="C58" s="208"/>
      <c r="D58" s="210"/>
      <c r="E58" s="211"/>
      <c r="F58" s="210"/>
      <c r="G58" s="159"/>
      <c r="H58" s="159"/>
      <c r="I58" s="159"/>
      <c r="J58" s="210" t="s">
        <v>58</v>
      </c>
      <c r="K58" s="208"/>
      <c r="L58" s="208"/>
      <c r="M58" s="159"/>
      <c r="N58" s="159"/>
      <c r="O58" s="212"/>
      <c r="P58" s="159"/>
      <c r="Q58" s="159"/>
      <c r="R58" s="159"/>
    </row>
    <row r="59" spans="1:18" ht="12.75" customHeight="1" x14ac:dyDescent="0.2">
      <c r="A59" s="169" t="s">
        <v>65</v>
      </c>
      <c r="B59" s="170">
        <v>2023</v>
      </c>
      <c r="C59" s="208"/>
      <c r="D59" s="213" t="s">
        <v>136</v>
      </c>
      <c r="E59" s="208"/>
      <c r="F59" s="213" t="s">
        <v>88</v>
      </c>
      <c r="G59" s="159"/>
      <c r="H59" s="163" t="s">
        <v>89</v>
      </c>
      <c r="I59" s="159"/>
      <c r="J59" s="170">
        <v>2022</v>
      </c>
      <c r="K59" s="208"/>
      <c r="L59" s="209" t="s">
        <v>88</v>
      </c>
      <c r="M59" s="159"/>
      <c r="N59" s="163" t="s">
        <v>89</v>
      </c>
      <c r="O59" s="165"/>
      <c r="P59" s="159"/>
      <c r="Q59" s="159"/>
      <c r="R59" s="159"/>
    </row>
    <row r="60" spans="1:18" ht="6" customHeight="1" x14ac:dyDescent="0.2">
      <c r="A60" s="171"/>
      <c r="B60" s="214"/>
      <c r="C60" s="215"/>
      <c r="D60" s="214"/>
      <c r="E60" s="215"/>
      <c r="F60" s="214"/>
      <c r="G60" s="216"/>
      <c r="H60" s="217"/>
      <c r="I60" s="216"/>
      <c r="J60" s="214"/>
      <c r="K60" s="215"/>
      <c r="L60" s="214"/>
      <c r="M60" s="216"/>
      <c r="N60" s="217"/>
      <c r="O60" s="172"/>
      <c r="P60" s="171"/>
      <c r="Q60" s="171"/>
      <c r="R60" s="171"/>
    </row>
    <row r="61" spans="1:18" x14ac:dyDescent="0.2">
      <c r="A61" s="173" t="s">
        <v>43</v>
      </c>
      <c r="B61" s="218">
        <v>11387970376.433001</v>
      </c>
      <c r="C61" s="218"/>
      <c r="D61" s="218">
        <v>10788032160</v>
      </c>
      <c r="E61" s="181"/>
      <c r="F61" s="218">
        <f>B61-D61</f>
        <v>599938216.43300056</v>
      </c>
      <c r="G61" s="191"/>
      <c r="H61" s="198">
        <f>IF(D61=0,"n/a",IF(AND(F61/D61&lt;1,F61/D61&gt;-1),F61/D61,"n/a"))</f>
        <v>5.5611459767190813E-2</v>
      </c>
      <c r="I61" s="191"/>
      <c r="J61" s="218">
        <v>11753057385.48</v>
      </c>
      <c r="K61" s="218"/>
      <c r="L61" s="218">
        <f>+B61-J61</f>
        <v>-365087009.04699898</v>
      </c>
      <c r="M61" s="191"/>
      <c r="N61" s="198">
        <f>IF(J61=0,"n/a",IF(AND(L61/J61&lt;1,L61/J61&gt;-1),L61/J61,"n/a"))</f>
        <v>-3.1063152086540133E-2</v>
      </c>
      <c r="O61" s="219"/>
      <c r="P61" s="171"/>
      <c r="Q61" s="171"/>
      <c r="R61" s="171"/>
    </row>
    <row r="62" spans="1:18" ht="12.75" customHeight="1" x14ac:dyDescent="0.2">
      <c r="A62" s="173" t="s">
        <v>44</v>
      </c>
      <c r="B62" s="218">
        <v>8637063236.0030003</v>
      </c>
      <c r="C62" s="218"/>
      <c r="D62" s="218">
        <v>8444982003</v>
      </c>
      <c r="E62" s="181"/>
      <c r="F62" s="218">
        <f>B62-D62</f>
        <v>192081233.00300026</v>
      </c>
      <c r="G62" s="191"/>
      <c r="H62" s="198">
        <f>IF(D62=0,"n/a",IF(AND(F62/D62&lt;1,F62/D62&gt;-1),F62/D62,"n/a"))</f>
        <v>2.2745013895206077E-2</v>
      </c>
      <c r="I62" s="191"/>
      <c r="J62" s="218">
        <v>8677177760.7199993</v>
      </c>
      <c r="K62" s="218"/>
      <c r="L62" s="218">
        <f>+B62-J62</f>
        <v>-40114524.716999054</v>
      </c>
      <c r="M62" s="191"/>
      <c r="N62" s="198">
        <f>IF(J62=0,"n/a",IF(AND(L62/J62&lt;1,L62/J62&gt;-1),L62/J62,"n/a"))</f>
        <v>-4.6229921551901578E-3</v>
      </c>
      <c r="O62" s="219"/>
      <c r="P62" s="171"/>
      <c r="Q62" s="171"/>
      <c r="R62" s="171"/>
    </row>
    <row r="63" spans="1:18" x14ac:dyDescent="0.2">
      <c r="A63" s="173" t="s">
        <v>45</v>
      </c>
      <c r="B63" s="218">
        <v>1070932601.304</v>
      </c>
      <c r="C63" s="220"/>
      <c r="D63" s="218">
        <v>1021668418</v>
      </c>
      <c r="E63" s="184"/>
      <c r="F63" s="218">
        <f>B63-D63</f>
        <v>49264183.30400002</v>
      </c>
      <c r="G63" s="221"/>
      <c r="H63" s="198">
        <f>IF(D63=0,"n/a",IF(AND(F63/D63&lt;1,F63/D63&gt;-1),F63/D63,"n/a"))</f>
        <v>4.821934635156748E-2</v>
      </c>
      <c r="I63" s="221"/>
      <c r="J63" s="218">
        <v>1113909344.2</v>
      </c>
      <c r="K63" s="220"/>
      <c r="L63" s="218">
        <f>+B63-J63</f>
        <v>-42976742.896000028</v>
      </c>
      <c r="M63" s="221"/>
      <c r="N63" s="198">
        <f>IF(J63=0,"n/a",IF(AND(L63/J63&lt;1,L63/J63&gt;-1),L63/J63,"n/a"))</f>
        <v>-3.8581903563135608E-2</v>
      </c>
      <c r="O63" s="219"/>
      <c r="P63" s="171"/>
      <c r="Q63" s="171"/>
      <c r="R63" s="171"/>
    </row>
    <row r="64" spans="1:18" x14ac:dyDescent="0.2">
      <c r="A64" s="173" t="s">
        <v>46</v>
      </c>
      <c r="B64" s="218">
        <v>69795756.467999995</v>
      </c>
      <c r="C64" s="220"/>
      <c r="D64" s="218">
        <v>65194486</v>
      </c>
      <c r="E64" s="184"/>
      <c r="F64" s="218">
        <f t="shared" ref="F64:F65" si="0">B64-D64</f>
        <v>4601270.4679999948</v>
      </c>
      <c r="G64" s="221"/>
      <c r="H64" s="198">
        <f t="shared" ref="H64:H65" si="1">IF(D64=0,"n/a",IF(AND(F64/D64&lt;1,F64/D64&gt;-1),F64/D64,"n/a"))</f>
        <v>7.0577601731532866E-2</v>
      </c>
      <c r="I64" s="221"/>
      <c r="J64" s="218">
        <v>69270665.989999995</v>
      </c>
      <c r="K64" s="220"/>
      <c r="L64" s="218">
        <f t="shared" ref="L64:L65" si="2">+B64-J64</f>
        <v>525090.47800000012</v>
      </c>
      <c r="M64" s="221"/>
      <c r="N64" s="198">
        <f t="shared" ref="N64:N65" si="3">IF(J64=0,"n/a",IF(AND(L64/J64&lt;1,L64/J64&gt;-1),L64/J64,"n/a"))</f>
        <v>7.5802718292877803E-3</v>
      </c>
      <c r="O64" s="219"/>
      <c r="P64" s="222"/>
      <c r="Q64" s="171"/>
      <c r="R64" s="171"/>
    </row>
    <row r="65" spans="1:18" ht="12.75" customHeight="1" x14ac:dyDescent="0.2">
      <c r="A65" s="173" t="s">
        <v>47</v>
      </c>
      <c r="B65" s="218">
        <v>6699400</v>
      </c>
      <c r="C65" s="220"/>
      <c r="D65" s="218">
        <v>7089449</v>
      </c>
      <c r="E65" s="184"/>
      <c r="F65" s="218">
        <f t="shared" si="0"/>
        <v>-390049</v>
      </c>
      <c r="G65" s="221"/>
      <c r="H65" s="198">
        <f t="shared" si="1"/>
        <v>-5.5018239076125665E-2</v>
      </c>
      <c r="I65" s="221"/>
      <c r="J65" s="218">
        <v>7136120</v>
      </c>
      <c r="K65" s="220"/>
      <c r="L65" s="218">
        <f t="shared" si="2"/>
        <v>-436720</v>
      </c>
      <c r="M65" s="221"/>
      <c r="N65" s="198">
        <f t="shared" si="3"/>
        <v>-6.1198522446371417E-2</v>
      </c>
      <c r="O65" s="219"/>
      <c r="P65" s="171"/>
      <c r="Q65" s="171"/>
      <c r="R65" s="171"/>
    </row>
    <row r="66" spans="1:18" ht="6" customHeight="1" x14ac:dyDescent="0.2">
      <c r="A66" s="171"/>
      <c r="B66" s="223"/>
      <c r="C66" s="224"/>
      <c r="D66" s="223"/>
      <c r="E66" s="195"/>
      <c r="F66" s="223"/>
      <c r="G66" s="225"/>
      <c r="H66" s="226"/>
      <c r="I66" s="225"/>
      <c r="J66" s="223"/>
      <c r="K66" s="224"/>
      <c r="L66" s="223"/>
      <c r="M66" s="225"/>
      <c r="N66" s="226"/>
      <c r="O66" s="159"/>
      <c r="P66" s="159"/>
      <c r="Q66" s="159"/>
      <c r="R66" s="159"/>
    </row>
    <row r="67" spans="1:18" ht="12.75" customHeight="1" x14ac:dyDescent="0.2">
      <c r="A67" s="189" t="s">
        <v>60</v>
      </c>
      <c r="B67" s="227">
        <f>SUM(B61:B66)</f>
        <v>21172461370.208</v>
      </c>
      <c r="C67" s="218"/>
      <c r="D67" s="227">
        <f>SUM(D61:D66)</f>
        <v>20326966516</v>
      </c>
      <c r="E67" s="181"/>
      <c r="F67" s="227">
        <f>SUM(F61:F66)</f>
        <v>845494854.2080009</v>
      </c>
      <c r="G67" s="191"/>
      <c r="H67" s="192">
        <f>IF(D67=0,"n/a",IF(AND(F67/D67&lt;1,F67/D67&gt;-1),F67/D67,"n/a"))</f>
        <v>4.1594738375865629E-2</v>
      </c>
      <c r="I67" s="191"/>
      <c r="J67" s="227">
        <f>SUM(J61:J66)</f>
        <v>21620551276.389999</v>
      </c>
      <c r="K67" s="218"/>
      <c r="L67" s="227">
        <f>SUM(L61:L66)</f>
        <v>-448089906.18199807</v>
      </c>
      <c r="M67" s="191"/>
      <c r="N67" s="192">
        <f>IF(J67=0,"n/a",IF(AND(L67/J67&lt;1,L67/J67&gt;-1),L67/J67,"n/a"))</f>
        <v>-2.0725184129385253E-2</v>
      </c>
      <c r="O67" s="219"/>
      <c r="P67" s="171"/>
      <c r="Q67" s="171"/>
      <c r="R67" s="171"/>
    </row>
    <row r="68" spans="1:18" x14ac:dyDescent="0.2">
      <c r="A68" s="173" t="s">
        <v>61</v>
      </c>
      <c r="B68" s="218">
        <v>2270474388.178</v>
      </c>
      <c r="C68" s="220"/>
      <c r="D68" s="218">
        <v>2242058254</v>
      </c>
      <c r="E68" s="184"/>
      <c r="F68" s="218">
        <f t="shared" ref="F68:F69" si="4">B68-D68</f>
        <v>28416134.177999973</v>
      </c>
      <c r="G68" s="221"/>
      <c r="H68" s="198">
        <f t="shared" ref="H68:H69" si="5">IF(D68=0,"n/a",IF(AND(F68/D68&lt;1,F68/D68&gt;-1),F68/D68,"n/a"))</f>
        <v>1.2674128393989523E-2</v>
      </c>
      <c r="I68" s="221"/>
      <c r="J68" s="218">
        <v>2300711270.3299999</v>
      </c>
      <c r="K68" s="220"/>
      <c r="L68" s="218">
        <f t="shared" ref="L68:L69" si="6">+B68-J68</f>
        <v>-30236882.15199995</v>
      </c>
      <c r="M68" s="221"/>
      <c r="N68" s="198">
        <f t="shared" ref="N68:N69" si="7">IF(J68=0,"n/a",IF(AND(L68/J68&lt;1,L68/J68&gt;-1),L68/J68,"n/a"))</f>
        <v>-1.314240623842511E-2</v>
      </c>
      <c r="O68" s="219"/>
      <c r="P68" s="171"/>
      <c r="Q68" s="171"/>
      <c r="R68" s="171"/>
    </row>
    <row r="69" spans="1:18" ht="12.75" customHeight="1" x14ac:dyDescent="0.2">
      <c r="A69" s="173" t="s">
        <v>48</v>
      </c>
      <c r="B69" s="218">
        <v>7324598985</v>
      </c>
      <c r="C69" s="220"/>
      <c r="D69" s="218">
        <v>0</v>
      </c>
      <c r="E69" s="184"/>
      <c r="F69" s="218">
        <f t="shared" si="4"/>
        <v>7324598985</v>
      </c>
      <c r="G69" s="221"/>
      <c r="H69" s="198" t="str">
        <f t="shared" si="5"/>
        <v>n/a</v>
      </c>
      <c r="I69" s="221"/>
      <c r="J69" s="218">
        <v>3604038734</v>
      </c>
      <c r="K69" s="220"/>
      <c r="L69" s="218">
        <f t="shared" si="6"/>
        <v>3720560251</v>
      </c>
      <c r="M69" s="221"/>
      <c r="N69" s="198" t="str">
        <f t="shared" si="7"/>
        <v>n/a</v>
      </c>
      <c r="O69" s="219"/>
      <c r="P69" s="171"/>
      <c r="Q69" s="171"/>
      <c r="R69" s="171"/>
    </row>
    <row r="70" spans="1:18" ht="6" customHeight="1" x14ac:dyDescent="0.2">
      <c r="A70" s="159"/>
      <c r="B70" s="228"/>
      <c r="C70" s="218"/>
      <c r="D70" s="228"/>
      <c r="E70" s="181"/>
      <c r="F70" s="228"/>
      <c r="G70" s="191"/>
      <c r="H70" s="229"/>
      <c r="I70" s="191"/>
      <c r="J70" s="228"/>
      <c r="K70" s="218"/>
      <c r="L70" s="228"/>
      <c r="M70" s="191"/>
      <c r="N70" s="229"/>
      <c r="O70" s="159"/>
      <c r="P70" s="159"/>
      <c r="Q70" s="159"/>
      <c r="R70" s="159"/>
    </row>
    <row r="71" spans="1:18" ht="13.5" thickBot="1" x14ac:dyDescent="0.25">
      <c r="A71" s="189" t="s">
        <v>66</v>
      </c>
      <c r="B71" s="230">
        <f>SUM(B67:B69)</f>
        <v>30767534743.386002</v>
      </c>
      <c r="C71" s="218"/>
      <c r="D71" s="230">
        <f>SUM(D67:D69)</f>
        <v>22569024770</v>
      </c>
      <c r="E71" s="181"/>
      <c r="F71" s="230">
        <f>SUM(F67:F69)</f>
        <v>8198509973.3860006</v>
      </c>
      <c r="G71" s="191"/>
      <c r="H71" s="203">
        <f>IF(D71=0,"n/a",IF(AND(F71/D71&lt;1,F71/D71&gt;-1),F71/D71,"n/a"))</f>
        <v>0.3632638121025023</v>
      </c>
      <c r="I71" s="191"/>
      <c r="J71" s="230">
        <f>SUM(J67:J69)</f>
        <v>27525301280.720001</v>
      </c>
      <c r="K71" s="218"/>
      <c r="L71" s="230">
        <f>SUM(L67:L69)</f>
        <v>3242233462.6660018</v>
      </c>
      <c r="M71" s="191"/>
      <c r="N71" s="203">
        <f>IF(J71=0,"n/a",IF(AND(L71/J71&lt;1,L71/J71&gt;-1),L71/J71,"n/a"))</f>
        <v>0.11779102541329903</v>
      </c>
      <c r="O71" s="219"/>
      <c r="P71" s="171"/>
      <c r="Q71" s="171"/>
      <c r="R71" s="171"/>
    </row>
    <row r="72" spans="1:18" ht="13.5" thickTop="1" x14ac:dyDescent="0.2">
      <c r="A72" s="159"/>
      <c r="B72" s="231"/>
      <c r="C72" s="232"/>
      <c r="D72" s="231"/>
      <c r="E72" s="232"/>
      <c r="F72" s="231"/>
      <c r="G72" s="233"/>
      <c r="H72" s="231"/>
      <c r="I72" s="232"/>
      <c r="J72" s="231"/>
      <c r="K72" s="232"/>
      <c r="L72" s="231"/>
      <c r="M72" s="232"/>
      <c r="N72" s="231"/>
      <c r="O72" s="212"/>
      <c r="P72" s="159"/>
      <c r="Q72" s="159"/>
      <c r="R72" s="159"/>
    </row>
    <row r="73" spans="1:18" s="235" customFormat="1" x14ac:dyDescent="0.2">
      <c r="A73" s="158"/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</row>
    <row r="74" spans="1:18" s="235" customFormat="1" ht="12.75" customHeight="1" x14ac:dyDescent="0.2">
      <c r="A74" s="158" t="s">
        <v>137</v>
      </c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&amp;C4b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9" sqref="B9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2" x14ac:dyDescent="0.25">
      <c r="A1" s="116" t="s">
        <v>130</v>
      </c>
    </row>
    <row r="2" spans="1:2" x14ac:dyDescent="0.25">
      <c r="A2" s="116" t="s">
        <v>132</v>
      </c>
    </row>
    <row r="3" spans="1:2" x14ac:dyDescent="0.25">
      <c r="A3" s="117"/>
    </row>
    <row r="4" spans="1:2" x14ac:dyDescent="0.25">
      <c r="A4" s="25" t="s">
        <v>72</v>
      </c>
      <c r="B4" s="69" t="s">
        <v>67</v>
      </c>
    </row>
    <row r="5" spans="1:2" x14ac:dyDescent="0.25">
      <c r="A5" s="9" t="s">
        <v>93</v>
      </c>
      <c r="B5" s="118">
        <v>34433208.950000003</v>
      </c>
    </row>
    <row r="6" spans="1:2" x14ac:dyDescent="0.25">
      <c r="A6" s="9" t="s">
        <v>94</v>
      </c>
      <c r="B6" s="118">
        <v>5103255.68</v>
      </c>
    </row>
    <row r="7" spans="1:2" x14ac:dyDescent="0.25">
      <c r="A7" s="9" t="s">
        <v>95</v>
      </c>
      <c r="B7" s="118">
        <v>720307.69</v>
      </c>
    </row>
    <row r="8" spans="1:2" ht="15.75" thickBot="1" x14ac:dyDescent="0.3">
      <c r="A8" s="9" t="s">
        <v>96</v>
      </c>
      <c r="B8" s="118">
        <v>6835347.5599999996</v>
      </c>
    </row>
    <row r="9" spans="1:2" ht="15.75" thickBot="1" x14ac:dyDescent="0.3">
      <c r="A9" s="9"/>
      <c r="B9" s="119">
        <f>SUM(B5:B8)</f>
        <v>47092119.880000003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5" sqref="B5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2" x14ac:dyDescent="0.25">
      <c r="A1" s="116" t="s">
        <v>130</v>
      </c>
    </row>
    <row r="2" spans="1:2" x14ac:dyDescent="0.25">
      <c r="A2" s="116" t="s">
        <v>133</v>
      </c>
    </row>
    <row r="3" spans="1:2" x14ac:dyDescent="0.25">
      <c r="A3" s="117"/>
    </row>
    <row r="4" spans="1:2" ht="15.75" thickBot="1" x14ac:dyDescent="0.3">
      <c r="A4" s="25" t="s">
        <v>72</v>
      </c>
      <c r="B4" s="69" t="s">
        <v>67</v>
      </c>
    </row>
    <row r="5" spans="1:2" ht="15.75" thickBot="1" x14ac:dyDescent="0.3">
      <c r="A5" t="s">
        <v>56</v>
      </c>
      <c r="B5" s="70">
        <v>97941405.329999998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5" sqref="B5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10" x14ac:dyDescent="0.25">
      <c r="A1" s="116" t="s">
        <v>130</v>
      </c>
    </row>
    <row r="2" spans="1:10" x14ac:dyDescent="0.25">
      <c r="A2" s="116" t="s">
        <v>134</v>
      </c>
    </row>
    <row r="3" spans="1:10" x14ac:dyDescent="0.25">
      <c r="A3" s="117"/>
    </row>
    <row r="4" spans="1:10" x14ac:dyDescent="0.25">
      <c r="A4" s="76" t="s">
        <v>72</v>
      </c>
      <c r="B4" s="78" t="s">
        <v>67</v>
      </c>
    </row>
    <row r="5" spans="1:10" x14ac:dyDescent="0.25">
      <c r="A5" t="s">
        <v>97</v>
      </c>
      <c r="B5" s="128">
        <v>26322739.359999999</v>
      </c>
    </row>
    <row r="6" spans="1:10" x14ac:dyDescent="0.25">
      <c r="A6" t="s">
        <v>146</v>
      </c>
      <c r="B6" s="123">
        <v>18317839.800000001</v>
      </c>
    </row>
    <row r="7" spans="1:10" ht="15.75" thickBot="1" x14ac:dyDescent="0.3">
      <c r="B7" s="129">
        <f>SUM(B5:B6)</f>
        <v>44640579.159999996</v>
      </c>
    </row>
    <row r="8" spans="1:10" ht="15.75" thickTop="1" x14ac:dyDescent="0.25">
      <c r="J8" s="72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6" sqref="B6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7" x14ac:dyDescent="0.25">
      <c r="A1" s="116" t="s">
        <v>130</v>
      </c>
    </row>
    <row r="2" spans="1:7" x14ac:dyDescent="0.25">
      <c r="A2" s="116" t="s">
        <v>132</v>
      </c>
    </row>
    <row r="3" spans="1:7" x14ac:dyDescent="0.25">
      <c r="A3" s="117"/>
      <c r="G3" s="71"/>
    </row>
    <row r="4" spans="1:7" x14ac:dyDescent="0.25">
      <c r="A4" s="25" t="s">
        <v>72</v>
      </c>
      <c r="B4" s="69" t="s">
        <v>67</v>
      </c>
    </row>
    <row r="5" spans="1:7" ht="15.75" thickBot="1" x14ac:dyDescent="0.3">
      <c r="A5" t="s">
        <v>54</v>
      </c>
      <c r="B5" s="44">
        <v>103454099.09</v>
      </c>
    </row>
    <row r="6" spans="1:7" ht="15.75" thickBot="1" x14ac:dyDescent="0.3">
      <c r="B6" s="73">
        <f>SUM(B3:B5)</f>
        <v>103454099.09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2406D0-9C66-4CA1-876F-0CBD5753464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BB4BC79-CE7B-42DA-AF2F-B5EDB65F4E0F}"/>
</file>

<file path=customXml/itemProps3.xml><?xml version="1.0" encoding="utf-8"?>
<ds:datastoreItem xmlns:ds="http://schemas.openxmlformats.org/officeDocument/2006/customXml" ds:itemID="{FABC98E1-3EEB-4FC6-999B-D7C6A13F7C76}"/>
</file>

<file path=customXml/itemProps4.xml><?xml version="1.0" encoding="utf-8"?>
<ds:datastoreItem xmlns:ds="http://schemas.openxmlformats.org/officeDocument/2006/customXml" ds:itemID="{13BF43E2-BFC4-43B7-A92B-204E6BA0988A}"/>
</file>

<file path=customXml/itemProps5.xml><?xml version="1.0" encoding="utf-8"?>
<ds:datastoreItem xmlns:ds="http://schemas.openxmlformats.org/officeDocument/2006/customXml" ds:itemID="{CB80ECD8-2385-4512-973A-D1320789E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Lead </vt:lpstr>
      <vt:lpstr>SOEG Green Pwr </vt:lpstr>
      <vt:lpstr>Sch 135_136 GreenPwr</vt:lpstr>
      <vt:lpstr>SOE 2023 YTD</vt:lpstr>
      <vt:lpstr>Sch 140 PropertyTaxes</vt:lpstr>
      <vt:lpstr>Sch 120 Conserv</vt:lpstr>
      <vt:lpstr>Sch 129 LowInc</vt:lpstr>
      <vt:lpstr>Sch 81 MunicipalTaxes</vt:lpstr>
      <vt:lpstr>Sch Bill Discount 129D</vt:lpstr>
      <vt:lpstr>Sch 137 Int on Rec Proc</vt:lpstr>
      <vt:lpstr>Sch 194 Res. Exchge</vt:lpstr>
      <vt:lpstr>Sch 142 Decoupling</vt:lpstr>
      <vt:lpstr>Green Power 557</vt:lpstr>
      <vt:lpstr>Customer Assis Green Pwr</vt:lpstr>
      <vt:lpstr>23GRC CF</vt:lpstr>
      <vt:lpstr>'SOEG Green Pwr '!SAPCrosstab7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Kellogg, Anh</cp:lastModifiedBy>
  <cp:lastPrinted>2018-03-08T21:25:45Z</cp:lastPrinted>
  <dcterms:created xsi:type="dcterms:W3CDTF">2015-01-07T17:59:05Z</dcterms:created>
  <dcterms:modified xsi:type="dcterms:W3CDTF">2024-03-27T18:08:13Z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0x0101006E56B4D1795A2E4DB2F0B01679ED314A000A863F1F3F84D34DA9D1C0B7B6EF12CC</vt:lpwstr>
  </property>
  <property fmtid="{D5CDD505-2E9C-101B-9397-08002B2CF9AE}" pid="4" name="_docset_NoMedatataSyncRequired">
    <vt:lpwstr>False</vt:lpwstr>
  </property>
</Properties>
</file>