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Annual Report\2025 filing\"/>
    </mc:Choice>
  </mc:AlternateContent>
  <xr:revisionPtr revIDLastSave="0" documentId="13_ncr:1_{5BE6C120-C298-4DB8-8FF8-0265CA09D3CF}" xr6:coauthVersionLast="47" xr6:coauthVersionMax="47" xr10:uidLastSave="{00000000-0000-0000-0000-000000000000}"/>
  <bookViews>
    <workbookView xWindow="-57720" yWindow="-120" windowWidth="29040" windowHeight="15720" xr2:uid="{27459B9E-85FF-4DF4-8E12-5DB290E0C989}"/>
  </bookViews>
  <sheets>
    <sheet name="2024 Totals" sheetId="3" r:id="rId1"/>
    <sheet name="APP 2885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3" l="1"/>
  <c r="R16" i="3"/>
  <c r="R14" i="3"/>
  <c r="N16" i="3"/>
  <c r="N14" i="3"/>
  <c r="Q14" i="3"/>
  <c r="Q16" i="3"/>
  <c r="I5" i="3"/>
  <c r="K5" i="3" s="1"/>
  <c r="G6" i="3"/>
  <c r="G7" i="3"/>
  <c r="G8" i="3"/>
  <c r="G9" i="3"/>
  <c r="G10" i="3"/>
  <c r="G11" i="3"/>
  <c r="G12" i="3"/>
  <c r="G13" i="3"/>
  <c r="G14" i="3"/>
  <c r="P14" i="3" s="1"/>
  <c r="G15" i="3"/>
  <c r="G16" i="3"/>
  <c r="G17" i="3"/>
  <c r="G18" i="3"/>
  <c r="G5" i="3"/>
  <c r="E6" i="3"/>
  <c r="E7" i="3"/>
  <c r="E8" i="3"/>
  <c r="E9" i="3"/>
  <c r="E10" i="3"/>
  <c r="E11" i="3"/>
  <c r="E12" i="3"/>
  <c r="E13" i="3"/>
  <c r="E14" i="3"/>
  <c r="E15" i="3"/>
  <c r="E16" i="3"/>
  <c r="P16" i="3" s="1"/>
  <c r="E17" i="3"/>
  <c r="E18" i="3"/>
  <c r="E5" i="3"/>
  <c r="K10" i="3"/>
  <c r="K11" i="3"/>
  <c r="L11" i="3" s="1"/>
  <c r="J6" i="3"/>
  <c r="J9" i="3"/>
  <c r="J11" i="3"/>
  <c r="J12" i="3"/>
  <c r="J15" i="3"/>
  <c r="J16" i="3"/>
  <c r="J17" i="3"/>
  <c r="J18" i="3"/>
  <c r="J19" i="3"/>
  <c r="I6" i="3"/>
  <c r="I7" i="3"/>
  <c r="I8" i="3"/>
  <c r="I9" i="3"/>
  <c r="I10" i="3"/>
  <c r="I11" i="3"/>
  <c r="I12" i="3"/>
  <c r="I13" i="3"/>
  <c r="I14" i="3"/>
  <c r="I15" i="3"/>
  <c r="K15" i="3" s="1"/>
  <c r="I16" i="3"/>
  <c r="I17" i="3"/>
  <c r="I18" i="3"/>
  <c r="K18" i="3" s="1"/>
  <c r="L18" i="3" s="1"/>
  <c r="H6" i="3"/>
  <c r="K6" i="3" s="1"/>
  <c r="L6" i="3" s="1"/>
  <c r="H7" i="3"/>
  <c r="K7" i="3" s="1"/>
  <c r="H8" i="3"/>
  <c r="K8" i="3" s="1"/>
  <c r="H9" i="3"/>
  <c r="K9" i="3" s="1"/>
  <c r="L9" i="3" s="1"/>
  <c r="H10" i="3"/>
  <c r="H11" i="3"/>
  <c r="H12" i="3"/>
  <c r="K12" i="3" s="1"/>
  <c r="L12" i="3" s="1"/>
  <c r="H13" i="3"/>
  <c r="K13" i="3" s="1"/>
  <c r="L13" i="3" s="1"/>
  <c r="H14" i="3"/>
  <c r="H15" i="3"/>
  <c r="H16" i="3"/>
  <c r="K16" i="3" s="1"/>
  <c r="H17" i="3"/>
  <c r="K17" i="3" s="1"/>
  <c r="H18" i="3"/>
  <c r="H5" i="3"/>
  <c r="D19" i="3"/>
  <c r="C19" i="3"/>
  <c r="J13" i="3" s="1"/>
  <c r="B19" i="3"/>
  <c r="J10" i="3" l="1"/>
  <c r="Q10" i="3" s="1"/>
  <c r="G19" i="3"/>
  <c r="P19" i="3" s="1"/>
  <c r="L7" i="3"/>
  <c r="L8" i="3"/>
  <c r="P18" i="3"/>
  <c r="M16" i="3"/>
  <c r="J8" i="3"/>
  <c r="N8" i="3" s="1"/>
  <c r="J5" i="3"/>
  <c r="R5" i="3" s="1"/>
  <c r="J7" i="3"/>
  <c r="R7" i="3" s="1"/>
  <c r="J14" i="3"/>
  <c r="L15" i="3"/>
  <c r="L10" i="3"/>
  <c r="L17" i="3"/>
  <c r="P17" i="3"/>
  <c r="R19" i="3"/>
  <c r="R18" i="3"/>
  <c r="N18" i="3"/>
  <c r="M18" i="3"/>
  <c r="Q18" i="3"/>
  <c r="R17" i="3"/>
  <c r="N17" i="3"/>
  <c r="M17" i="3"/>
  <c r="Q17" i="3"/>
  <c r="R15" i="3"/>
  <c r="N15" i="3"/>
  <c r="R13" i="3"/>
  <c r="N13" i="3"/>
  <c r="R12" i="3"/>
  <c r="N12" i="3"/>
  <c r="R11" i="3"/>
  <c r="N11" i="3"/>
  <c r="N10" i="3"/>
  <c r="R9" i="3"/>
  <c r="N9" i="3"/>
  <c r="R8" i="3"/>
  <c r="R6" i="3"/>
  <c r="N6" i="3"/>
  <c r="Q6" i="3"/>
  <c r="M13" i="3"/>
  <c r="Q12" i="3"/>
  <c r="Q11" i="3"/>
  <c r="Q9" i="3"/>
  <c r="M6" i="3"/>
  <c r="Q19" i="3"/>
  <c r="Q15" i="3"/>
  <c r="P13" i="3"/>
  <c r="P12" i="3"/>
  <c r="Q13" i="3"/>
  <c r="M12" i="3"/>
  <c r="P11" i="3"/>
  <c r="M11" i="3"/>
  <c r="P15" i="3"/>
  <c r="P10" i="3"/>
  <c r="P9" i="3"/>
  <c r="M9" i="3"/>
  <c r="P8" i="3"/>
  <c r="M8" i="3"/>
  <c r="M15" i="3"/>
  <c r="P7" i="3"/>
  <c r="Q8" i="3"/>
  <c r="M7" i="3"/>
  <c r="M10" i="3"/>
  <c r="P6" i="3"/>
  <c r="Q7" i="3"/>
  <c r="H19" i="3"/>
  <c r="B24" i="3" s="1"/>
  <c r="L16" i="3"/>
  <c r="E19" i="3"/>
  <c r="K14" i="3"/>
  <c r="L5" i="3"/>
  <c r="K19" i="3"/>
  <c r="N19" i="3" s="1"/>
  <c r="M5" i="3"/>
  <c r="I19" i="3"/>
  <c r="B25" i="3" s="1"/>
  <c r="Q5" i="3"/>
  <c r="P5" i="3"/>
  <c r="R10" i="3" l="1"/>
  <c r="N7" i="3"/>
  <c r="N5" i="3"/>
  <c r="L19" i="3"/>
  <c r="M19" i="3"/>
  <c r="M14" i="3"/>
  <c r="L14" i="3"/>
</calcChain>
</file>

<file path=xl/sharedStrings.xml><?xml version="1.0" encoding="utf-8"?>
<sst xmlns="http://schemas.openxmlformats.org/spreadsheetml/2006/main" count="74" uniqueCount="69">
  <si>
    <t>CASCADE NATURAL GAS CORPORATION</t>
  </si>
  <si>
    <t>MEASURE</t>
  </si>
  <si>
    <t>MEASURES</t>
  </si>
  <si>
    <t>TOTAL ANNUAL THERM SAVINGS</t>
  </si>
  <si>
    <t>MEASURE INSTALLED COST</t>
  </si>
  <si>
    <t>NON-ENERGY BENEFITS (10% of cost)</t>
  </si>
  <si>
    <t>MEASURE LIFE</t>
  </si>
  <si>
    <t>DISCOUNTED THERM SAVINGS</t>
  </si>
  <si>
    <t>PROJECT COORDINATION FEE (20% of cost)</t>
  </si>
  <si>
    <t>INDIRECT RATE (10% of cost)</t>
  </si>
  <si>
    <t>CASCADE ADMIN</t>
  </si>
  <si>
    <t>PROGRAM REBATE W/COORDINATION FEE &amp; INDIRECT RATE</t>
  </si>
  <si>
    <t>UTILITY COST</t>
  </si>
  <si>
    <t>UC W/DELIVERY &amp; ADMIN</t>
  </si>
  <si>
    <t>BENEFIT COST RATIO</t>
  </si>
  <si>
    <t>TOTAL RESOURCE COST</t>
  </si>
  <si>
    <t>TRC W/DELIVERY &amp; ADMIN</t>
  </si>
  <si>
    <t>Attic/Ceiling Insulation</t>
  </si>
  <si>
    <t>Wall Insulation</t>
  </si>
  <si>
    <t>Floor Insulation</t>
  </si>
  <si>
    <t>Duct Insulation</t>
  </si>
  <si>
    <t>Water Heater Insulation</t>
  </si>
  <si>
    <t>Furnace Tune Up</t>
  </si>
  <si>
    <t>Duct Sealing</t>
  </si>
  <si>
    <t>Infiltration</t>
  </si>
  <si>
    <t>95%+ Furnace</t>
  </si>
  <si>
    <t>90%+ Direct Vent Space Heater</t>
  </si>
  <si>
    <t>Low Flow Faucet Aerator</t>
  </si>
  <si>
    <t>Low Flow Showerhead</t>
  </si>
  <si>
    <t>0.91+ Tankless Water Heater</t>
  </si>
  <si>
    <t>0.64+ Storage Water Heater</t>
  </si>
  <si>
    <t>TOTAL PROGRAM</t>
  </si>
  <si>
    <t>IRP discount rate</t>
  </si>
  <si>
    <t>Inflation rate</t>
  </si>
  <si>
    <t>EE discount rate</t>
  </si>
  <si>
    <t>Program Admin costs</t>
  </si>
  <si>
    <t>20% Project Coordination Fee</t>
  </si>
  <si>
    <t>10% Indirect Rate</t>
  </si>
  <si>
    <t>INTEGRATED RESOURCE PLAN</t>
  </si>
  <si>
    <t>PORTFOLIO COST APPENDIX 1 TABLE H</t>
  </si>
  <si>
    <t>45 YEAR RESOURCE SUMMARY COSTS - MELDED COST PER THERM</t>
  </si>
  <si>
    <t> </t>
  </si>
  <si>
    <t>YEAR</t>
  </si>
  <si>
    <t>IRP ANNUAL</t>
  </si>
  <si>
    <t>NOMINAL</t>
  </si>
  <si>
    <t>PV OF</t>
  </si>
  <si>
    <t>NON</t>
  </si>
  <si>
    <t>PORTFOLIO</t>
  </si>
  <si>
    <t xml:space="preserve"> PORTFOLIO</t>
  </si>
  <si>
    <t xml:space="preserve"> COST</t>
  </si>
  <si>
    <t xml:space="preserve"> RESOURCE</t>
  </si>
  <si>
    <t xml:space="preserve"> ENERGY</t>
  </si>
  <si>
    <t xml:space="preserve"> COSTS  WITH</t>
  </si>
  <si>
    <t xml:space="preserve"> COST PER</t>
  </si>
  <si>
    <t xml:space="preserve"> PER</t>
  </si>
  <si>
    <t xml:space="preserve"> BENEFIT</t>
  </si>
  <si>
    <t xml:space="preserve"> CONSERVATION</t>
  </si>
  <si>
    <t xml:space="preserve"> THERM (PV)*</t>
  </si>
  <si>
    <t xml:space="preserve"> THERM</t>
  </si>
  <si>
    <t xml:space="preserve"> COST/THERM</t>
  </si>
  <si>
    <t xml:space="preserve"> CREDIT</t>
  </si>
  <si>
    <t>Cascade's Long Term Real Discount Rate:</t>
  </si>
  <si>
    <t>IRP Discount Rate =</t>
  </si>
  <si>
    <t>Revised Discount Rate=</t>
  </si>
  <si>
    <t>Years 21-45 Escalation =</t>
  </si>
  <si>
    <t>(EIA Inflation Rate)</t>
  </si>
  <si>
    <t xml:space="preserve">PROGRAM YEAR </t>
  </si>
  <si>
    <t xml:space="preserve"> CASCADE NATURAL GAS CORPORATION</t>
  </si>
  <si>
    <t>LOW INCOME Program Participant Cost Effectiveness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</si>
</sst>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1"/>
      <color theme="1"/>
      <name val="Aptos Narrow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FFFFFF"/>
      <name val="Arial"/>
      <family val="2"/>
    </font>
    <font>
      <b/>
      <sz val="11"/>
      <color rgb="FF3634E0"/>
      <name val="Arial"/>
      <family val="2"/>
    </font>
    <font>
      <b/>
      <sz val="11"/>
      <color rgb="FFA61712"/>
      <name val="Arial"/>
      <family val="2"/>
    </font>
    <font>
      <sz val="12"/>
      <color rgb="FFFF0000"/>
      <name val="Calibri"/>
      <family val="2"/>
    </font>
    <font>
      <b/>
      <sz val="12"/>
      <name val="Calibri"/>
      <family val="2"/>
    </font>
    <font>
      <sz val="10"/>
      <color rgb="FFFF0000"/>
      <name val="Calibri"/>
      <family val="2"/>
    </font>
    <font>
      <sz val="9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7.5"/>
      <color rgb="FF000000"/>
      <name val="Arial"/>
      <family val="2"/>
    </font>
    <font>
      <sz val="8"/>
      <color rgb="FF00000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5"/>
      <color rgb="FF3634E0"/>
      <name val="Arial"/>
      <family val="2"/>
    </font>
    <font>
      <b/>
      <sz val="21"/>
      <color rgb="FF058FFF"/>
      <name val="Arial"/>
      <family val="2"/>
    </font>
    <font>
      <b/>
      <sz val="17"/>
      <color rgb="FF058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5AA6DB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medium">
        <color rgb="FFD6D2D2"/>
      </left>
      <right style="medium">
        <color rgb="FFD6D2D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D6D2D2"/>
      </left>
      <right style="medium">
        <color rgb="FFD6D2D2"/>
      </right>
      <top/>
      <bottom style="medium">
        <color rgb="FFD6D2D2"/>
      </bottom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D6D2D2"/>
      </left>
      <right/>
      <top style="medium">
        <color rgb="FFD6D2D2"/>
      </top>
      <bottom style="medium">
        <color rgb="FFD6D2D2"/>
      </bottom>
      <diagonal/>
    </border>
    <border>
      <left/>
      <right/>
      <top style="medium">
        <color rgb="FFD6D2D2"/>
      </top>
      <bottom style="medium">
        <color rgb="FFD6D2D2"/>
      </bottom>
      <diagonal/>
    </border>
    <border>
      <left/>
      <right style="medium">
        <color rgb="FFD6D2D2"/>
      </right>
      <top style="medium">
        <color rgb="FFD6D2D2"/>
      </top>
      <bottom style="medium">
        <color rgb="FFD6D2D2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0" fontId="5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/>
    <xf numFmtId="8" fontId="5" fillId="0" borderId="3" xfId="0" applyNumberFormat="1" applyFont="1" applyBorder="1" applyAlignment="1">
      <alignment horizontal="right" vertical="center" wrapText="1"/>
    </xf>
    <xf numFmtId="0" fontId="9" fillId="0" borderId="0" xfId="0" applyFont="1"/>
    <xf numFmtId="164" fontId="3" fillId="2" borderId="2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0" fontId="11" fillId="3" borderId="4" xfId="0" applyFont="1" applyFill="1" applyBorder="1" applyAlignment="1">
      <alignment horizontal="center" vertical="center" wrapText="1"/>
    </xf>
    <xf numFmtId="4" fontId="11" fillId="3" borderId="4" xfId="0" applyNumberFormat="1" applyFont="1" applyFill="1" applyBorder="1" applyAlignment="1">
      <alignment horizontal="center" vertical="center" wrapText="1"/>
    </xf>
    <xf numFmtId="0" fontId="11" fillId="0" borderId="0" xfId="0" applyFont="1"/>
    <xf numFmtId="3" fontId="11" fillId="4" borderId="5" xfId="0" applyNumberFormat="1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 vertical="center" wrapText="1"/>
    </xf>
    <xf numFmtId="44" fontId="2" fillId="0" borderId="8" xfId="0" applyNumberFormat="1" applyFont="1" applyBorder="1" applyAlignment="1">
      <alignment horizontal="center"/>
    </xf>
    <xf numFmtId="44" fontId="2" fillId="5" borderId="8" xfId="0" applyNumberFormat="1" applyFont="1" applyFill="1" applyBorder="1" applyAlignment="1">
      <alignment horizontal="center"/>
    </xf>
    <xf numFmtId="44" fontId="11" fillId="3" borderId="4" xfId="0" applyNumberFormat="1" applyFont="1" applyFill="1" applyBorder="1" applyAlignment="1">
      <alignment horizontal="center" vertical="center" wrapText="1"/>
    </xf>
    <xf numFmtId="44" fontId="11" fillId="4" borderId="5" xfId="0" applyNumberFormat="1" applyFont="1" applyFill="1" applyBorder="1"/>
    <xf numFmtId="44" fontId="10" fillId="0" borderId="8" xfId="0" applyNumberFormat="1" applyFont="1" applyBorder="1" applyAlignment="1">
      <alignment horizontal="center" vertical="center" wrapText="1"/>
    </xf>
    <xf numFmtId="44" fontId="2" fillId="0" borderId="8" xfId="0" applyNumberFormat="1" applyFont="1" applyBorder="1" applyAlignment="1">
      <alignment horizontal="right"/>
    </xf>
    <xf numFmtId="44" fontId="2" fillId="0" borderId="8" xfId="0" applyNumberFormat="1" applyFont="1" applyBorder="1"/>
    <xf numFmtId="44" fontId="10" fillId="5" borderId="8" xfId="0" applyNumberFormat="1" applyFont="1" applyFill="1" applyBorder="1" applyAlignment="1">
      <alignment horizontal="center" vertical="center" wrapText="1"/>
    </xf>
    <xf numFmtId="44" fontId="2" fillId="5" borderId="8" xfId="0" applyNumberFormat="1" applyFont="1" applyFill="1" applyBorder="1" applyAlignment="1">
      <alignment horizontal="right"/>
    </xf>
    <xf numFmtId="44" fontId="2" fillId="5" borderId="8" xfId="0" applyNumberFormat="1" applyFont="1" applyFill="1" applyBorder="1"/>
    <xf numFmtId="2" fontId="10" fillId="0" borderId="8" xfId="0" applyNumberFormat="1" applyFont="1" applyBorder="1" applyAlignment="1">
      <alignment horizontal="center" vertical="center" wrapText="1"/>
    </xf>
    <xf numFmtId="2" fontId="10" fillId="5" borderId="8" xfId="0" applyNumberFormat="1" applyFont="1" applyFill="1" applyBorder="1" applyAlignment="1">
      <alignment horizontal="center" vertical="center" wrapText="1"/>
    </xf>
    <xf numFmtId="2" fontId="11" fillId="3" borderId="6" xfId="0" applyNumberFormat="1" applyFont="1" applyFill="1" applyBorder="1" applyAlignment="1">
      <alignment horizontal="center" vertical="center" wrapText="1"/>
    </xf>
    <xf numFmtId="2" fontId="11" fillId="3" borderId="4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/>
    </xf>
    <xf numFmtId="2" fontId="2" fillId="5" borderId="8" xfId="0" applyNumberFormat="1" applyFont="1" applyFill="1" applyBorder="1" applyAlignment="1">
      <alignment horizontal="center"/>
    </xf>
    <xf numFmtId="44" fontId="5" fillId="0" borderId="3" xfId="0" applyNumberFormat="1" applyFont="1" applyBorder="1" applyAlignment="1">
      <alignment horizontal="right" vertical="center" wrapText="1"/>
    </xf>
    <xf numFmtId="0" fontId="14" fillId="0" borderId="0" xfId="0" applyFont="1"/>
    <xf numFmtId="0" fontId="15" fillId="0" borderId="0" xfId="0" applyFont="1"/>
    <xf numFmtId="0" fontId="12" fillId="0" borderId="15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8" fontId="13" fillId="0" borderId="13" xfId="0" applyNumberFormat="1" applyFont="1" applyBorder="1" applyAlignment="1">
      <alignment wrapText="1"/>
    </xf>
    <xf numFmtId="9" fontId="13" fillId="0" borderId="13" xfId="0" applyNumberFormat="1" applyFont="1" applyBorder="1" applyAlignment="1">
      <alignment wrapText="1"/>
    </xf>
    <xf numFmtId="10" fontId="15" fillId="0" borderId="0" xfId="0" applyNumberFormat="1" applyFont="1"/>
    <xf numFmtId="0" fontId="16" fillId="0" borderId="3" xfId="0" applyFont="1" applyBorder="1" applyAlignment="1">
      <alignment horizontal="left" vertical="center" wrapText="1"/>
    </xf>
    <xf numFmtId="0" fontId="0" fillId="7" borderId="0" xfId="0" applyFill="1"/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7" fillId="0" borderId="17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5" fillId="0" borderId="0" xfId="0" applyFont="1"/>
    <xf numFmtId="0" fontId="15" fillId="0" borderId="16" xfId="0" applyFont="1" applyBorder="1"/>
    <xf numFmtId="0" fontId="14" fillId="0" borderId="0" xfId="0" applyFont="1"/>
    <xf numFmtId="0" fontId="15" fillId="0" borderId="9" xfId="0" applyFont="1" applyBorder="1"/>
    <xf numFmtId="0" fontId="15" fillId="0" borderId="13" xfId="0" applyFont="1" applyBorder="1"/>
    <xf numFmtId="0" fontId="12" fillId="0" borderId="10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15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F6F83-04DF-43FB-BEDD-4A525A4C3820}">
  <dimension ref="A1:V25"/>
  <sheetViews>
    <sheetView tabSelected="1" zoomScale="118" zoomScaleNormal="118" workbookViewId="0">
      <selection activeCell="D24" sqref="D24"/>
    </sheetView>
  </sheetViews>
  <sheetFormatPr defaultRowHeight="14.5" x14ac:dyDescent="0.35"/>
  <cols>
    <col min="1" max="1" width="24.54296875" bestFit="1" customWidth="1"/>
    <col min="2" max="2" width="15.81640625" customWidth="1"/>
    <col min="3" max="3" width="17" customWidth="1"/>
    <col min="4" max="4" width="15.54296875" customWidth="1"/>
    <col min="5" max="5" width="16.453125" style="17" customWidth="1"/>
    <col min="6" max="6" width="12.54296875" bestFit="1" customWidth="1"/>
    <col min="7" max="7" width="14.81640625" customWidth="1"/>
    <col min="8" max="8" width="20.1796875" customWidth="1"/>
    <col min="9" max="9" width="15.54296875" customWidth="1"/>
    <col min="10" max="10" width="17" customWidth="1"/>
    <col min="11" max="11" width="22.90625" customWidth="1"/>
    <col min="12" max="12" width="12.81640625" customWidth="1"/>
    <col min="13" max="13" width="19.54296875" customWidth="1"/>
    <col min="14" max="14" width="10.81640625" customWidth="1"/>
    <col min="15" max="15" width="2" customWidth="1"/>
    <col min="16" max="16" width="20.54296875" customWidth="1"/>
    <col min="17" max="17" width="18.7265625" customWidth="1"/>
    <col min="18" max="18" width="11.54296875" customWidth="1"/>
  </cols>
  <sheetData>
    <row r="1" spans="1:22" ht="27" thickBot="1" x14ac:dyDescent="0.4">
      <c r="A1" s="60" t="s">
        <v>66</v>
      </c>
      <c r="B1" s="64" t="s">
        <v>67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</row>
    <row r="2" spans="1:22" ht="22" customHeight="1" thickBot="1" x14ac:dyDescent="0.4">
      <c r="A2" s="60">
        <v>2024</v>
      </c>
      <c r="B2" s="67" t="s">
        <v>68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9"/>
    </row>
    <row r="3" spans="1:22" s="61" customFormat="1" x14ac:dyDescent="0.35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22" ht="39" x14ac:dyDescent="0.35">
      <c r="A4" s="4" t="s">
        <v>1</v>
      </c>
      <c r="B4" s="4" t="s">
        <v>2</v>
      </c>
      <c r="C4" s="4" t="s">
        <v>3</v>
      </c>
      <c r="D4" s="4" t="s">
        <v>4</v>
      </c>
      <c r="E4" s="1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4"/>
      <c r="P4" s="4" t="s">
        <v>15</v>
      </c>
      <c r="Q4" s="4" t="s">
        <v>16</v>
      </c>
      <c r="R4" s="4" t="s">
        <v>14</v>
      </c>
    </row>
    <row r="5" spans="1:22" x14ac:dyDescent="0.35">
      <c r="A5" s="23" t="s">
        <v>17</v>
      </c>
      <c r="B5" s="24">
        <v>39</v>
      </c>
      <c r="C5" s="29">
        <v>4013.17</v>
      </c>
      <c r="D5" s="33">
        <v>172700.78</v>
      </c>
      <c r="E5" s="33">
        <f>ROUND(0.1*D5,2)</f>
        <v>17270.080000000002</v>
      </c>
      <c r="F5" s="47">
        <v>45</v>
      </c>
      <c r="G5" s="25">
        <f>PV($B$22,F5,-C5)</f>
        <v>70708.575368662321</v>
      </c>
      <c r="H5" s="37">
        <f>ROUND(D5*0.2,2)</f>
        <v>34540.160000000003</v>
      </c>
      <c r="I5" s="37">
        <f>ROUND(D5*0.1,2)</f>
        <v>17270.080000000002</v>
      </c>
      <c r="J5" s="33">
        <f>$B$23*(C5/$C$19)</f>
        <v>87577.281969393982</v>
      </c>
      <c r="K5" s="38">
        <f>D5+H5+I5</f>
        <v>224511.02000000002</v>
      </c>
      <c r="L5" s="39">
        <f>IF(ISERROR(K5/G5),0,K5/G5)</f>
        <v>3.1751597147791237</v>
      </c>
      <c r="M5" s="37">
        <f>IFERROR((K5+J5)/G5,0)</f>
        <v>4.4137263456690983</v>
      </c>
      <c r="N5" s="43">
        <f>IF(B5=0,0,(VLOOKUP($F5,'APP 2885'!B10:G51,6)*$C5)/($K5+$J5))</f>
        <v>1.1155256230467165</v>
      </c>
      <c r="O5" s="30"/>
      <c r="P5" s="37">
        <f>IF(ISERROR((D5-E5)/G5),0,(D5-E5)/G5)</f>
        <v>2.1981874078159707</v>
      </c>
      <c r="Q5" s="37">
        <f>IF(B5=0,0,((D5-E5+J5)/G5))</f>
        <v>3.4367540387059456</v>
      </c>
      <c r="R5" s="43">
        <f>IF(B5=0,0,(VLOOKUP($F5,'APP 2885'!B10:G51,4)*$C5)/($D5-$E5+$J5))</f>
        <v>1.3025033800735997</v>
      </c>
    </row>
    <row r="6" spans="1:22" x14ac:dyDescent="0.35">
      <c r="A6" s="26" t="s">
        <v>18</v>
      </c>
      <c r="B6" s="27">
        <v>20</v>
      </c>
      <c r="C6" s="31">
        <v>1543.05</v>
      </c>
      <c r="D6" s="34">
        <v>77536.7</v>
      </c>
      <c r="E6" s="34">
        <f t="shared" ref="E6:E18" si="0">ROUND(0.1*D6,2)</f>
        <v>7753.67</v>
      </c>
      <c r="F6" s="48">
        <v>45</v>
      </c>
      <c r="G6" s="28">
        <f t="shared" ref="G6:G18" si="1">PV($B$22,F6,-C6)</f>
        <v>27187.202939973737</v>
      </c>
      <c r="H6" s="40">
        <f t="shared" ref="H6:H18" si="2">ROUND(D6*0.2,2)</f>
        <v>15507.34</v>
      </c>
      <c r="I6" s="40">
        <f t="shared" ref="I6:I18" si="3">ROUND(D6*0.1,2)</f>
        <v>7753.67</v>
      </c>
      <c r="J6" s="34">
        <f t="shared" ref="J6:J18" si="4">$B$23*(C6/$C$19)</f>
        <v>33673.162348685299</v>
      </c>
      <c r="K6" s="41">
        <f t="shared" ref="K6:K18" si="5">D6+H6+I6</f>
        <v>100797.70999999999</v>
      </c>
      <c r="L6" s="42">
        <f t="shared" ref="L6:L18" si="6">IF(ISERROR(K6/G6),0,K6/G6)</f>
        <v>3.7075424869027502</v>
      </c>
      <c r="M6" s="40">
        <f t="shared" ref="M6:M18" si="7">IFERROR((K6+J6)/G6,0)</f>
        <v>4.9461091177927248</v>
      </c>
      <c r="N6" s="44">
        <f>IF(B6=0,0,(VLOOKUP($F6,'APP 2885'!B10:G51,6)*$C6)/($K6+$J6))</f>
        <v>0.99545414677536848</v>
      </c>
      <c r="O6" s="32"/>
      <c r="P6" s="40">
        <f t="shared" ref="P6:P18" si="8">IF(ISERROR((D6-E6)/G6),0,(D6-E6)/G6)</f>
        <v>2.5667601832403659</v>
      </c>
      <c r="Q6" s="40">
        <f t="shared" ref="Q6:Q18" si="9">IF(B6=0,0,((D6-E6+J6)/G6))</f>
        <v>3.8053268141303405</v>
      </c>
      <c r="R6" s="44">
        <f>IF(B6=0,0,(VLOOKUP($F6,'APP 2885'!B10:G51,4)*$C6)/($D6-$E6+$J6))</f>
        <v>1.1763467293463228</v>
      </c>
    </row>
    <row r="7" spans="1:22" x14ac:dyDescent="0.35">
      <c r="A7" s="23" t="s">
        <v>19</v>
      </c>
      <c r="B7" s="24">
        <v>37</v>
      </c>
      <c r="C7" s="29">
        <v>2085.88</v>
      </c>
      <c r="D7" s="33">
        <v>180460.7</v>
      </c>
      <c r="E7" s="33">
        <f t="shared" si="0"/>
        <v>18046.07</v>
      </c>
      <c r="F7" s="47">
        <v>45</v>
      </c>
      <c r="G7" s="25">
        <f t="shared" si="1"/>
        <v>36751.396823455121</v>
      </c>
      <c r="H7" s="37">
        <f t="shared" si="2"/>
        <v>36092.14</v>
      </c>
      <c r="I7" s="37">
        <f t="shared" si="3"/>
        <v>18046.07</v>
      </c>
      <c r="J7" s="33">
        <f t="shared" si="4"/>
        <v>45519.053744127341</v>
      </c>
      <c r="K7" s="38">
        <f t="shared" si="5"/>
        <v>234598.91000000003</v>
      </c>
      <c r="L7" s="39">
        <f t="shared" si="6"/>
        <v>6.3834011840953098</v>
      </c>
      <c r="M7" s="37">
        <f t="shared" si="7"/>
        <v>7.6219678149852852</v>
      </c>
      <c r="N7" s="43">
        <f>IF(B7=0,0,(VLOOKUP($F7,'APP 2885'!B10:G51,6)*$C7)/($K7+$J7))</f>
        <v>0.64597817141526892</v>
      </c>
      <c r="O7" s="30"/>
      <c r="P7" s="37">
        <f t="shared" si="8"/>
        <v>4.4192777428352139</v>
      </c>
      <c r="Q7" s="37">
        <f t="shared" si="9"/>
        <v>5.6578443737251893</v>
      </c>
      <c r="R7" s="43">
        <f>IF(B7=0,0,(VLOOKUP($F7,'APP 2885'!B10:G51,4)*$C7)/($D7-$E7+$J7))</f>
        <v>0.79118184527737134</v>
      </c>
    </row>
    <row r="8" spans="1:22" x14ac:dyDescent="0.35">
      <c r="A8" s="26" t="s">
        <v>20</v>
      </c>
      <c r="B8" s="27">
        <v>28</v>
      </c>
      <c r="C8" s="27">
        <v>701.69</v>
      </c>
      <c r="D8" s="34">
        <v>67567.399999999994</v>
      </c>
      <c r="E8" s="34">
        <f t="shared" si="0"/>
        <v>6756.74</v>
      </c>
      <c r="F8" s="48">
        <v>13</v>
      </c>
      <c r="G8" s="28">
        <f t="shared" si="1"/>
        <v>6567.6307213390683</v>
      </c>
      <c r="H8" s="40">
        <f t="shared" si="2"/>
        <v>13513.48</v>
      </c>
      <c r="I8" s="40">
        <f t="shared" si="3"/>
        <v>6756.74</v>
      </c>
      <c r="J8" s="34">
        <f t="shared" si="4"/>
        <v>15312.6089812054</v>
      </c>
      <c r="K8" s="41">
        <f t="shared" si="5"/>
        <v>87837.62</v>
      </c>
      <c r="L8" s="42">
        <f t="shared" si="6"/>
        <v>13.374323820400619</v>
      </c>
      <c r="M8" s="40">
        <f t="shared" si="7"/>
        <v>15.705850916078026</v>
      </c>
      <c r="N8" s="44">
        <f>IF(B8=0,0,(VLOOKUP($F8,'APP 2885'!B10:G51,6)*$C8)/($K8+$J8))</f>
        <v>0.12047408932329431</v>
      </c>
      <c r="O8" s="32"/>
      <c r="P8" s="40">
        <f t="shared" si="8"/>
        <v>9.2591472602773504</v>
      </c>
      <c r="Q8" s="40">
        <f t="shared" si="9"/>
        <v>11.590674355954761</v>
      </c>
      <c r="R8" s="44">
        <f>IF(B8=0,0,(VLOOKUP($F8,'APP 2885'!B10:G51,4)*$C8)/($D8-$E8+$J8))</f>
        <v>0.14840677694476373</v>
      </c>
    </row>
    <row r="9" spans="1:22" x14ac:dyDescent="0.35">
      <c r="A9" s="23" t="s">
        <v>21</v>
      </c>
      <c r="B9" s="24">
        <v>6</v>
      </c>
      <c r="C9" s="24">
        <v>38.4</v>
      </c>
      <c r="D9" s="33">
        <v>1402.75</v>
      </c>
      <c r="E9" s="33">
        <f t="shared" si="0"/>
        <v>140.28</v>
      </c>
      <c r="F9" s="47">
        <v>13</v>
      </c>
      <c r="G9" s="25">
        <f t="shared" si="1"/>
        <v>359.41372928133535</v>
      </c>
      <c r="H9" s="37">
        <f t="shared" si="2"/>
        <v>280.55</v>
      </c>
      <c r="I9" s="37">
        <f t="shared" si="3"/>
        <v>140.28</v>
      </c>
      <c r="J9" s="33">
        <f t="shared" si="4"/>
        <v>837.98284837789799</v>
      </c>
      <c r="K9" s="38">
        <f t="shared" si="5"/>
        <v>1823.58</v>
      </c>
      <c r="L9" s="39">
        <f t="shared" si="6"/>
        <v>5.0737627737436011</v>
      </c>
      <c r="M9" s="37">
        <f t="shared" si="7"/>
        <v>7.4052898694210096</v>
      </c>
      <c r="N9" s="43">
        <f>IF(B9=0,0,(VLOOKUP($F9,'APP 2885'!B10:G51,6)*$C9)/($K9+$J9))</f>
        <v>0.2555130345370083</v>
      </c>
      <c r="O9" s="30"/>
      <c r="P9" s="37">
        <f t="shared" si="8"/>
        <v>3.5125814545937577</v>
      </c>
      <c r="Q9" s="37">
        <f t="shared" si="9"/>
        <v>5.8441085502711658</v>
      </c>
      <c r="R9" s="43">
        <f>IF(B9=0,0,(VLOOKUP($F9,'APP 2885'!B10:G51,4)*$C9)/($D9-$E9+$J9))</f>
        <v>0.29433652865735305</v>
      </c>
    </row>
    <row r="10" spans="1:22" x14ac:dyDescent="0.35">
      <c r="A10" s="26" t="s">
        <v>22</v>
      </c>
      <c r="B10" s="27">
        <v>6</v>
      </c>
      <c r="C10" s="27">
        <v>126</v>
      </c>
      <c r="D10" s="34">
        <v>2406.0700000000002</v>
      </c>
      <c r="E10" s="34">
        <f t="shared" si="0"/>
        <v>240.61</v>
      </c>
      <c r="F10" s="48">
        <v>18</v>
      </c>
      <c r="G10" s="28">
        <f t="shared" si="1"/>
        <v>1466.0079049965202</v>
      </c>
      <c r="H10" s="40">
        <f t="shared" si="2"/>
        <v>481.21</v>
      </c>
      <c r="I10" s="40">
        <f t="shared" si="3"/>
        <v>240.61</v>
      </c>
      <c r="J10" s="34">
        <f t="shared" si="4"/>
        <v>2749.631221239978</v>
      </c>
      <c r="K10" s="41">
        <f t="shared" si="5"/>
        <v>3127.8900000000003</v>
      </c>
      <c r="L10" s="42">
        <f t="shared" si="6"/>
        <v>2.1336105960543406</v>
      </c>
      <c r="M10" s="40">
        <f t="shared" si="7"/>
        <v>4.0092015883460936</v>
      </c>
      <c r="N10" s="44">
        <f>IF(B10=0,0,(VLOOKUP($F10,'APP 2885'!B10:G51,6)*$C10)/($K10+$J10))</f>
        <v>0.53229582373842366</v>
      </c>
      <c r="O10" s="32"/>
      <c r="P10" s="40">
        <f t="shared" si="8"/>
        <v>1.4771134539040156</v>
      </c>
      <c r="Q10" s="40">
        <f t="shared" si="9"/>
        <v>3.3527044461957693</v>
      </c>
      <c r="R10" s="44">
        <f>IF(B10=0,0,(VLOOKUP($F10,'APP 2885'!B10:G51,4)*$C10)/($D10-$E10+$J10))</f>
        <v>0.57884581830451642</v>
      </c>
    </row>
    <row r="11" spans="1:22" x14ac:dyDescent="0.35">
      <c r="A11" s="23" t="s">
        <v>23</v>
      </c>
      <c r="B11" s="24">
        <v>29</v>
      </c>
      <c r="C11" s="29">
        <v>2233</v>
      </c>
      <c r="D11" s="33">
        <v>33209.07</v>
      </c>
      <c r="E11" s="33">
        <f t="shared" si="0"/>
        <v>3320.91</v>
      </c>
      <c r="F11" s="47">
        <v>18</v>
      </c>
      <c r="G11" s="25">
        <f t="shared" si="1"/>
        <v>25980.917871882775</v>
      </c>
      <c r="H11" s="37">
        <f t="shared" si="2"/>
        <v>6641.81</v>
      </c>
      <c r="I11" s="37">
        <f t="shared" si="3"/>
        <v>3320.91</v>
      </c>
      <c r="J11" s="33">
        <f t="shared" si="4"/>
        <v>48729.575531975155</v>
      </c>
      <c r="K11" s="38">
        <f t="shared" si="5"/>
        <v>43171.789999999994</v>
      </c>
      <c r="L11" s="39">
        <f t="shared" si="6"/>
        <v>1.6616730098947592</v>
      </c>
      <c r="M11" s="37">
        <f t="shared" si="7"/>
        <v>3.5372640021865118</v>
      </c>
      <c r="N11" s="43">
        <f>IF(B11=0,0,(VLOOKUP($F11,'APP 2885'!B10:G51,6)*$C11)/($K11+$J11))</f>
        <v>0.60331410397497243</v>
      </c>
      <c r="O11" s="30"/>
      <c r="P11" s="37">
        <f t="shared" si="8"/>
        <v>1.1503889180276323</v>
      </c>
      <c r="Q11" s="37">
        <f t="shared" si="9"/>
        <v>3.0259799103193852</v>
      </c>
      <c r="R11" s="43">
        <f>IF(B11=0,0,(VLOOKUP($F11,'APP 2885'!B10:G51,4)*$C11)/($D11-$E11+$J11))</f>
        <v>0.64134561570388748</v>
      </c>
    </row>
    <row r="12" spans="1:22" x14ac:dyDescent="0.35">
      <c r="A12" s="26" t="s">
        <v>24</v>
      </c>
      <c r="B12" s="27">
        <v>44</v>
      </c>
      <c r="C12" s="27">
        <v>572</v>
      </c>
      <c r="D12" s="34">
        <v>159789.32999999999</v>
      </c>
      <c r="E12" s="34">
        <f t="shared" si="0"/>
        <v>15978.93</v>
      </c>
      <c r="F12" s="48">
        <v>10</v>
      </c>
      <c r="G12" s="28">
        <f t="shared" si="1"/>
        <v>4403.9910309315619</v>
      </c>
      <c r="H12" s="40">
        <f t="shared" si="2"/>
        <v>31957.87</v>
      </c>
      <c r="I12" s="40">
        <f t="shared" si="3"/>
        <v>15978.93</v>
      </c>
      <c r="J12" s="34">
        <f t="shared" si="4"/>
        <v>12482.452845629105</v>
      </c>
      <c r="K12" s="41">
        <f t="shared" si="5"/>
        <v>207726.12999999998</v>
      </c>
      <c r="L12" s="42">
        <f t="shared" si="6"/>
        <v>47.167700510975003</v>
      </c>
      <c r="M12" s="40">
        <f t="shared" si="7"/>
        <v>50.002050707866466</v>
      </c>
      <c r="N12" s="44">
        <f>IF(B12=0,0,(VLOOKUP($F12,'APP 2885'!B10:G51,6)*$C12)/($K12+$J12))</f>
        <v>3.5897965001398704E-2</v>
      </c>
      <c r="O12" s="32"/>
      <c r="P12" s="40">
        <f t="shared" si="8"/>
        <v>32.6545624162137</v>
      </c>
      <c r="Q12" s="40">
        <f t="shared" si="9"/>
        <v>35.488912613105157</v>
      </c>
      <c r="R12" s="44">
        <f>IF(B12=0,0,(VLOOKUP($F12,'APP 2885'!B10:G51,4)*$C12)/($D12-$E12+$J12))</f>
        <v>4.5967041161478921E-2</v>
      </c>
    </row>
    <row r="13" spans="1:22" x14ac:dyDescent="0.35">
      <c r="A13" s="23" t="s">
        <v>25</v>
      </c>
      <c r="B13" s="24">
        <v>21</v>
      </c>
      <c r="C13" s="29">
        <v>2331</v>
      </c>
      <c r="D13" s="33">
        <v>181382.9</v>
      </c>
      <c r="E13" s="33">
        <f t="shared" si="0"/>
        <v>18138.29</v>
      </c>
      <c r="F13" s="47">
        <v>45</v>
      </c>
      <c r="G13" s="25">
        <f t="shared" si="1"/>
        <v>41070.198666976947</v>
      </c>
      <c r="H13" s="37">
        <f t="shared" si="2"/>
        <v>36276.58</v>
      </c>
      <c r="I13" s="37">
        <f t="shared" si="3"/>
        <v>18138.29</v>
      </c>
      <c r="J13" s="33">
        <f t="shared" si="4"/>
        <v>50868.177592939588</v>
      </c>
      <c r="K13" s="38">
        <f t="shared" si="5"/>
        <v>235797.77</v>
      </c>
      <c r="L13" s="39">
        <f t="shared" si="6"/>
        <v>5.7413350227983289</v>
      </c>
      <c r="M13" s="37">
        <f t="shared" si="7"/>
        <v>6.9799016536883052</v>
      </c>
      <c r="N13" s="43">
        <f>IF(B13=0,0,(VLOOKUP($F13,'APP 2885'!B10:G51,6)*$C13)/($K13+$J13))</f>
        <v>0.70540031593546837</v>
      </c>
      <c r="O13" s="30"/>
      <c r="P13" s="37">
        <f t="shared" si="8"/>
        <v>3.9747704003988429</v>
      </c>
      <c r="Q13" s="37">
        <f t="shared" si="9"/>
        <v>5.2133370312888179</v>
      </c>
      <c r="R13" s="43">
        <f>IF(B13=0,0,(VLOOKUP($F13,'APP 2885'!B10:G51,4)*$C13)/($D13-$E13+$J13))</f>
        <v>0.85864077557814378</v>
      </c>
    </row>
    <row r="14" spans="1:22" x14ac:dyDescent="0.35">
      <c r="A14" s="26" t="s">
        <v>26</v>
      </c>
      <c r="B14" s="27">
        <v>0</v>
      </c>
      <c r="C14" s="27">
        <v>0</v>
      </c>
      <c r="D14" s="34">
        <v>0</v>
      </c>
      <c r="E14" s="34">
        <f t="shared" si="0"/>
        <v>0</v>
      </c>
      <c r="F14" s="48">
        <v>18</v>
      </c>
      <c r="G14" s="28">
        <f t="shared" si="1"/>
        <v>0</v>
      </c>
      <c r="H14" s="40">
        <f t="shared" si="2"/>
        <v>0</v>
      </c>
      <c r="I14" s="40">
        <f t="shared" si="3"/>
        <v>0</v>
      </c>
      <c r="J14" s="34">
        <f t="shared" si="4"/>
        <v>0</v>
      </c>
      <c r="K14" s="41">
        <f t="shared" si="5"/>
        <v>0</v>
      </c>
      <c r="L14" s="42">
        <f t="shared" si="6"/>
        <v>0</v>
      </c>
      <c r="M14" s="40">
        <f t="shared" si="7"/>
        <v>0</v>
      </c>
      <c r="N14" s="44">
        <f>IF(B14=0,0,(VLOOKUP($F14,'APP 2885'!B10:G51,6)*$C14)/($K14+$J14))</f>
        <v>0</v>
      </c>
      <c r="O14" s="32"/>
      <c r="P14" s="40">
        <f t="shared" si="8"/>
        <v>0</v>
      </c>
      <c r="Q14" s="40">
        <f t="shared" si="9"/>
        <v>0</v>
      </c>
      <c r="R14" s="44">
        <f>IF(B14=0,0,(VLOOKUP($F14,'APP 2885'!B10:G51,4)*$C14)/($D14-$E14+$J14))</f>
        <v>0</v>
      </c>
    </row>
    <row r="15" spans="1:22" x14ac:dyDescent="0.35">
      <c r="A15" s="23" t="s">
        <v>27</v>
      </c>
      <c r="B15" s="24">
        <v>5</v>
      </c>
      <c r="C15" s="24">
        <v>35</v>
      </c>
      <c r="D15" s="33">
        <v>57.71</v>
      </c>
      <c r="E15" s="33">
        <f t="shared" si="0"/>
        <v>5.77</v>
      </c>
      <c r="F15" s="47">
        <v>20</v>
      </c>
      <c r="G15" s="25">
        <f t="shared" si="1"/>
        <v>433.9668603922222</v>
      </c>
      <c r="H15" s="37">
        <f t="shared" si="2"/>
        <v>11.54</v>
      </c>
      <c r="I15" s="37">
        <f t="shared" si="3"/>
        <v>5.77</v>
      </c>
      <c r="J15" s="33">
        <f t="shared" si="4"/>
        <v>763.78645034443821</v>
      </c>
      <c r="K15" s="38">
        <f t="shared" si="5"/>
        <v>75.02</v>
      </c>
      <c r="L15" s="39">
        <f t="shared" si="6"/>
        <v>0.17287034298470719</v>
      </c>
      <c r="M15" s="37">
        <f t="shared" si="7"/>
        <v>1.9328813485580885</v>
      </c>
      <c r="N15" s="43">
        <f>IF(B15=0,0,(VLOOKUP($F15,'APP 2885'!B10:G51,6)*$C15)/($K15+$J15))</f>
        <v>1.6394127625453088</v>
      </c>
      <c r="O15" s="30"/>
      <c r="P15" s="37">
        <f t="shared" si="8"/>
        <v>0.11968655844609026</v>
      </c>
      <c r="Q15" s="37">
        <f t="shared" si="9"/>
        <v>1.8796975640194717</v>
      </c>
      <c r="R15" s="43">
        <f>IF(B15=0,0,(VLOOKUP($F15,'APP 2885'!B10:G51,4)*$C15)/($D15-$E15+$J15))</f>
        <v>1.5326216275959992</v>
      </c>
    </row>
    <row r="16" spans="1:22" x14ac:dyDescent="0.35">
      <c r="A16" s="26" t="s">
        <v>28</v>
      </c>
      <c r="B16" s="27">
        <v>0</v>
      </c>
      <c r="C16" s="27">
        <v>0</v>
      </c>
      <c r="D16" s="34">
        <v>0</v>
      </c>
      <c r="E16" s="34">
        <f t="shared" si="0"/>
        <v>0</v>
      </c>
      <c r="F16" s="48">
        <v>10</v>
      </c>
      <c r="G16" s="28">
        <f t="shared" si="1"/>
        <v>0</v>
      </c>
      <c r="H16" s="40">
        <f t="shared" si="2"/>
        <v>0</v>
      </c>
      <c r="I16" s="40">
        <f t="shared" si="3"/>
        <v>0</v>
      </c>
      <c r="J16" s="34">
        <f t="shared" si="4"/>
        <v>0</v>
      </c>
      <c r="K16" s="41">
        <f t="shared" si="5"/>
        <v>0</v>
      </c>
      <c r="L16" s="42">
        <f t="shared" si="6"/>
        <v>0</v>
      </c>
      <c r="M16" s="40">
        <f t="shared" si="7"/>
        <v>0</v>
      </c>
      <c r="N16" s="44">
        <f>IF(B16=0,0,(VLOOKUP($F16,'APP 2885'!B10:G51,6)*$C16)/($K16+$J16))</f>
        <v>0</v>
      </c>
      <c r="O16" s="32"/>
      <c r="P16" s="40">
        <f t="shared" si="8"/>
        <v>0</v>
      </c>
      <c r="Q16" s="40">
        <f t="shared" si="9"/>
        <v>0</v>
      </c>
      <c r="R16" s="44">
        <f>IF(B16=0,0,(VLOOKUP($F16,'APP 2885'!B10:G51,4)*$C16)/($D16-$E16+$J16))</f>
        <v>0</v>
      </c>
    </row>
    <row r="17" spans="1:18" x14ac:dyDescent="0.35">
      <c r="A17" s="23" t="s">
        <v>29</v>
      </c>
      <c r="B17" s="24">
        <v>9</v>
      </c>
      <c r="C17" s="24">
        <v>486</v>
      </c>
      <c r="D17" s="33">
        <v>60342.400000000001</v>
      </c>
      <c r="E17" s="33">
        <f t="shared" si="0"/>
        <v>6034.24</v>
      </c>
      <c r="F17" s="47">
        <v>10</v>
      </c>
      <c r="G17" s="25">
        <f t="shared" si="1"/>
        <v>3741.8525192880056</v>
      </c>
      <c r="H17" s="37">
        <f t="shared" si="2"/>
        <v>12068.48</v>
      </c>
      <c r="I17" s="37">
        <f t="shared" si="3"/>
        <v>6034.24</v>
      </c>
      <c r="J17" s="33">
        <f t="shared" si="4"/>
        <v>10605.720424782772</v>
      </c>
      <c r="K17" s="38">
        <f t="shared" si="5"/>
        <v>78445.12000000001</v>
      </c>
      <c r="L17" s="39">
        <f t="shared" si="6"/>
        <v>20.964246879223992</v>
      </c>
      <c r="M17" s="37">
        <f t="shared" si="7"/>
        <v>23.798597076115456</v>
      </c>
      <c r="N17" s="43">
        <f>IF(B17=0,0,(VLOOKUP($F17,'APP 2885'!B10:G51,6)*$C17)/($K17+$J17))</f>
        <v>7.5423431917783432E-2</v>
      </c>
      <c r="O17" s="30"/>
      <c r="P17" s="37">
        <f t="shared" si="8"/>
        <v>14.513709377924302</v>
      </c>
      <c r="Q17" s="37">
        <f t="shared" si="9"/>
        <v>17.348059574815764</v>
      </c>
      <c r="R17" s="43">
        <f>IF(B17=0,0,(VLOOKUP($F17,'APP 2885'!B10:G51,4)*$C17)/($D17-$E17+$J17))</f>
        <v>9.4034742031375435E-2</v>
      </c>
    </row>
    <row r="18" spans="1:18" x14ac:dyDescent="0.35">
      <c r="A18" s="26" t="s">
        <v>30</v>
      </c>
      <c r="B18" s="27">
        <v>4</v>
      </c>
      <c r="C18" s="27">
        <v>132</v>
      </c>
      <c r="D18" s="34">
        <v>12756.81</v>
      </c>
      <c r="E18" s="34">
        <f t="shared" si="0"/>
        <v>1275.68</v>
      </c>
      <c r="F18" s="48">
        <v>16</v>
      </c>
      <c r="G18" s="28">
        <f t="shared" si="1"/>
        <v>1424.4956135999864</v>
      </c>
      <c r="H18" s="40">
        <f t="shared" si="2"/>
        <v>2551.36</v>
      </c>
      <c r="I18" s="40">
        <f t="shared" si="3"/>
        <v>1275.68</v>
      </c>
      <c r="J18" s="34">
        <f t="shared" si="4"/>
        <v>2880.5660412990246</v>
      </c>
      <c r="K18" s="41">
        <f t="shared" si="5"/>
        <v>16583.849999999999</v>
      </c>
      <c r="L18" s="42">
        <f t="shared" si="6"/>
        <v>11.641910190294851</v>
      </c>
      <c r="M18" s="40">
        <f t="shared" si="7"/>
        <v>13.664075800211512</v>
      </c>
      <c r="N18" s="44">
        <f>IF(B18=0,0,(VLOOKUP($F18,'APP 2885'!B10:G51,6)*$C18)/($K18+$J18))</f>
        <v>0.14960222766619732</v>
      </c>
      <c r="O18" s="32"/>
      <c r="P18" s="40">
        <f t="shared" si="8"/>
        <v>8.0597861379052471</v>
      </c>
      <c r="Q18" s="40">
        <f t="shared" si="9"/>
        <v>10.081951747821908</v>
      </c>
      <c r="R18" s="44">
        <f>IF(B18=0,0,(VLOOKUP($F18,'APP 2885'!B10:G51,4)*$C18)/($D18-$E18+$J18))</f>
        <v>0.18437376702483768</v>
      </c>
    </row>
    <row r="19" spans="1:18" s="20" customFormat="1" thickBot="1" x14ac:dyDescent="0.35">
      <c r="A19" s="18" t="s">
        <v>31</v>
      </c>
      <c r="B19" s="18">
        <f>SUM(B5:B18)</f>
        <v>248</v>
      </c>
      <c r="C19" s="19">
        <f>SUM(C5:C18)</f>
        <v>14297.19</v>
      </c>
      <c r="D19" s="35">
        <f>SUM(D5:D18)</f>
        <v>949612.62</v>
      </c>
      <c r="E19" s="36">
        <f>SUM(E5:E18)</f>
        <v>94961.270000000019</v>
      </c>
      <c r="F19" s="46">
        <f>SUMPRODUCT(C5:C18,F5:F18)/SUM(C5:C18)</f>
        <v>35.969632494217393</v>
      </c>
      <c r="G19" s="21">
        <f>SUM(G5:G18)</f>
        <v>220095.6500507796</v>
      </c>
      <c r="H19" s="35">
        <f>SUM(H5:H18)</f>
        <v>189922.52000000002</v>
      </c>
      <c r="I19" s="35">
        <f>SUM(I5:I18)</f>
        <v>94961.270000000019</v>
      </c>
      <c r="J19" s="35">
        <f>B23</f>
        <v>312000</v>
      </c>
      <c r="K19" s="35">
        <f>SUM(K5:K18)</f>
        <v>1234496.4100000001</v>
      </c>
      <c r="L19" s="35">
        <f>K19/G19</f>
        <v>5.6089087163475604</v>
      </c>
      <c r="M19" s="35">
        <f>(K19+J19)/G19</f>
        <v>7.026474215384078</v>
      </c>
      <c r="N19" s="45">
        <f>IF(B19=0,0,(VLOOKUP($F19,'APP 2885'!B10:G51,6)*$C19)/($K19+$J19))</f>
        <v>0.62680357725499014</v>
      </c>
      <c r="O19" s="18"/>
      <c r="P19" s="35">
        <f>D19/G19</f>
        <v>4.3145451524412639</v>
      </c>
      <c r="Q19" s="35">
        <f>(D19+J19)/G19</f>
        <v>5.7321106514777815</v>
      </c>
      <c r="R19" s="46">
        <f>IF(B19=0,0,(VLOOKUP($F19,'APP 2885'!B10:G51,4)*$C19)/($D19-$E19+$J19))</f>
        <v>0.75539173858582509</v>
      </c>
    </row>
    <row r="20" spans="1:18" ht="15" thickBot="1" x14ac:dyDescent="0.4">
      <c r="A20" s="5" t="s">
        <v>32</v>
      </c>
      <c r="B20" s="6">
        <v>5.0599999999999999E-2</v>
      </c>
      <c r="C20" s="3"/>
      <c r="D20" s="3"/>
      <c r="E20" s="15"/>
      <c r="F20" s="3"/>
      <c r="G20" s="3"/>
      <c r="H20" s="3"/>
      <c r="I20" s="3"/>
      <c r="J20" s="1"/>
      <c r="K20" s="2"/>
      <c r="L20" s="2"/>
      <c r="M20" s="7"/>
      <c r="N20" s="2"/>
      <c r="O20" s="7"/>
      <c r="P20" s="7"/>
      <c r="Q20" s="2"/>
      <c r="R20" s="2"/>
    </row>
    <row r="21" spans="1:18" ht="16" thickBot="1" x14ac:dyDescent="0.4">
      <c r="A21" s="5" t="s">
        <v>33</v>
      </c>
      <c r="B21" s="6">
        <v>0.02</v>
      </c>
      <c r="C21" s="8"/>
      <c r="D21" s="8"/>
      <c r="E21" s="16"/>
      <c r="F21" s="8"/>
      <c r="G21" s="8"/>
      <c r="H21" s="8"/>
      <c r="I21" s="8"/>
      <c r="J21" s="9"/>
      <c r="K21" s="10"/>
      <c r="L21" s="10"/>
      <c r="M21" s="7"/>
      <c r="N21" s="2"/>
      <c r="O21" s="7"/>
      <c r="P21" s="7"/>
      <c r="Q21" s="2"/>
      <c r="R21" s="2"/>
    </row>
    <row r="22" spans="1:18" ht="15.5" x14ac:dyDescent="0.35">
      <c r="A22" s="5" t="s">
        <v>34</v>
      </c>
      <c r="B22" s="6">
        <v>5.0599999999999999E-2</v>
      </c>
      <c r="C22" s="11"/>
      <c r="D22" s="11"/>
      <c r="E22" s="15"/>
      <c r="F22" s="11"/>
      <c r="G22" s="11"/>
      <c r="H22" s="11"/>
      <c r="I22" s="11"/>
      <c r="J22" s="11"/>
      <c r="K22" s="10"/>
      <c r="L22" s="10"/>
      <c r="M22" s="7"/>
      <c r="N22" s="2"/>
      <c r="O22" s="7"/>
      <c r="P22" s="7"/>
      <c r="Q22" s="2"/>
      <c r="R22" s="2"/>
    </row>
    <row r="23" spans="1:18" x14ac:dyDescent="0.35">
      <c r="A23" s="5" t="s">
        <v>35</v>
      </c>
      <c r="B23" s="12">
        <v>312000</v>
      </c>
      <c r="C23" s="2"/>
      <c r="D23" s="13"/>
      <c r="E23" s="15"/>
      <c r="F23" s="2"/>
      <c r="G23" s="2"/>
      <c r="H23" s="2"/>
      <c r="I23" s="2"/>
      <c r="J23" s="7"/>
      <c r="K23" s="2"/>
      <c r="L23" s="2"/>
      <c r="M23" s="7"/>
      <c r="N23" s="2"/>
      <c r="O23" s="7"/>
      <c r="P23" s="7"/>
      <c r="Q23" s="2"/>
      <c r="R23" s="2"/>
    </row>
    <row r="24" spans="1:18" ht="28" x14ac:dyDescent="0.35">
      <c r="A24" s="5" t="s">
        <v>36</v>
      </c>
      <c r="B24" s="49">
        <f>H19</f>
        <v>189922.52000000002</v>
      </c>
      <c r="C24" s="2"/>
      <c r="D24" s="7"/>
      <c r="E24" s="15"/>
      <c r="F24" s="2"/>
      <c r="G24" s="2"/>
      <c r="H24" s="7"/>
      <c r="I24" s="7"/>
      <c r="J24" s="2"/>
      <c r="K24" s="2"/>
      <c r="L24" s="7"/>
      <c r="M24" s="2"/>
      <c r="N24" s="7"/>
      <c r="O24" s="7"/>
      <c r="P24" s="2"/>
      <c r="Q24" s="2"/>
      <c r="R24" s="2"/>
    </row>
    <row r="25" spans="1:18" ht="15" thickBot="1" x14ac:dyDescent="0.4">
      <c r="A25" s="5" t="s">
        <v>37</v>
      </c>
      <c r="B25" s="49">
        <f>I19</f>
        <v>94961.270000000019</v>
      </c>
      <c r="C25" s="2"/>
      <c r="D25" s="7"/>
      <c r="E25" s="15"/>
      <c r="F25" s="2"/>
      <c r="G25" s="22"/>
      <c r="H25" s="7"/>
      <c r="I25" s="7"/>
      <c r="J25" s="2"/>
      <c r="K25" s="2"/>
      <c r="L25" s="7"/>
      <c r="M25" s="2"/>
      <c r="N25" s="7"/>
      <c r="O25" s="7"/>
      <c r="P25" s="2"/>
      <c r="Q25" s="2"/>
      <c r="R25" s="2"/>
    </row>
  </sheetData>
  <mergeCells count="3">
    <mergeCell ref="A3:R3"/>
    <mergeCell ref="B1:V1"/>
    <mergeCell ref="B2:V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50747-3F7D-45ED-AC17-5C6FA233126A}">
  <dimension ref="A1:I64"/>
  <sheetViews>
    <sheetView workbookViewId="0">
      <selection activeCell="J10" sqref="J10"/>
    </sheetView>
  </sheetViews>
  <sheetFormatPr defaultRowHeight="14.5" x14ac:dyDescent="0.35"/>
  <cols>
    <col min="3" max="3" width="19.7265625" bestFit="1" customWidth="1"/>
    <col min="6" max="6" width="15.81640625" bestFit="1" customWidth="1"/>
  </cols>
  <sheetData>
    <row r="1" spans="1:9" ht="48.75" customHeight="1" x14ac:dyDescent="0.35">
      <c r="A1" s="72" t="s">
        <v>0</v>
      </c>
      <c r="B1" s="72"/>
      <c r="C1" s="72"/>
      <c r="D1" s="72"/>
      <c r="E1" s="72"/>
      <c r="F1" s="72"/>
      <c r="G1" s="72"/>
      <c r="H1" s="72"/>
      <c r="I1" s="50"/>
    </row>
    <row r="2" spans="1:9" x14ac:dyDescent="0.35">
      <c r="A2" s="72" t="s">
        <v>38</v>
      </c>
      <c r="B2" s="72"/>
      <c r="C2" s="72"/>
      <c r="D2" s="72"/>
      <c r="E2" s="72"/>
      <c r="F2" s="72"/>
      <c r="G2" s="72"/>
      <c r="H2" s="72"/>
      <c r="I2" s="50"/>
    </row>
    <row r="3" spans="1:9" x14ac:dyDescent="0.35">
      <c r="A3" s="72" t="s">
        <v>39</v>
      </c>
      <c r="B3" s="72"/>
      <c r="C3" s="72"/>
      <c r="D3" s="72"/>
      <c r="E3" s="72"/>
      <c r="F3" s="72"/>
      <c r="G3" s="72"/>
      <c r="H3" s="72"/>
      <c r="I3" s="50"/>
    </row>
    <row r="4" spans="1:9" x14ac:dyDescent="0.35">
      <c r="A4" s="72" t="s">
        <v>40</v>
      </c>
      <c r="B4" s="72"/>
      <c r="C4" s="72"/>
      <c r="D4" s="72"/>
      <c r="E4" s="72"/>
      <c r="F4" s="72"/>
      <c r="G4" s="72"/>
      <c r="H4" s="72"/>
      <c r="I4" s="50"/>
    </row>
    <row r="5" spans="1:9" x14ac:dyDescent="0.35">
      <c r="A5" s="70"/>
      <c r="B5" s="70"/>
      <c r="C5" s="51"/>
      <c r="D5" s="51"/>
      <c r="E5" s="51"/>
      <c r="F5" s="51"/>
      <c r="G5" s="51"/>
      <c r="H5" s="51"/>
      <c r="I5" s="51"/>
    </row>
    <row r="6" spans="1:9" x14ac:dyDescent="0.35">
      <c r="A6" s="73" t="s">
        <v>41</v>
      </c>
      <c r="B6" s="75" t="s">
        <v>42</v>
      </c>
      <c r="C6" s="52" t="s">
        <v>43</v>
      </c>
      <c r="D6" s="52" t="s">
        <v>44</v>
      </c>
      <c r="E6" s="52" t="s">
        <v>45</v>
      </c>
      <c r="F6" s="52" t="s">
        <v>46</v>
      </c>
      <c r="G6" s="52" t="s">
        <v>47</v>
      </c>
      <c r="H6" s="78" t="s">
        <v>41</v>
      </c>
      <c r="I6" s="70"/>
    </row>
    <row r="7" spans="1:9" ht="21.75" customHeight="1" x14ac:dyDescent="0.35">
      <c r="A7" s="73"/>
      <c r="B7" s="76"/>
      <c r="C7" s="53" t="s">
        <v>48</v>
      </c>
      <c r="D7" s="53" t="s">
        <v>49</v>
      </c>
      <c r="E7" s="53" t="s">
        <v>50</v>
      </c>
      <c r="F7" s="53" t="s">
        <v>51</v>
      </c>
      <c r="G7" s="53" t="s">
        <v>52</v>
      </c>
      <c r="H7" s="78"/>
      <c r="I7" s="70"/>
    </row>
    <row r="8" spans="1:9" ht="21.75" customHeight="1" x14ac:dyDescent="0.35">
      <c r="A8" s="73"/>
      <c r="B8" s="76"/>
      <c r="C8" s="53" t="s">
        <v>53</v>
      </c>
      <c r="D8" s="53" t="s">
        <v>54</v>
      </c>
      <c r="E8" s="53" t="s">
        <v>48</v>
      </c>
      <c r="F8" s="53" t="s">
        <v>55</v>
      </c>
      <c r="G8" s="53" t="s">
        <v>56</v>
      </c>
      <c r="H8" s="78"/>
      <c r="I8" s="70"/>
    </row>
    <row r="9" spans="1:9" ht="21.75" customHeight="1" x14ac:dyDescent="0.35">
      <c r="A9" s="74"/>
      <c r="B9" s="77"/>
      <c r="C9" s="54" t="s">
        <v>57</v>
      </c>
      <c r="D9" s="54" t="s">
        <v>58</v>
      </c>
      <c r="E9" s="54" t="s">
        <v>59</v>
      </c>
      <c r="F9" s="54" t="s">
        <v>41</v>
      </c>
      <c r="G9" s="54" t="s">
        <v>60</v>
      </c>
      <c r="H9" s="78"/>
      <c r="I9" s="70"/>
    </row>
    <row r="10" spans="1:9" x14ac:dyDescent="0.35">
      <c r="A10" s="55">
        <v>2023</v>
      </c>
      <c r="B10" s="56">
        <v>1</v>
      </c>
      <c r="C10" s="57">
        <v>1.31</v>
      </c>
      <c r="D10" s="57">
        <v>1.31</v>
      </c>
      <c r="E10" s="57">
        <v>1.31</v>
      </c>
      <c r="F10" s="58">
        <v>0.1</v>
      </c>
      <c r="G10" s="57">
        <v>1.45</v>
      </c>
      <c r="H10" s="51"/>
      <c r="I10" s="51"/>
    </row>
    <row r="11" spans="1:9" x14ac:dyDescent="0.35">
      <c r="A11" s="55">
        <v>2024</v>
      </c>
      <c r="B11" s="56">
        <v>2</v>
      </c>
      <c r="C11" s="57">
        <v>1.19</v>
      </c>
      <c r="D11" s="57">
        <v>1.25</v>
      </c>
      <c r="E11" s="57">
        <v>2.56</v>
      </c>
      <c r="F11" s="58">
        <v>0.1</v>
      </c>
      <c r="G11" s="57">
        <v>2.82</v>
      </c>
      <c r="H11" s="51"/>
      <c r="I11" s="51"/>
    </row>
    <row r="12" spans="1:9" x14ac:dyDescent="0.35">
      <c r="A12" s="55">
        <v>2025</v>
      </c>
      <c r="B12" s="56">
        <v>3</v>
      </c>
      <c r="C12" s="57">
        <v>0.98</v>
      </c>
      <c r="D12" s="57">
        <v>1.08</v>
      </c>
      <c r="E12" s="57">
        <v>3.64</v>
      </c>
      <c r="F12" s="58">
        <v>0.1</v>
      </c>
      <c r="G12" s="57">
        <v>4.01</v>
      </c>
      <c r="H12" s="51"/>
      <c r="I12" s="51"/>
    </row>
    <row r="13" spans="1:9" x14ac:dyDescent="0.35">
      <c r="A13" s="55">
        <v>2026</v>
      </c>
      <c r="B13" s="56">
        <v>4</v>
      </c>
      <c r="C13" s="57">
        <v>0.82</v>
      </c>
      <c r="D13" s="57">
        <v>0.95</v>
      </c>
      <c r="E13" s="57">
        <v>4.5999999999999996</v>
      </c>
      <c r="F13" s="58">
        <v>0.1</v>
      </c>
      <c r="G13" s="57">
        <v>5.0599999999999996</v>
      </c>
      <c r="H13" s="51"/>
      <c r="I13" s="51"/>
    </row>
    <row r="14" spans="1:9" x14ac:dyDescent="0.35">
      <c r="A14" s="55">
        <v>2027</v>
      </c>
      <c r="B14" s="56">
        <v>5</v>
      </c>
      <c r="C14" s="57">
        <v>0.85</v>
      </c>
      <c r="D14" s="57">
        <v>1.03</v>
      </c>
      <c r="E14" s="57">
        <v>5.63</v>
      </c>
      <c r="F14" s="58">
        <v>0.1</v>
      </c>
      <c r="G14" s="57">
        <v>6.19</v>
      </c>
      <c r="H14" s="51"/>
      <c r="I14" s="51"/>
    </row>
    <row r="15" spans="1:9" x14ac:dyDescent="0.35">
      <c r="A15" s="55">
        <v>2028</v>
      </c>
      <c r="B15" s="56">
        <v>6</v>
      </c>
      <c r="C15" s="57">
        <v>0.79</v>
      </c>
      <c r="D15" s="57">
        <v>1.01</v>
      </c>
      <c r="E15" s="57">
        <v>6.64</v>
      </c>
      <c r="F15" s="58">
        <v>0.1</v>
      </c>
      <c r="G15" s="57">
        <v>7.3</v>
      </c>
      <c r="H15" s="51"/>
      <c r="I15" s="51"/>
    </row>
    <row r="16" spans="1:9" x14ac:dyDescent="0.35">
      <c r="A16" s="55">
        <v>2029</v>
      </c>
      <c r="B16" s="56">
        <v>7</v>
      </c>
      <c r="C16" s="57">
        <v>0.81</v>
      </c>
      <c r="D16" s="57">
        <v>1.0900000000000001</v>
      </c>
      <c r="E16" s="57">
        <v>7.72</v>
      </c>
      <c r="F16" s="58">
        <v>0.1</v>
      </c>
      <c r="G16" s="57">
        <v>8.5</v>
      </c>
      <c r="H16" s="51"/>
      <c r="I16" s="51"/>
    </row>
    <row r="17" spans="1:9" x14ac:dyDescent="0.35">
      <c r="A17" s="55">
        <v>2030</v>
      </c>
      <c r="B17" s="56">
        <v>8</v>
      </c>
      <c r="C17" s="57">
        <v>1.9</v>
      </c>
      <c r="D17" s="57">
        <v>2.69</v>
      </c>
      <c r="E17" s="57">
        <v>10.41</v>
      </c>
      <c r="F17" s="58">
        <v>0.1</v>
      </c>
      <c r="G17" s="57">
        <v>11.46</v>
      </c>
      <c r="H17" s="51"/>
      <c r="I17" s="51"/>
    </row>
    <row r="18" spans="1:9" x14ac:dyDescent="0.35">
      <c r="A18" s="55">
        <v>2031</v>
      </c>
      <c r="B18" s="56">
        <v>9</v>
      </c>
      <c r="C18" s="57">
        <v>0.75</v>
      </c>
      <c r="D18" s="57">
        <v>1.1100000000000001</v>
      </c>
      <c r="E18" s="57">
        <v>11.52</v>
      </c>
      <c r="F18" s="58">
        <v>0.1</v>
      </c>
      <c r="G18" s="57">
        <v>12.67</v>
      </c>
      <c r="H18" s="51"/>
      <c r="I18" s="51"/>
    </row>
    <row r="19" spans="1:9" x14ac:dyDescent="0.35">
      <c r="A19" s="55">
        <v>2032</v>
      </c>
      <c r="B19" s="56">
        <v>10</v>
      </c>
      <c r="C19" s="57">
        <v>0.67</v>
      </c>
      <c r="D19" s="57">
        <v>1.04</v>
      </c>
      <c r="E19" s="57">
        <v>12.56</v>
      </c>
      <c r="F19" s="58">
        <v>0.1</v>
      </c>
      <c r="G19" s="57">
        <v>13.82</v>
      </c>
      <c r="H19" s="51"/>
      <c r="I19" s="51"/>
    </row>
    <row r="20" spans="1:9" x14ac:dyDescent="0.35">
      <c r="A20" s="55">
        <v>2033</v>
      </c>
      <c r="B20" s="56">
        <v>11</v>
      </c>
      <c r="C20" s="57">
        <v>0.73</v>
      </c>
      <c r="D20" s="57">
        <v>1.2</v>
      </c>
      <c r="E20" s="57">
        <v>13.76</v>
      </c>
      <c r="F20" s="58">
        <v>0.1</v>
      </c>
      <c r="G20" s="57">
        <v>15.13</v>
      </c>
      <c r="H20" s="51"/>
      <c r="I20" s="51"/>
    </row>
    <row r="21" spans="1:9" x14ac:dyDescent="0.35">
      <c r="A21" s="55">
        <v>2034</v>
      </c>
      <c r="B21" s="56">
        <v>12</v>
      </c>
      <c r="C21" s="57">
        <v>0.67</v>
      </c>
      <c r="D21" s="57">
        <v>1.1599999999999999</v>
      </c>
      <c r="E21" s="57">
        <v>14.92</v>
      </c>
      <c r="F21" s="58">
        <v>0.1</v>
      </c>
      <c r="G21" s="57">
        <v>16.41</v>
      </c>
      <c r="H21" s="51"/>
      <c r="I21" s="51"/>
    </row>
    <row r="22" spans="1:9" x14ac:dyDescent="0.35">
      <c r="A22" s="55">
        <v>2035</v>
      </c>
      <c r="B22" s="56">
        <v>13</v>
      </c>
      <c r="C22" s="57">
        <v>0.65</v>
      </c>
      <c r="D22" s="57">
        <v>1.18</v>
      </c>
      <c r="E22" s="57">
        <v>16.100000000000001</v>
      </c>
      <c r="F22" s="58">
        <v>0.1</v>
      </c>
      <c r="G22" s="57">
        <v>17.71</v>
      </c>
      <c r="H22" s="51"/>
      <c r="I22" s="51"/>
    </row>
    <row r="23" spans="1:9" x14ac:dyDescent="0.35">
      <c r="A23" s="55">
        <v>2036</v>
      </c>
      <c r="B23" s="56">
        <v>14</v>
      </c>
      <c r="C23" s="57">
        <v>0.83</v>
      </c>
      <c r="D23" s="57">
        <v>1.58</v>
      </c>
      <c r="E23" s="57">
        <v>17.670000000000002</v>
      </c>
      <c r="F23" s="58">
        <v>0.1</v>
      </c>
      <c r="G23" s="57">
        <v>19.440000000000001</v>
      </c>
      <c r="H23" s="51"/>
      <c r="I23" s="51"/>
    </row>
    <row r="24" spans="1:9" x14ac:dyDescent="0.35">
      <c r="A24" s="55">
        <v>2037</v>
      </c>
      <c r="B24" s="56">
        <v>15</v>
      </c>
      <c r="C24" s="57">
        <v>0.56999999999999995</v>
      </c>
      <c r="D24" s="57">
        <v>1.1299999999999999</v>
      </c>
      <c r="E24" s="57">
        <v>18.8</v>
      </c>
      <c r="F24" s="58">
        <v>0.1</v>
      </c>
      <c r="G24" s="57">
        <v>20.68</v>
      </c>
      <c r="H24" s="51"/>
      <c r="I24" s="51"/>
    </row>
    <row r="25" spans="1:9" x14ac:dyDescent="0.35">
      <c r="A25" s="55">
        <v>2038</v>
      </c>
      <c r="B25" s="56">
        <v>16</v>
      </c>
      <c r="C25" s="57">
        <v>0.6</v>
      </c>
      <c r="D25" s="57">
        <v>1.25</v>
      </c>
      <c r="E25" s="57">
        <v>20.059999999999999</v>
      </c>
      <c r="F25" s="58">
        <v>0.1</v>
      </c>
      <c r="G25" s="57">
        <v>22.06</v>
      </c>
      <c r="H25" s="51"/>
      <c r="I25" s="51"/>
    </row>
    <row r="26" spans="1:9" x14ac:dyDescent="0.35">
      <c r="A26" s="55">
        <v>2039</v>
      </c>
      <c r="B26" s="56">
        <v>17</v>
      </c>
      <c r="C26" s="57">
        <v>0.56999999999999995</v>
      </c>
      <c r="D26" s="57">
        <v>1.26</v>
      </c>
      <c r="E26" s="57">
        <v>21.31</v>
      </c>
      <c r="F26" s="58">
        <v>0.1</v>
      </c>
      <c r="G26" s="57">
        <v>23.45</v>
      </c>
      <c r="H26" s="51"/>
      <c r="I26" s="51"/>
    </row>
    <row r="27" spans="1:9" x14ac:dyDescent="0.35">
      <c r="A27" s="55">
        <v>2040</v>
      </c>
      <c r="B27" s="56">
        <v>18</v>
      </c>
      <c r="C27" s="57">
        <v>0.55000000000000004</v>
      </c>
      <c r="D27" s="57">
        <v>1.26</v>
      </c>
      <c r="E27" s="57">
        <v>22.58</v>
      </c>
      <c r="F27" s="58">
        <v>0.1</v>
      </c>
      <c r="G27" s="57">
        <v>24.83</v>
      </c>
      <c r="H27" s="51"/>
      <c r="I27" s="51"/>
    </row>
    <row r="28" spans="1:9" x14ac:dyDescent="0.35">
      <c r="A28" s="55">
        <v>2041</v>
      </c>
      <c r="B28" s="56">
        <v>19</v>
      </c>
      <c r="C28" s="57">
        <v>4.8499999999999996</v>
      </c>
      <c r="D28" s="57">
        <v>11.79</v>
      </c>
      <c r="E28" s="57">
        <v>34.369999999999997</v>
      </c>
      <c r="F28" s="58">
        <v>0.1</v>
      </c>
      <c r="G28" s="57">
        <v>37.799999999999997</v>
      </c>
      <c r="H28" s="51"/>
      <c r="I28" s="51"/>
    </row>
    <row r="29" spans="1:9" x14ac:dyDescent="0.35">
      <c r="A29" s="55">
        <v>2042</v>
      </c>
      <c r="B29" s="56">
        <v>20</v>
      </c>
      <c r="C29" s="57">
        <v>0.53</v>
      </c>
      <c r="D29" s="57">
        <v>1.35</v>
      </c>
      <c r="E29" s="57">
        <v>35.72</v>
      </c>
      <c r="F29" s="58">
        <v>0.1</v>
      </c>
      <c r="G29" s="57">
        <v>39.29</v>
      </c>
      <c r="H29" s="51"/>
      <c r="I29" s="51"/>
    </row>
    <row r="30" spans="1:9" x14ac:dyDescent="0.35">
      <c r="A30" s="55">
        <v>2043</v>
      </c>
      <c r="B30" s="56">
        <v>21</v>
      </c>
      <c r="C30" s="57">
        <v>0.52</v>
      </c>
      <c r="D30" s="57">
        <v>1.39</v>
      </c>
      <c r="E30" s="57">
        <v>37.1</v>
      </c>
      <c r="F30" s="58">
        <v>0.1</v>
      </c>
      <c r="G30" s="57">
        <v>40.81</v>
      </c>
      <c r="H30" s="51"/>
      <c r="I30" s="51"/>
    </row>
    <row r="31" spans="1:9" x14ac:dyDescent="0.35">
      <c r="A31" s="55">
        <v>2044</v>
      </c>
      <c r="B31" s="56">
        <v>22</v>
      </c>
      <c r="C31" s="57">
        <v>0.5</v>
      </c>
      <c r="D31" s="57">
        <v>1.42</v>
      </c>
      <c r="E31" s="57">
        <v>38.53</v>
      </c>
      <c r="F31" s="58">
        <v>0.1</v>
      </c>
      <c r="G31" s="57">
        <v>42.38</v>
      </c>
      <c r="H31" s="51"/>
      <c r="I31" s="51"/>
    </row>
    <row r="32" spans="1:9" x14ac:dyDescent="0.35">
      <c r="A32" s="55">
        <v>2045</v>
      </c>
      <c r="B32" s="56">
        <v>23</v>
      </c>
      <c r="C32" s="57">
        <v>0.49</v>
      </c>
      <c r="D32" s="57">
        <v>1.46</v>
      </c>
      <c r="E32" s="57">
        <v>39.99</v>
      </c>
      <c r="F32" s="58">
        <v>0.1</v>
      </c>
      <c r="G32" s="57">
        <v>43.99</v>
      </c>
      <c r="H32" s="51"/>
      <c r="I32" s="51"/>
    </row>
    <row r="33" spans="1:9" x14ac:dyDescent="0.35">
      <c r="A33" s="55">
        <v>2046</v>
      </c>
      <c r="B33" s="56">
        <v>24</v>
      </c>
      <c r="C33" s="57">
        <v>0.48</v>
      </c>
      <c r="D33" s="57">
        <v>1.5</v>
      </c>
      <c r="E33" s="57">
        <v>41.49</v>
      </c>
      <c r="F33" s="58">
        <v>0.1</v>
      </c>
      <c r="G33" s="57">
        <v>45.64</v>
      </c>
      <c r="H33" s="51"/>
      <c r="I33" s="51"/>
    </row>
    <row r="34" spans="1:9" x14ac:dyDescent="0.35">
      <c r="A34" s="55">
        <v>2047</v>
      </c>
      <c r="B34" s="56">
        <v>25</v>
      </c>
      <c r="C34" s="57">
        <v>0.47</v>
      </c>
      <c r="D34" s="57">
        <v>1.55</v>
      </c>
      <c r="E34" s="57">
        <v>43.04</v>
      </c>
      <c r="F34" s="58">
        <v>0.1</v>
      </c>
      <c r="G34" s="57">
        <v>47.35</v>
      </c>
      <c r="H34" s="51"/>
      <c r="I34" s="51"/>
    </row>
    <row r="35" spans="1:9" x14ac:dyDescent="0.35">
      <c r="A35" s="55">
        <v>2048</v>
      </c>
      <c r="B35" s="56">
        <v>26</v>
      </c>
      <c r="C35" s="57">
        <v>0.47</v>
      </c>
      <c r="D35" s="57">
        <v>1.6</v>
      </c>
      <c r="E35" s="57">
        <v>44.64</v>
      </c>
      <c r="F35" s="58">
        <v>0.1</v>
      </c>
      <c r="G35" s="57">
        <v>49.11</v>
      </c>
      <c r="H35" s="51"/>
      <c r="I35" s="51"/>
    </row>
    <row r="36" spans="1:9" x14ac:dyDescent="0.35">
      <c r="A36" s="55">
        <v>2049</v>
      </c>
      <c r="B36" s="56">
        <v>27</v>
      </c>
      <c r="C36" s="57">
        <v>0.46</v>
      </c>
      <c r="D36" s="57">
        <v>1.65</v>
      </c>
      <c r="E36" s="57">
        <v>46.29</v>
      </c>
      <c r="F36" s="58">
        <v>0.1</v>
      </c>
      <c r="G36" s="57">
        <v>50.92</v>
      </c>
      <c r="H36" s="51"/>
      <c r="I36" s="51"/>
    </row>
    <row r="37" spans="1:9" x14ac:dyDescent="0.35">
      <c r="A37" s="55">
        <v>2050</v>
      </c>
      <c r="B37" s="56">
        <v>28</v>
      </c>
      <c r="C37" s="57">
        <v>0.45</v>
      </c>
      <c r="D37" s="57">
        <v>1.7</v>
      </c>
      <c r="E37" s="57">
        <v>48</v>
      </c>
      <c r="F37" s="58">
        <v>0.1</v>
      </c>
      <c r="G37" s="57">
        <v>52.8</v>
      </c>
      <c r="H37" s="51"/>
      <c r="I37" s="51"/>
    </row>
    <row r="38" spans="1:9" x14ac:dyDescent="0.35">
      <c r="A38" s="55">
        <v>2051</v>
      </c>
      <c r="B38" s="56">
        <v>29</v>
      </c>
      <c r="C38" s="57">
        <v>0.44</v>
      </c>
      <c r="D38" s="57">
        <v>1.76</v>
      </c>
      <c r="E38" s="57">
        <v>49.76</v>
      </c>
      <c r="F38" s="58">
        <v>0.1</v>
      </c>
      <c r="G38" s="57">
        <v>54.74</v>
      </c>
      <c r="H38" s="51"/>
      <c r="I38" s="51"/>
    </row>
    <row r="39" spans="1:9" x14ac:dyDescent="0.35">
      <c r="A39" s="55">
        <v>2052</v>
      </c>
      <c r="B39" s="56">
        <v>30</v>
      </c>
      <c r="C39" s="57">
        <v>0.43</v>
      </c>
      <c r="D39" s="57">
        <v>1.82</v>
      </c>
      <c r="E39" s="57">
        <v>51.58</v>
      </c>
      <c r="F39" s="58">
        <v>0.1</v>
      </c>
      <c r="G39" s="57">
        <v>56.74</v>
      </c>
      <c r="H39" s="51"/>
      <c r="I39" s="51"/>
    </row>
    <row r="40" spans="1:9" x14ac:dyDescent="0.35">
      <c r="A40" s="55">
        <v>2053</v>
      </c>
      <c r="B40" s="56">
        <v>31</v>
      </c>
      <c r="C40" s="57">
        <v>0.43</v>
      </c>
      <c r="D40" s="57">
        <v>1.88</v>
      </c>
      <c r="E40" s="57">
        <v>53.46</v>
      </c>
      <c r="F40" s="58">
        <v>0.1</v>
      </c>
      <c r="G40" s="57">
        <v>58.81</v>
      </c>
      <c r="H40" s="51"/>
      <c r="I40" s="51"/>
    </row>
    <row r="41" spans="1:9" x14ac:dyDescent="0.35">
      <c r="A41" s="55">
        <v>2054</v>
      </c>
      <c r="B41" s="56">
        <v>32</v>
      </c>
      <c r="C41" s="57">
        <v>0.42</v>
      </c>
      <c r="D41" s="57">
        <v>1.94</v>
      </c>
      <c r="E41" s="57">
        <v>55.4</v>
      </c>
      <c r="F41" s="58">
        <v>0.1</v>
      </c>
      <c r="G41" s="57">
        <v>60.94</v>
      </c>
      <c r="H41" s="51"/>
      <c r="I41" s="51"/>
    </row>
    <row r="42" spans="1:9" x14ac:dyDescent="0.35">
      <c r="A42" s="55">
        <v>2055</v>
      </c>
      <c r="B42" s="56">
        <v>33</v>
      </c>
      <c r="C42" s="57">
        <v>0.41</v>
      </c>
      <c r="D42" s="57">
        <v>2.0099999999999998</v>
      </c>
      <c r="E42" s="57">
        <v>57.41</v>
      </c>
      <c r="F42" s="58">
        <v>0.1</v>
      </c>
      <c r="G42" s="57">
        <v>63.16</v>
      </c>
      <c r="H42" s="51"/>
      <c r="I42" s="51"/>
    </row>
    <row r="43" spans="1:9" x14ac:dyDescent="0.35">
      <c r="A43" s="55">
        <v>2056</v>
      </c>
      <c r="B43" s="56">
        <v>34</v>
      </c>
      <c r="C43" s="57">
        <v>0.41</v>
      </c>
      <c r="D43" s="57">
        <v>2.08</v>
      </c>
      <c r="E43" s="57">
        <v>59.49</v>
      </c>
      <c r="F43" s="58">
        <v>0.1</v>
      </c>
      <c r="G43" s="57">
        <v>65.44</v>
      </c>
      <c r="H43" s="51"/>
      <c r="I43" s="51"/>
    </row>
    <row r="44" spans="1:9" x14ac:dyDescent="0.35">
      <c r="A44" s="55">
        <v>2057</v>
      </c>
      <c r="B44" s="56">
        <v>35</v>
      </c>
      <c r="C44" s="57">
        <v>0.4</v>
      </c>
      <c r="D44" s="57">
        <v>2.15</v>
      </c>
      <c r="E44" s="57">
        <v>61.64</v>
      </c>
      <c r="F44" s="58">
        <v>0.1</v>
      </c>
      <c r="G44" s="57">
        <v>67.8</v>
      </c>
      <c r="H44" s="51"/>
      <c r="I44" s="51"/>
    </row>
    <row r="45" spans="1:9" x14ac:dyDescent="0.35">
      <c r="A45" s="55">
        <v>2058</v>
      </c>
      <c r="B45" s="56">
        <v>36</v>
      </c>
      <c r="C45" s="57">
        <v>0.39</v>
      </c>
      <c r="D45" s="57">
        <v>2.2200000000000002</v>
      </c>
      <c r="E45" s="57">
        <v>63.86</v>
      </c>
      <c r="F45" s="58">
        <v>0.1</v>
      </c>
      <c r="G45" s="57">
        <v>70.25</v>
      </c>
      <c r="H45" s="51"/>
      <c r="I45" s="51"/>
    </row>
    <row r="46" spans="1:9" x14ac:dyDescent="0.35">
      <c r="A46" s="55">
        <v>2059</v>
      </c>
      <c r="B46" s="56">
        <v>37</v>
      </c>
      <c r="C46" s="57">
        <v>0.39</v>
      </c>
      <c r="D46" s="57">
        <v>2.2999999999999998</v>
      </c>
      <c r="E46" s="57">
        <v>66.16</v>
      </c>
      <c r="F46" s="58">
        <v>0.1</v>
      </c>
      <c r="G46" s="57">
        <v>72.77</v>
      </c>
      <c r="H46" s="51"/>
      <c r="I46" s="51"/>
    </row>
    <row r="47" spans="1:9" x14ac:dyDescent="0.35">
      <c r="A47" s="55">
        <v>2060</v>
      </c>
      <c r="B47" s="56">
        <v>38</v>
      </c>
      <c r="C47" s="57">
        <v>0.38</v>
      </c>
      <c r="D47" s="57">
        <v>2.37</v>
      </c>
      <c r="E47" s="57">
        <v>68.53</v>
      </c>
      <c r="F47" s="58">
        <v>0.1</v>
      </c>
      <c r="G47" s="57">
        <v>75.38</v>
      </c>
      <c r="H47" s="51"/>
      <c r="I47" s="51"/>
    </row>
    <row r="48" spans="1:9" x14ac:dyDescent="0.35">
      <c r="A48" s="55">
        <v>2061</v>
      </c>
      <c r="B48" s="56">
        <v>39</v>
      </c>
      <c r="C48" s="57">
        <v>0.38</v>
      </c>
      <c r="D48" s="57">
        <v>2.46</v>
      </c>
      <c r="E48" s="57">
        <v>70.989999999999995</v>
      </c>
      <c r="F48" s="58">
        <v>0.1</v>
      </c>
      <c r="G48" s="57">
        <v>78.08</v>
      </c>
      <c r="H48" s="51"/>
      <c r="I48" s="51"/>
    </row>
    <row r="49" spans="1:9" x14ac:dyDescent="0.35">
      <c r="A49" s="55">
        <v>2062</v>
      </c>
      <c r="B49" s="56">
        <v>40</v>
      </c>
      <c r="C49" s="57">
        <v>0.37</v>
      </c>
      <c r="D49" s="57">
        <v>2.54</v>
      </c>
      <c r="E49" s="57">
        <v>73.53</v>
      </c>
      <c r="F49" s="58">
        <v>0.1</v>
      </c>
      <c r="G49" s="57">
        <v>80.88</v>
      </c>
      <c r="H49" s="51"/>
      <c r="I49" s="51"/>
    </row>
    <row r="50" spans="1:9" x14ac:dyDescent="0.35">
      <c r="A50" s="55">
        <v>2063</v>
      </c>
      <c r="B50" s="56">
        <v>41</v>
      </c>
      <c r="C50" s="57">
        <v>0.36</v>
      </c>
      <c r="D50" s="57">
        <v>2.63</v>
      </c>
      <c r="E50" s="57">
        <v>76.150000000000006</v>
      </c>
      <c r="F50" s="58">
        <v>0.1</v>
      </c>
      <c r="G50" s="57">
        <v>83.77</v>
      </c>
      <c r="H50" s="51"/>
      <c r="I50" s="51"/>
    </row>
    <row r="51" spans="1:9" x14ac:dyDescent="0.35">
      <c r="A51" s="55">
        <v>2064</v>
      </c>
      <c r="B51" s="56">
        <v>42</v>
      </c>
      <c r="C51" s="57">
        <v>0.36</v>
      </c>
      <c r="D51" s="57">
        <v>2.72</v>
      </c>
      <c r="E51" s="57">
        <v>78.87</v>
      </c>
      <c r="F51" s="58">
        <v>0.1</v>
      </c>
      <c r="G51" s="57">
        <v>86.75</v>
      </c>
      <c r="H51" s="51"/>
      <c r="I51" s="51"/>
    </row>
    <row r="52" spans="1:9" x14ac:dyDescent="0.35">
      <c r="A52" s="55">
        <v>2065</v>
      </c>
      <c r="B52" s="56">
        <v>43</v>
      </c>
      <c r="C52" s="57">
        <v>0.35</v>
      </c>
      <c r="D52" s="57">
        <v>2.81</v>
      </c>
      <c r="E52" s="57">
        <v>81.680000000000007</v>
      </c>
      <c r="F52" s="58">
        <v>0.1</v>
      </c>
      <c r="G52" s="57">
        <v>89.84</v>
      </c>
      <c r="H52" s="51"/>
      <c r="I52" s="51"/>
    </row>
    <row r="53" spans="1:9" x14ac:dyDescent="0.35">
      <c r="A53" s="55">
        <v>2066</v>
      </c>
      <c r="B53" s="56">
        <v>44</v>
      </c>
      <c r="C53" s="57">
        <v>0.35</v>
      </c>
      <c r="D53" s="57">
        <v>2.91</v>
      </c>
      <c r="E53" s="57">
        <v>84.58</v>
      </c>
      <c r="F53" s="58">
        <v>0.1</v>
      </c>
      <c r="G53" s="57">
        <v>93.04</v>
      </c>
      <c r="H53" s="51"/>
      <c r="I53" s="51"/>
    </row>
    <row r="54" spans="1:9" x14ac:dyDescent="0.35">
      <c r="A54" s="55">
        <v>2067</v>
      </c>
      <c r="B54" s="56">
        <v>45</v>
      </c>
      <c r="C54" s="57">
        <v>0.34</v>
      </c>
      <c r="D54" s="57">
        <v>3</v>
      </c>
      <c r="E54" s="57">
        <v>87.59</v>
      </c>
      <c r="F54" s="58">
        <v>0.1</v>
      </c>
      <c r="G54" s="57">
        <v>96.35</v>
      </c>
      <c r="H54" s="51"/>
      <c r="I54" s="51"/>
    </row>
    <row r="55" spans="1:9" x14ac:dyDescent="0.35">
      <c r="A55" s="55">
        <v>2068</v>
      </c>
      <c r="B55" s="56">
        <v>46</v>
      </c>
      <c r="C55" s="57">
        <v>0.34</v>
      </c>
      <c r="D55" s="57">
        <v>3</v>
      </c>
      <c r="E55" s="57">
        <v>90.59</v>
      </c>
      <c r="F55" s="58">
        <v>0.1</v>
      </c>
      <c r="G55" s="57">
        <v>99.65</v>
      </c>
      <c r="H55" s="51"/>
      <c r="I55" s="51"/>
    </row>
    <row r="56" spans="1:9" ht="19" customHeight="1" x14ac:dyDescent="0.35">
      <c r="A56" s="55">
        <v>2069</v>
      </c>
      <c r="B56" s="56">
        <v>47</v>
      </c>
      <c r="C56" s="57">
        <v>0.34</v>
      </c>
      <c r="D56" s="57">
        <v>3</v>
      </c>
      <c r="E56" s="57">
        <v>93.6</v>
      </c>
      <c r="F56" s="58">
        <v>0.1</v>
      </c>
      <c r="G56" s="57">
        <v>102.96</v>
      </c>
      <c r="H56" s="51"/>
      <c r="I56" s="51"/>
    </row>
    <row r="57" spans="1:9" x14ac:dyDescent="0.35">
      <c r="A57" s="55">
        <v>2070</v>
      </c>
      <c r="B57" s="56">
        <v>48</v>
      </c>
      <c r="C57" s="57">
        <v>0.34</v>
      </c>
      <c r="D57" s="57">
        <v>3</v>
      </c>
      <c r="E57" s="57">
        <v>96.6</v>
      </c>
      <c r="F57" s="58">
        <v>0.1</v>
      </c>
      <c r="G57" s="57">
        <v>106.26</v>
      </c>
      <c r="H57" s="51"/>
      <c r="I57" s="51"/>
    </row>
    <row r="58" spans="1:9" x14ac:dyDescent="0.35">
      <c r="A58" s="55">
        <v>2071</v>
      </c>
      <c r="B58" s="56">
        <v>49</v>
      </c>
      <c r="C58" s="57">
        <v>0.34</v>
      </c>
      <c r="D58" s="57">
        <v>3</v>
      </c>
      <c r="E58" s="57">
        <v>99.61</v>
      </c>
      <c r="F58" s="58">
        <v>0.1</v>
      </c>
      <c r="G58" s="57">
        <v>109.57</v>
      </c>
      <c r="H58" s="51"/>
      <c r="I58" s="51"/>
    </row>
    <row r="59" spans="1:9" x14ac:dyDescent="0.35">
      <c r="A59" s="55">
        <v>2072</v>
      </c>
      <c r="B59" s="56">
        <v>50</v>
      </c>
      <c r="C59" s="57">
        <v>0.34</v>
      </c>
      <c r="D59" s="57">
        <v>3</v>
      </c>
      <c r="E59" s="57">
        <v>102.61</v>
      </c>
      <c r="F59" s="58">
        <v>0.1</v>
      </c>
      <c r="G59" s="57">
        <v>112.87</v>
      </c>
      <c r="H59" s="51"/>
      <c r="I59" s="51"/>
    </row>
    <row r="60" spans="1:9" x14ac:dyDescent="0.35">
      <c r="A60" s="71" t="s">
        <v>41</v>
      </c>
      <c r="B60" s="71"/>
      <c r="C60" s="51"/>
      <c r="D60" s="51"/>
      <c r="E60" s="51"/>
      <c r="F60" s="51"/>
      <c r="G60" s="51"/>
      <c r="H60" s="51"/>
      <c r="I60" s="51"/>
    </row>
    <row r="61" spans="1:9" x14ac:dyDescent="0.35">
      <c r="A61" s="72" t="s">
        <v>61</v>
      </c>
      <c r="B61" s="72"/>
      <c r="C61" s="51"/>
      <c r="D61" s="51"/>
      <c r="E61" s="59">
        <v>5.0599999999999999E-2</v>
      </c>
      <c r="F61" s="51"/>
      <c r="G61" s="51"/>
      <c r="H61" s="51"/>
      <c r="I61" s="51"/>
    </row>
    <row r="62" spans="1:9" x14ac:dyDescent="0.35">
      <c r="A62" s="70"/>
      <c r="B62" s="70"/>
      <c r="C62" s="51" t="s">
        <v>62</v>
      </c>
      <c r="D62" s="51"/>
      <c r="E62" s="59">
        <v>5.0599999999999999E-2</v>
      </c>
      <c r="F62" s="51"/>
      <c r="G62" s="51"/>
      <c r="H62" s="51"/>
      <c r="I62" s="51"/>
    </row>
    <row r="63" spans="1:9" x14ac:dyDescent="0.35">
      <c r="A63" s="70"/>
      <c r="B63" s="70"/>
      <c r="C63" s="51" t="s">
        <v>63</v>
      </c>
      <c r="D63" s="51"/>
      <c r="E63" s="59">
        <v>4.1700000000000001E-2</v>
      </c>
      <c r="F63" s="51"/>
      <c r="G63" s="51"/>
      <c r="H63" s="51"/>
      <c r="I63" s="51"/>
    </row>
    <row r="64" spans="1:9" x14ac:dyDescent="0.35">
      <c r="A64" s="70"/>
      <c r="B64" s="70"/>
      <c r="C64" s="51" t="s">
        <v>64</v>
      </c>
      <c r="D64" s="51"/>
      <c r="E64" s="59">
        <v>0.02</v>
      </c>
      <c r="F64" s="51" t="s">
        <v>65</v>
      </c>
      <c r="G64" s="51"/>
      <c r="H64" s="51"/>
      <c r="I64" s="51"/>
    </row>
  </sheetData>
  <mergeCells count="14">
    <mergeCell ref="A1:H1"/>
    <mergeCell ref="A2:H2"/>
    <mergeCell ref="A3:H3"/>
    <mergeCell ref="A4:H4"/>
    <mergeCell ref="A5:B5"/>
    <mergeCell ref="A64:B64"/>
    <mergeCell ref="I6:I9"/>
    <mergeCell ref="A60:B60"/>
    <mergeCell ref="A61:B61"/>
    <mergeCell ref="A62:B62"/>
    <mergeCell ref="A63:B63"/>
    <mergeCell ref="A6:A9"/>
    <mergeCell ref="B6:B9"/>
    <mergeCell ref="H6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2023-11-15T08:00:00+00:00</OpenedDate>
    <SignificantOrder xmlns="dc463f71-b30c-4ab2-9473-d307f9d35888">false</SignificantOrder>
    <Date1 xmlns="dc463f71-b30c-4ab2-9473-d307f9d35888">2025-06-12T07:00:00+00:00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230937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40AC263BA319A41A5EAD400E8A077FB" ma:contentTypeVersion="24" ma:contentTypeDescription="" ma:contentTypeScope="" ma:versionID="284b4688e378103f23a136f7029b7ae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745A919-1563-41EA-9A61-CE532BD8C9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481ACB-7604-4C62-969E-17957794CF16}">
  <ds:schemaRefs>
    <ds:schemaRef ds:uri="http://schemas.microsoft.com/office/2006/metadata/properties"/>
    <ds:schemaRef ds:uri="http://schemas.microsoft.com/office/infopath/2007/PartnerControls"/>
    <ds:schemaRef ds:uri="cde2e64c-3dd4-4497-9228-a435f4be0d55"/>
    <ds:schemaRef ds:uri="e02f8695-751b-4e1b-8622-bb2a27d1fb80"/>
  </ds:schemaRefs>
</ds:datastoreItem>
</file>

<file path=customXml/itemProps3.xml><?xml version="1.0" encoding="utf-8"?>
<ds:datastoreItem xmlns:ds="http://schemas.openxmlformats.org/officeDocument/2006/customXml" ds:itemID="{FAB31740-ABF7-4EC9-A1E9-A8C8BD3DE324}"/>
</file>

<file path=customXml/itemProps4.xml><?xml version="1.0" encoding="utf-8"?>
<ds:datastoreItem xmlns:ds="http://schemas.openxmlformats.org/officeDocument/2006/customXml" ds:itemID="{4AB3C033-84BC-4467-882F-C7444F001E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Totals</vt:lpstr>
      <vt:lpstr>APP 2885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Albert, Jodie</dc:creator>
  <cp:keywords/>
  <dc:description/>
  <cp:lastModifiedBy>Albert, Jodie</cp:lastModifiedBy>
  <cp:revision/>
  <dcterms:created xsi:type="dcterms:W3CDTF">2025-04-15T19:34:17Z</dcterms:created>
  <dcterms:modified xsi:type="dcterms:W3CDTF">2025-06-10T21:00:49Z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2025-04-15T19:35:05Z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afaf7bd3-2349-4f30-a4d6-c8a13f827e9f</vt:lpwstr>
  </property>
  <property fmtid="{D5CDD505-2E9C-101B-9397-08002B2CF9AE}" pid="8" name="MSIP_Label_1da8032d-c4fe-48b8-9054-92634c9ea061_ContentBits">
    <vt:lpwstr>0</vt:lpwstr>
  </property>
  <property fmtid="{D5CDD505-2E9C-101B-9397-08002B2CF9AE}" pid="9" name="MSIP_Label_1da8032d-c4fe-48b8-9054-92634c9ea061_Tag">
    <vt:lpwstr>10, 3, 0, 1</vt:lpwstr>
  </property>
  <property fmtid="{D5CDD505-2E9C-101B-9397-08002B2CF9AE}" pid="10" name="ContentTypeId">
    <vt:lpwstr>0x0101006E56B4D1795A2E4DB2F0B01679ED314A00040AC263BA319A41A5EAD400E8A077FB</vt:lpwstr>
  </property>
  <property fmtid="{D5CDD505-2E9C-101B-9397-08002B2CF9AE}" pid="11" name="MediaServiceImageTags">
    <vt:lpwstr/>
  </property>
  <property fmtid="{D5CDD505-2E9C-101B-9397-08002B2CF9AE}" pid="12" name="_docset_NoMedatataSyncRequired">
    <vt:lpwstr>False</vt:lpwstr>
  </property>
</Properties>
</file>