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styles.xml" ContentType="application/vnd.openxmlformats-officedocument.spreadsheetml.styl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7.xml" ContentType="application/vnd.openxmlformats-officedocument.spreadsheetml.externalLink+xml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Tariffs\1. Open Advices\2022-18 Natural Gas Schedules 101, 106, 138 - PGA (UG-22xxxx) (Eff. 11-01-22)\Sent to UTC 9-19-22\"/>
    </mc:Choice>
  </mc:AlternateContent>
  <bookViews>
    <workbookView xWindow="-1890" yWindow="765" windowWidth="23040" windowHeight="5865" tabRatio="807"/>
  </bookViews>
  <sheets>
    <sheet name="REDACTED VERSION" sheetId="58" r:id="rId1"/>
    <sheet name="Sch. 101 PGA Rates" sheetId="105" r:id="rId2"/>
    <sheet name="Rate Impacts-&gt;" sheetId="73" r:id="rId3"/>
    <sheet name="Sch. 101" sheetId="113" r:id="rId4"/>
    <sheet name="Rate Impacts Sch 101" sheetId="112" r:id="rId5"/>
    <sheet name="Rate Impacts Sch 101 &amp; 106" sheetId="110" r:id="rId6"/>
    <sheet name="Typical Res Bill Sch 101 &amp; 106" sheetId="111" r:id="rId7"/>
    <sheet name="Work Papers --&gt;" sheetId="69" r:id="rId8"/>
    <sheet name="Therm Forecast" sheetId="5" r:id="rId9"/>
    <sheet name="PGA Cost Summary (R)" sheetId="114" r:id="rId10"/>
    <sheet name="Gas Resource Allocation Study" sheetId="115" r:id="rId11"/>
    <sheet name="Conversion Factor" sheetId="109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2__123Graph_ABUDG6_Dtons_inv" hidden="1">[2]Quant!#REF!</definedName>
    <definedName name="_3__123Graph_ABUDG6_Dtons_inv" hidden="1">[3]Quant!#REF!</definedName>
    <definedName name="_4__123Graph_ABUDG6_Dtons_inv" hidden="1">'[4]Area D 2011'!#REF!</definedName>
    <definedName name="_6__123Graph_CBUDG6_D_ESCRPR" hidden="1">'[5]2012 Area AB BudgetSummary'!#REF!</definedName>
    <definedName name="_7__123Graph_CBUDG6_D_ESCRPR" hidden="1">'[4]Area D 2011'!#REF!</definedName>
    <definedName name="_7__123Graph_DBUDG6_D_ESCRPR" hidden="1">'[5]2012 Area AB BudgetSummary'!#REF!</definedName>
    <definedName name="_8__123Graph_DBUDG6_D_ESCRPR" hidden="1">'[4]Area D 2011'!#REF!</definedName>
    <definedName name="_ex1" hidden="1">{#N/A,#N/A,FALSE,"Summ";#N/A,#N/A,FALSE,"General"}</definedName>
    <definedName name="_Key1" hidden="1">#REF!</definedName>
    <definedName name="_Key2" hidden="1">#REF!</definedName>
    <definedName name="_new1" hidden="1">{#N/A,#N/A,FALSE,"Summ";#N/A,#N/A,FALSE,"General"}</definedName>
    <definedName name="_Order1" hidden="1">0</definedName>
    <definedName name="_Order2" hidden="1">0</definedName>
    <definedName name="_Parse_In" hidden="1">#REF!</definedName>
    <definedName name="_Regression_Out" localSheetId="9" hidden="1">[6]FIA!#REF!</definedName>
    <definedName name="_Regression_Out" hidden="1">[6]FIA!#REF!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localSheetId="9" hidden="1">{"Plat Summary",#N/A,FALSE,"PLAT DESIGN"}</definedName>
    <definedName name="a" hidden="1">{"Plat Summary",#N/A,FALSE,"PLAT DESIGN"}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hidden="1">{#N/A,#N/A,FALSE,"Coversheet";#N/A,#N/A,FALSE,"QA"}</definedName>
    <definedName name="b" localSheetId="11" hidden="1">{#N/A,#N/A,FALSE,"Coversheet";#N/A,#N/A,FALSE,"QA"}</definedName>
    <definedName name="b" localSheetId="9" hidden="1">{"Plat Summary",#N/A,FALSE,"PLAT DESIGN"}</definedName>
    <definedName name="b" hidden="1">{"Plat Summary",#N/A,FALSE,"PLAT DESIGN"}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[7]ZZCOOM_M03_Q004!#REF!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[7]ZZCOOM_M03_Q004!#REF!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[7]ZZCOOM_M03_Q004!#REF!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[7]ZZCOOM_M03_Q004!#REF!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[7]ZZCOOM_M03_Q004!#REF!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[7]ZZCOOM_M03_Q004!#REF!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" hidden="1">{#N/A,#N/A,FALSE,"CESTSUM";#N/A,#N/A,FALSE,"est sum A";#N/A,#N/A,FALSE,"est detail A"}</definedName>
    <definedName name="DFIT" hidden="1">{#N/A,#N/A,FALSE,"Coversheet";#N/A,#N/A,FALSE,"QA"}</definedName>
    <definedName name="DUDE" hidden="1">#REF!</definedName>
    <definedName name="ee" localSheetId="11" hidden="1">{#N/A,#N/A,FALSE,"Month ";#N/A,#N/A,FALSE,"YTD";#N/A,#N/A,FALSE,"12 mo ended"}</definedName>
    <definedName name="ee" localSheetId="9" hidden="1">{#N/A,#N/A,FALSE,"Month ";#N/A,#N/A,FALSE,"YTD";#N/A,#N/A,FALSE,"12 mo ended"}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1" hidden="1">{#N/A,#N/A,FALSE,"Month ";#N/A,#N/A,FALSE,"YTD";#N/A,#N/A,FALSE,"12 mo ended"}</definedName>
    <definedName name="fdsafdasfdsa" localSheetId="9" hidden="1">{#N/A,#N/A,FALSE,"Month ";#N/A,#N/A,FALSE,"YTD";#N/A,#N/A,FALSE,"12 mo ended"}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gary" hidden="1">{#N/A,#N/A,FALSE,"Cover Sheet";"Use of Equipment",#N/A,FALSE,"Area C";"Equipment Hours",#N/A,FALSE,"All";"Summary",#N/A,FALSE,"All"}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OYT" hidden="1">{#N/A,#N/A,FALSE,"Cover Sheet";"Use of Equipment",#N/A,FALSE,"Area C";"Equipment Hours",#N/A,FALSE,"All";"Summary",#N/A,FALSE,"All"}</definedName>
    <definedName name="p" localSheetId="1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0">'Gas Resource Allocation Study'!$B$1:$M$57</definedName>
    <definedName name="_xlnm.Print_Area" localSheetId="9">'PGA Cost Summary (R)'!$B$1:$I$111,'PGA Cost Summary (R)'!$K$1:$R$114,'PGA Cost Summary (R)'!$T$1:$Y$111</definedName>
    <definedName name="_xlnm.Print_Area" localSheetId="4">'Rate Impacts Sch 101'!$B$1:$T$38</definedName>
    <definedName name="_xlnm.Print_Area" localSheetId="5">'Rate Impacts Sch 101 &amp; 106'!$B$1:$N$38</definedName>
    <definedName name="_xlnm.Print_Area" localSheetId="0">'REDACTED VERSION'!$A$1:$R$45</definedName>
    <definedName name="_xlnm.Print_Area" localSheetId="3">'Sch. 101'!$A$1:$J$40</definedName>
    <definedName name="_xlnm.Print_Area" localSheetId="1">'Sch. 101 PGA Rates'!$A$1:$K$62</definedName>
    <definedName name="_xlnm.Print_Area" localSheetId="6">'Typical Res Bill Sch 101 &amp; 106'!$B$1:$N$39</definedName>
    <definedName name="q" hidden="1">{#N/A,#N/A,FALSE,"Coversheet";#N/A,#N/A,FALSE,"QA"}</definedName>
    <definedName name="qqq" hidden="1">{#N/A,#N/A,FALSE,"schA"}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ntri" hidden="1">1000</definedName>
    <definedName name="solver_rsmp" hidden="1">2</definedName>
    <definedName name="solver_seed" hidden="1">0</definedName>
    <definedName name="sue" hidden="1">{#N/A,#N/A,FALSE,"Cover Sheet";"Use of Equipment",#N/A,FALSE,"Area C";"Equipment Hours",#N/A,FALSE,"All";"Summary",#N/A,FALSE,"All"}</definedName>
    <definedName name="summary" localSheetId="9" hidden="1">{"Plat Summary",#N/A,FALSE,"PLAT DESIGN"}</definedName>
    <definedName name="summary" hidden="1">{"Plat Summary",#N/A,FALSE,"PLAT DESIGN"}</definedName>
    <definedName name="susan" hidden="1">{#N/A,#N/A,FALSE,"Cover Sheet";"Use of Equipment",#N/A,FALSE,"Area C";"Equipment Hours",#N/A,FALSE,"All";"Summary",#N/A,FALSE,"All"}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localSheetId="11" hidden="1">{#N/A,#N/A,FALSE,"Pg 6b CustCount_Gas";#N/A,#N/A,FALSE,"QA";#N/A,#N/A,FALSE,"Report";#N/A,#N/A,FALSE,"forecast"}</definedName>
    <definedName name="we" localSheetId="9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localSheetId="1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1" hidden="1">{#N/A,#N/A,FALSE,"Pg 6b CustCount_Gas";#N/A,#N/A,FALSE,"QA";#N/A,#N/A,FALSE,"Report";#N/A,#N/A,FALSE,"forecast"}</definedName>
    <definedName name="wrn.Customer._.Counts._.Gas." localSheetId="9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hidden="1">{#N/A,#N/A,FALSE,"schA"}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11" hidden="1">{#N/A,#N/A,FALSE,"Coversheet";#N/A,#N/A,FALSE,"QA"}</definedName>
    <definedName name="wrn.Incentive._.Overhead." localSheetId="9" hidden="1">{#N/A,#N/A,FALSE,"Coversheet";#N/A,#N/A,FALSE,"QA"}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localSheetId="11" hidden="1">{#N/A,#N/A,FALSE,"Month ";#N/A,#N/A,FALSE,"YTD";#N/A,#N/A,FALSE,"12 mo ended"}</definedName>
    <definedName name="wrn.MARGIN_WO_QTR." localSheetId="9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1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</workbook>
</file>

<file path=xl/calcChain.xml><?xml version="1.0" encoding="utf-8"?>
<calcChain xmlns="http://schemas.openxmlformats.org/spreadsheetml/2006/main">
  <c r="N19" i="5" l="1"/>
  <c r="N6" i="5"/>
  <c r="E27" i="109" l="1"/>
  <c r="B61" i="105"/>
  <c r="M54" i="115"/>
  <c r="M49" i="115"/>
  <c r="H37" i="115"/>
  <c r="I35" i="115"/>
  <c r="G34" i="115"/>
  <c r="F38" i="115"/>
  <c r="J29" i="115"/>
  <c r="F29" i="115" s="1"/>
  <c r="J28" i="115"/>
  <c r="F28" i="115"/>
  <c r="L49" i="115"/>
  <c r="K49" i="115"/>
  <c r="H49" i="115"/>
  <c r="G49" i="115"/>
  <c r="B8" i="115"/>
  <c r="B9" i="115" s="1"/>
  <c r="B10" i="115" s="1"/>
  <c r="B11" i="115" s="1"/>
  <c r="B12" i="115" s="1"/>
  <c r="B13" i="115" s="1"/>
  <c r="B14" i="115" s="1"/>
  <c r="B15" i="115" s="1"/>
  <c r="B16" i="115" s="1"/>
  <c r="B17" i="115" s="1"/>
  <c r="B18" i="115" s="1"/>
  <c r="B19" i="115" s="1"/>
  <c r="B20" i="115" s="1"/>
  <c r="B21" i="115" s="1"/>
  <c r="B23" i="115" s="1"/>
  <c r="B24" i="115" s="1"/>
  <c r="B25" i="115" s="1"/>
  <c r="B26" i="115" s="1"/>
  <c r="B27" i="115" s="1"/>
  <c r="B28" i="115" s="1"/>
  <c r="B29" i="115" s="1"/>
  <c r="B31" i="115" s="1"/>
  <c r="B32" i="115" s="1"/>
  <c r="B33" i="115" s="1"/>
  <c r="B34" i="115" s="1"/>
  <c r="B35" i="115" s="1"/>
  <c r="B36" i="115" s="1"/>
  <c r="B37" i="115" s="1"/>
  <c r="B38" i="115" s="1"/>
  <c r="B40" i="115" s="1"/>
  <c r="B41" i="115" s="1"/>
  <c r="B42" i="115" s="1"/>
  <c r="B43" i="115" s="1"/>
  <c r="B44" i="115" s="1"/>
  <c r="B45" i="115" s="1"/>
  <c r="B46" i="115" s="1"/>
  <c r="B47" i="115" s="1"/>
  <c r="B49" i="115" s="1"/>
  <c r="B51" i="115" s="1"/>
  <c r="B52" i="115" s="1"/>
  <c r="B53" i="115" s="1"/>
  <c r="B54" i="115" s="1"/>
  <c r="J25" i="115" l="1"/>
  <c r="J27" i="115"/>
  <c r="F27" i="115" s="1"/>
  <c r="I33" i="115"/>
  <c r="J36" i="115"/>
  <c r="I37" i="115"/>
  <c r="F11" i="115"/>
  <c r="G12" i="115" s="1"/>
  <c r="J12" i="115"/>
  <c r="G36" i="115"/>
  <c r="H35" i="115"/>
  <c r="H36" i="115"/>
  <c r="H12" i="115"/>
  <c r="L12" i="115"/>
  <c r="F14" i="115"/>
  <c r="I15" i="115" s="1"/>
  <c r="F25" i="115"/>
  <c r="J35" i="115"/>
  <c r="J37" i="115"/>
  <c r="J49" i="115"/>
  <c r="I49" i="115"/>
  <c r="J33" i="115"/>
  <c r="H34" i="115"/>
  <c r="F17" i="115"/>
  <c r="G18" i="115" s="1"/>
  <c r="J26" i="115"/>
  <c r="J34" i="115" s="1"/>
  <c r="G33" i="115"/>
  <c r="I34" i="115"/>
  <c r="G35" i="115"/>
  <c r="I36" i="115"/>
  <c r="I38" i="115" s="1"/>
  <c r="F44" i="115" s="1"/>
  <c r="G37" i="115"/>
  <c r="F8" i="115"/>
  <c r="K9" i="115" s="1"/>
  <c r="F20" i="115"/>
  <c r="K21" i="115" s="1"/>
  <c r="H33" i="115"/>
  <c r="J9" i="115" l="1"/>
  <c r="H15" i="115"/>
  <c r="G9" i="115"/>
  <c r="L18" i="115"/>
  <c r="I12" i="115"/>
  <c r="K12" i="115"/>
  <c r="M12" i="115"/>
  <c r="G38" i="115"/>
  <c r="F42" i="115" s="1"/>
  <c r="K42" i="115" s="1"/>
  <c r="J21" i="115"/>
  <c r="K44" i="115"/>
  <c r="J44" i="115"/>
  <c r="J38" i="115"/>
  <c r="F45" i="115" s="1"/>
  <c r="F26" i="115"/>
  <c r="H38" i="115"/>
  <c r="F43" i="115" s="1"/>
  <c r="L21" i="115"/>
  <c r="L44" i="115" s="1"/>
  <c r="M21" i="115"/>
  <c r="M44" i="115" s="1"/>
  <c r="I21" i="115"/>
  <c r="I44" i="115" s="1"/>
  <c r="H21" i="115"/>
  <c r="H44" i="115" s="1"/>
  <c r="I18" i="115"/>
  <c r="M18" i="115"/>
  <c r="J18" i="115"/>
  <c r="H18" i="115"/>
  <c r="M9" i="115"/>
  <c r="I9" i="115"/>
  <c r="L9" i="115"/>
  <c r="H9" i="115"/>
  <c r="M15" i="115"/>
  <c r="K15" i="115"/>
  <c r="G15" i="115"/>
  <c r="J15" i="115"/>
  <c r="K18" i="115"/>
  <c r="F49" i="115"/>
  <c r="L15" i="115"/>
  <c r="G21" i="115"/>
  <c r="G44" i="115" s="1"/>
  <c r="M42" i="115" l="1"/>
  <c r="L42" i="115"/>
  <c r="G42" i="115"/>
  <c r="J42" i="115"/>
  <c r="H42" i="115"/>
  <c r="H47" i="115" s="1"/>
  <c r="I42" i="115"/>
  <c r="L53" i="115"/>
  <c r="H53" i="115"/>
  <c r="K45" i="115"/>
  <c r="G45" i="115"/>
  <c r="K53" i="115"/>
  <c r="G53" i="115"/>
  <c r="J45" i="115"/>
  <c r="I53" i="115"/>
  <c r="H45" i="115"/>
  <c r="J53" i="115"/>
  <c r="M45" i="115"/>
  <c r="I45" i="115"/>
  <c r="L45" i="115"/>
  <c r="M43" i="115"/>
  <c r="I43" i="115"/>
  <c r="L43" i="115"/>
  <c r="L47" i="115" s="1"/>
  <c r="H43" i="115"/>
  <c r="H52" i="115" s="1"/>
  <c r="G13" i="105" s="1"/>
  <c r="K43" i="115"/>
  <c r="G43" i="115"/>
  <c r="J43" i="115"/>
  <c r="F47" i="115"/>
  <c r="L52" i="115" l="1"/>
  <c r="I52" i="115"/>
  <c r="H13" i="105" s="1"/>
  <c r="J52" i="115"/>
  <c r="G52" i="115"/>
  <c r="K47" i="115"/>
  <c r="M47" i="115"/>
  <c r="H54" i="115"/>
  <c r="I47" i="115"/>
  <c r="G47" i="115"/>
  <c r="K52" i="115"/>
  <c r="I54" i="115"/>
  <c r="J47" i="115"/>
  <c r="J54" i="115" l="1"/>
  <c r="I13" i="105"/>
  <c r="G54" i="115"/>
  <c r="E13" i="105"/>
  <c r="F13" i="105"/>
  <c r="K54" i="115"/>
  <c r="J13" i="105"/>
  <c r="L54" i="115"/>
  <c r="K13" i="105"/>
  <c r="A1" i="5" l="1"/>
  <c r="G35" i="113" l="1"/>
  <c r="G34" i="113"/>
  <c r="G30" i="113"/>
  <c r="G29" i="113"/>
  <c r="G25" i="113"/>
  <c r="G24" i="113"/>
  <c r="G20" i="113"/>
  <c r="G19" i="113"/>
  <c r="G16" i="113"/>
  <c r="I13" i="112" s="1"/>
  <c r="I28" i="112" s="1"/>
  <c r="G13" i="113"/>
  <c r="I12" i="112" s="1"/>
  <c r="D39" i="113"/>
  <c r="D8" i="113"/>
  <c r="S33" i="112"/>
  <c r="P33" i="112"/>
  <c r="L33" i="112"/>
  <c r="K33" i="112"/>
  <c r="J33" i="112"/>
  <c r="I33" i="112"/>
  <c r="P32" i="112"/>
  <c r="P30" i="112"/>
  <c r="Q33" i="112"/>
  <c r="O33" i="112"/>
  <c r="N33" i="112"/>
  <c r="M33" i="112"/>
  <c r="G33" i="112"/>
  <c r="E33" i="112"/>
  <c r="D33" i="112"/>
  <c r="F21" i="112"/>
  <c r="Q32" i="112"/>
  <c r="K32" i="112"/>
  <c r="J32" i="112"/>
  <c r="Q31" i="112"/>
  <c r="P31" i="112"/>
  <c r="L31" i="112"/>
  <c r="K31" i="112"/>
  <c r="J31" i="112"/>
  <c r="D31" i="112"/>
  <c r="Q30" i="112"/>
  <c r="L30" i="112"/>
  <c r="K30" i="112"/>
  <c r="J30" i="112"/>
  <c r="G30" i="112"/>
  <c r="D30" i="112"/>
  <c r="Q29" i="112"/>
  <c r="P29" i="112"/>
  <c r="M29" i="112"/>
  <c r="K29" i="112"/>
  <c r="J29" i="112"/>
  <c r="D29" i="112"/>
  <c r="N28" i="112"/>
  <c r="K28" i="112"/>
  <c r="J28" i="112"/>
  <c r="G28" i="112"/>
  <c r="F12" i="112"/>
  <c r="Q27" i="112"/>
  <c r="P27" i="112"/>
  <c r="L27" i="112"/>
  <c r="J27" i="112"/>
  <c r="D27" i="112"/>
  <c r="G28" i="111"/>
  <c r="J27" i="111"/>
  <c r="D27" i="111"/>
  <c r="D29" i="111" s="1"/>
  <c r="E29" i="111" s="1"/>
  <c r="G25" i="111"/>
  <c r="H25" i="111" s="1"/>
  <c r="E25" i="111"/>
  <c r="J22" i="111"/>
  <c r="M21" i="111"/>
  <c r="J20" i="111"/>
  <c r="M19" i="111"/>
  <c r="J18" i="111"/>
  <c r="M17" i="111"/>
  <c r="J16" i="111"/>
  <c r="G12" i="111"/>
  <c r="B4" i="111"/>
  <c r="B2" i="111"/>
  <c r="I34" i="110"/>
  <c r="F34" i="110"/>
  <c r="J8" i="110"/>
  <c r="G8" i="110"/>
  <c r="J7" i="110"/>
  <c r="G7" i="110"/>
  <c r="L6" i="110"/>
  <c r="G31" i="112" l="1"/>
  <c r="E32" i="112"/>
  <c r="G27" i="112"/>
  <c r="M28" i="112"/>
  <c r="F11" i="112"/>
  <c r="L28" i="112"/>
  <c r="E31" i="112"/>
  <c r="F31" i="112" s="1"/>
  <c r="M27" i="112"/>
  <c r="J17" i="111"/>
  <c r="E30" i="112"/>
  <c r="F30" i="112" s="1"/>
  <c r="N30" i="112"/>
  <c r="O27" i="112"/>
  <c r="O29" i="112"/>
  <c r="F17" i="112"/>
  <c r="H17" i="112" s="1"/>
  <c r="O24" i="112"/>
  <c r="O30" i="112"/>
  <c r="K24" i="112"/>
  <c r="D28" i="112"/>
  <c r="N31" i="112"/>
  <c r="G36" i="113"/>
  <c r="I17" i="112" s="1"/>
  <c r="I32" i="112" s="1"/>
  <c r="P28" i="112"/>
  <c r="P34" i="112" s="1"/>
  <c r="M32" i="112"/>
  <c r="J19" i="111"/>
  <c r="N27" i="112"/>
  <c r="Q28" i="112"/>
  <c r="Q34" i="112" s="1"/>
  <c r="N32" i="112"/>
  <c r="H12" i="112"/>
  <c r="R12" i="112" s="1"/>
  <c r="D12" i="110" s="1"/>
  <c r="M30" i="112"/>
  <c r="M24" i="112"/>
  <c r="F23" i="112"/>
  <c r="H23" i="112" s="1"/>
  <c r="H33" i="112" s="1"/>
  <c r="N24" i="112"/>
  <c r="J21" i="111"/>
  <c r="F13" i="112"/>
  <c r="H13" i="112" s="1"/>
  <c r="H28" i="112" s="1"/>
  <c r="O28" i="112"/>
  <c r="L24" i="112"/>
  <c r="F15" i="112"/>
  <c r="H15" i="112" s="1"/>
  <c r="R15" i="112" s="1"/>
  <c r="E27" i="112"/>
  <c r="F27" i="112" s="1"/>
  <c r="E28" i="112"/>
  <c r="G21" i="113"/>
  <c r="I14" i="112" s="1"/>
  <c r="I29" i="112" s="1"/>
  <c r="G24" i="112"/>
  <c r="F18" i="112"/>
  <c r="H18" i="112" s="1"/>
  <c r="R18" i="112" s="1"/>
  <c r="D18" i="110" s="1"/>
  <c r="O31" i="112"/>
  <c r="K27" i="112"/>
  <c r="K34" i="112" s="1"/>
  <c r="G10" i="113"/>
  <c r="I11" i="112" s="1"/>
  <c r="I27" i="112" s="1"/>
  <c r="H11" i="112"/>
  <c r="H27" i="112" s="1"/>
  <c r="N29" i="112"/>
  <c r="M31" i="112"/>
  <c r="L29" i="112"/>
  <c r="G31" i="113"/>
  <c r="I16" i="112" s="1"/>
  <c r="I31" i="112" s="1"/>
  <c r="F19" i="112"/>
  <c r="H19" i="112" s="1"/>
  <c r="R19" i="112" s="1"/>
  <c r="T19" i="112" s="1"/>
  <c r="D40" i="113"/>
  <c r="J25" i="111"/>
  <c r="K25" i="111" s="1"/>
  <c r="F14" i="112"/>
  <c r="H14" i="112" s="1"/>
  <c r="F16" i="112"/>
  <c r="H16" i="112" s="1"/>
  <c r="L32" i="112"/>
  <c r="G29" i="112"/>
  <c r="E24" i="112"/>
  <c r="H21" i="112"/>
  <c r="R21" i="112" s="1"/>
  <c r="T21" i="112" s="1"/>
  <c r="F22" i="112"/>
  <c r="H22" i="112" s="1"/>
  <c r="R22" i="112" s="1"/>
  <c r="T22" i="112" s="1"/>
  <c r="M25" i="111"/>
  <c r="N25" i="111" s="1"/>
  <c r="D24" i="112"/>
  <c r="F33" i="112"/>
  <c r="G26" i="113"/>
  <c r="I15" i="112" s="1"/>
  <c r="I30" i="112" s="1"/>
  <c r="G13" i="111"/>
  <c r="H12" i="111"/>
  <c r="H13" i="111" s="1"/>
  <c r="T18" i="112"/>
  <c r="D21" i="110"/>
  <c r="J34" i="112"/>
  <c r="G16" i="111"/>
  <c r="F20" i="112"/>
  <c r="H20" i="112" s="1"/>
  <c r="R20" i="112" s="1"/>
  <c r="M16" i="111"/>
  <c r="M18" i="111"/>
  <c r="M20" i="111"/>
  <c r="M22" i="111"/>
  <c r="P24" i="112"/>
  <c r="E29" i="112"/>
  <c r="F29" i="112" s="1"/>
  <c r="G22" i="111"/>
  <c r="J12" i="111"/>
  <c r="D23" i="111"/>
  <c r="Q24" i="112"/>
  <c r="G17" i="111"/>
  <c r="G19" i="111"/>
  <c r="G21" i="111"/>
  <c r="R23" i="112"/>
  <c r="J24" i="112"/>
  <c r="D32" i="112"/>
  <c r="F32" i="112" s="1"/>
  <c r="D13" i="111"/>
  <c r="G20" i="111"/>
  <c r="E12" i="111"/>
  <c r="E13" i="111" s="1"/>
  <c r="G18" i="111"/>
  <c r="M12" i="111"/>
  <c r="G32" i="112"/>
  <c r="O32" i="112"/>
  <c r="R13" i="112" l="1"/>
  <c r="J23" i="111"/>
  <c r="R17" i="112"/>
  <c r="D19" i="110"/>
  <c r="G19" i="110" s="1"/>
  <c r="J36" i="111"/>
  <c r="N34" i="112"/>
  <c r="R16" i="112"/>
  <c r="D16" i="110" s="1"/>
  <c r="D32" i="110" s="1"/>
  <c r="F28" i="112"/>
  <c r="L34" i="112"/>
  <c r="M34" i="112"/>
  <c r="O34" i="112"/>
  <c r="G34" i="112"/>
  <c r="H29" i="112"/>
  <c r="I34" i="112"/>
  <c r="D22" i="110"/>
  <c r="L22" i="110" s="1"/>
  <c r="M22" i="110" s="1"/>
  <c r="N22" i="110" s="1"/>
  <c r="I24" i="112"/>
  <c r="K23" i="111"/>
  <c r="R11" i="112"/>
  <c r="D11" i="110" s="1"/>
  <c r="R14" i="112"/>
  <c r="D14" i="110" s="1"/>
  <c r="H24" i="112"/>
  <c r="F24" i="112"/>
  <c r="H31" i="112"/>
  <c r="G38" i="113"/>
  <c r="H32" i="112"/>
  <c r="H30" i="112"/>
  <c r="D34" i="112"/>
  <c r="N12" i="111"/>
  <c r="N13" i="111" s="1"/>
  <c r="M13" i="111"/>
  <c r="R30" i="112"/>
  <c r="D15" i="110"/>
  <c r="T20" i="112"/>
  <c r="D20" i="110"/>
  <c r="R32" i="112"/>
  <c r="D17" i="110"/>
  <c r="L18" i="110"/>
  <c r="M18" i="110" s="1"/>
  <c r="N18" i="110" s="1"/>
  <c r="J18" i="110"/>
  <c r="G18" i="110"/>
  <c r="D36" i="111"/>
  <c r="E23" i="111"/>
  <c r="E30" i="111" s="1"/>
  <c r="E32" i="111" s="1"/>
  <c r="D30" i="111"/>
  <c r="K12" i="111"/>
  <c r="K13" i="111" s="1"/>
  <c r="J13" i="111"/>
  <c r="T23" i="112"/>
  <c r="R33" i="112"/>
  <c r="T33" i="112" s="1"/>
  <c r="D23" i="110"/>
  <c r="G23" i="111"/>
  <c r="L19" i="110"/>
  <c r="M19" i="110" s="1"/>
  <c r="N19" i="110" s="1"/>
  <c r="L21" i="110"/>
  <c r="M21" i="110" s="1"/>
  <c r="N21" i="110" s="1"/>
  <c r="J21" i="110"/>
  <c r="G21" i="110"/>
  <c r="M23" i="111"/>
  <c r="E34" i="112"/>
  <c r="R28" i="112"/>
  <c r="D13" i="110"/>
  <c r="G22" i="110" l="1"/>
  <c r="J22" i="110"/>
  <c r="J19" i="110"/>
  <c r="R31" i="112"/>
  <c r="R29" i="112"/>
  <c r="R24" i="112"/>
  <c r="H34" i="112"/>
  <c r="R27" i="112"/>
  <c r="R34" i="112" s="1"/>
  <c r="D29" i="110"/>
  <c r="D33" i="110"/>
  <c r="M36" i="111"/>
  <c r="N23" i="111"/>
  <c r="F34" i="112"/>
  <c r="L20" i="110"/>
  <c r="M20" i="110" s="1"/>
  <c r="N20" i="110" s="1"/>
  <c r="G20" i="110"/>
  <c r="J20" i="110"/>
  <c r="D30" i="110"/>
  <c r="G36" i="111"/>
  <c r="H23" i="111"/>
  <c r="D24" i="110"/>
  <c r="D28" i="110"/>
  <c r="J23" i="110"/>
  <c r="D34" i="110"/>
  <c r="L23" i="110"/>
  <c r="M23" i="110" s="1"/>
  <c r="G23" i="110"/>
  <c r="D31" i="110"/>
  <c r="G34" i="110" l="1"/>
  <c r="L34" i="110"/>
  <c r="J34" i="110"/>
  <c r="D35" i="110"/>
  <c r="N23" i="110"/>
  <c r="M34" i="110"/>
  <c r="N34" i="110" s="1"/>
  <c r="D45" i="105" l="1"/>
  <c r="A15" i="109"/>
  <c r="A16" i="109" s="1"/>
  <c r="A17" i="109" s="1"/>
  <c r="A18" i="109" s="1"/>
  <c r="A19" i="109" s="1"/>
  <c r="A20" i="109" s="1"/>
  <c r="A21" i="109" s="1"/>
  <c r="A14" i="109"/>
  <c r="E15" i="109" l="1"/>
  <c r="E17" i="109" s="1"/>
  <c r="E19" i="109" s="1"/>
  <c r="E20" i="109" s="1"/>
  <c r="E21" i="109" s="1"/>
  <c r="B15" i="109"/>
  <c r="J29" i="111" l="1"/>
  <c r="K29" i="111" l="1"/>
  <c r="K30" i="111" s="1"/>
  <c r="K32" i="111" s="1"/>
  <c r="K33" i="111" s="1"/>
  <c r="K34" i="111" s="1"/>
  <c r="J30" i="111"/>
  <c r="I29" i="110"/>
  <c r="J13" i="110"/>
  <c r="I30" i="110"/>
  <c r="J14" i="110"/>
  <c r="J29" i="110" l="1"/>
  <c r="J12" i="110"/>
  <c r="I31" i="110"/>
  <c r="J15" i="110"/>
  <c r="J30" i="110"/>
  <c r="I33" i="110"/>
  <c r="J17" i="110"/>
  <c r="I32" i="110"/>
  <c r="J16" i="110"/>
  <c r="J31" i="110" l="1"/>
  <c r="J33" i="110"/>
  <c r="J32" i="110"/>
  <c r="I28" i="110" l="1"/>
  <c r="I24" i="110"/>
  <c r="J24" i="110" s="1"/>
  <c r="J11" i="110"/>
  <c r="I35" i="110" l="1"/>
  <c r="J35" i="110" s="1"/>
  <c r="J28" i="110"/>
  <c r="A2" i="5" l="1"/>
  <c r="A11" i="105" l="1"/>
  <c r="A12" i="105" s="1"/>
  <c r="A13" i="105" s="1"/>
  <c r="A14" i="105" s="1"/>
  <c r="A15" i="105" s="1"/>
  <c r="A16" i="105" s="1"/>
  <c r="A17" i="105" s="1"/>
  <c r="A18" i="105" s="1"/>
  <c r="A19" i="105" s="1"/>
  <c r="A20" i="105" s="1"/>
  <c r="A21" i="105" s="1"/>
  <c r="A22" i="105" s="1"/>
  <c r="A23" i="105" s="1"/>
  <c r="A24" i="105" s="1"/>
  <c r="A25" i="105" s="1"/>
  <c r="A26" i="105" s="1"/>
  <c r="A27" i="105" s="1"/>
  <c r="A28" i="105" s="1"/>
  <c r="A29" i="105" s="1"/>
  <c r="A30" i="105" s="1"/>
  <c r="A31" i="105" s="1"/>
  <c r="A32" i="105" s="1"/>
  <c r="A33" i="105" s="1"/>
  <c r="A34" i="105" s="1"/>
  <c r="A35" i="105" s="1"/>
  <c r="A36" i="105" s="1"/>
  <c r="A37" i="105" s="1"/>
  <c r="A38" i="105" s="1"/>
  <c r="A39" i="105" s="1"/>
  <c r="A40" i="105" s="1"/>
  <c r="A41" i="105" s="1"/>
  <c r="A42" i="105" s="1"/>
  <c r="A43" i="105" s="1"/>
  <c r="A44" i="105" s="1"/>
  <c r="A45" i="105" s="1"/>
  <c r="A46" i="105" s="1"/>
  <c r="A47" i="105" s="1"/>
  <c r="A48" i="105" s="1"/>
  <c r="A49" i="105" s="1"/>
  <c r="A50" i="105" s="1"/>
  <c r="A51" i="105" s="1"/>
  <c r="A52" i="105" s="1"/>
  <c r="A53" i="105" s="1"/>
  <c r="A54" i="105" s="1"/>
  <c r="A55" i="105" s="1"/>
  <c r="A56" i="105" s="1"/>
  <c r="A57" i="105" s="1"/>
  <c r="K46" i="105" l="1"/>
  <c r="K47" i="105" s="1"/>
  <c r="F35" i="113" s="1"/>
  <c r="H35" i="113" s="1"/>
  <c r="I35" i="113" s="1"/>
  <c r="J46" i="105"/>
  <c r="J47" i="105" s="1"/>
  <c r="F30" i="113" s="1"/>
  <c r="H30" i="113" s="1"/>
  <c r="I30" i="113" s="1"/>
  <c r="J30" i="113" s="1"/>
  <c r="I46" i="105"/>
  <c r="I47" i="105" s="1"/>
  <c r="F25" i="113" s="1"/>
  <c r="H25" i="113" s="1"/>
  <c r="I25" i="113" s="1"/>
  <c r="J25" i="113" s="1"/>
  <c r="H46" i="105"/>
  <c r="H47" i="105" s="1"/>
  <c r="F20" i="113" s="1"/>
  <c r="H20" i="113" s="1"/>
  <c r="I20" i="113" s="1"/>
  <c r="J20" i="113" s="1"/>
  <c r="G46" i="105"/>
  <c r="G47" i="105" s="1"/>
  <c r="F46" i="105"/>
  <c r="F47" i="105" s="1"/>
  <c r="E46" i="105"/>
  <c r="E47" i="105" s="1"/>
  <c r="B20" i="5" l="1"/>
  <c r="C20" i="5" l="1"/>
  <c r="D20" i="5" s="1"/>
  <c r="E20" i="5" s="1"/>
  <c r="F20" i="5" s="1"/>
  <c r="G20" i="5" s="1"/>
  <c r="H20" i="5" s="1"/>
  <c r="I20" i="5" s="1"/>
  <c r="J20" i="5" s="1"/>
  <c r="K20" i="5" s="1"/>
  <c r="L20" i="5" s="1"/>
  <c r="M20" i="5" s="1"/>
  <c r="E28" i="5" l="1"/>
  <c r="K28" i="5"/>
  <c r="H28" i="5"/>
  <c r="J28" i="5"/>
  <c r="F28" i="5"/>
  <c r="C28" i="5"/>
  <c r="N26" i="5"/>
  <c r="J10" i="105" s="1"/>
  <c r="J21" i="105" s="1"/>
  <c r="M28" i="5"/>
  <c r="N24" i="5"/>
  <c r="H10" i="105" s="1"/>
  <c r="H21" i="105" s="1"/>
  <c r="G28" i="5"/>
  <c r="I28" i="5"/>
  <c r="N23" i="5"/>
  <c r="G10" i="105" s="1"/>
  <c r="G21" i="105" s="1"/>
  <c r="B28" i="5"/>
  <c r="N22" i="5"/>
  <c r="F10" i="105" s="1"/>
  <c r="F21" i="105" s="1"/>
  <c r="L28" i="5"/>
  <c r="N21" i="5"/>
  <c r="E10" i="105" s="1"/>
  <c r="D28" i="5"/>
  <c r="N25" i="5"/>
  <c r="I10" i="105" s="1"/>
  <c r="I21" i="105" s="1"/>
  <c r="N27" i="5"/>
  <c r="K10" i="105" s="1"/>
  <c r="K21" i="105" s="1"/>
  <c r="E21" i="105" l="1"/>
  <c r="D21" i="105" s="1"/>
  <c r="D10" i="105"/>
  <c r="N28" i="5"/>
  <c r="N8" i="5" l="1"/>
  <c r="E11" i="105" s="1"/>
  <c r="N9" i="5" l="1"/>
  <c r="F11" i="105" s="1"/>
  <c r="N10" i="5"/>
  <c r="G11" i="105" s="1"/>
  <c r="N11" i="5"/>
  <c r="H11" i="105" s="1"/>
  <c r="N13" i="5"/>
  <c r="J11" i="105" s="1"/>
  <c r="N14" i="5"/>
  <c r="K11" i="105" s="1"/>
  <c r="N12" i="5"/>
  <c r="I11" i="105" s="1"/>
  <c r="I34" i="105" s="1"/>
  <c r="H34" i="105" l="1"/>
  <c r="K34" i="105"/>
  <c r="G34" i="105"/>
  <c r="F34" i="105"/>
  <c r="N15" i="5"/>
  <c r="J34" i="105" l="1"/>
  <c r="E34" i="105"/>
  <c r="D34" i="105" s="1"/>
  <c r="D36" i="105" s="1"/>
  <c r="D11" i="105"/>
  <c r="H36" i="105" l="1"/>
  <c r="H40" i="105" s="1"/>
  <c r="H41" i="105" s="1"/>
  <c r="K36" i="105"/>
  <c r="I36" i="105"/>
  <c r="I40" i="105" s="1"/>
  <c r="I41" i="105" s="1"/>
  <c r="J36" i="105"/>
  <c r="J40" i="105" s="1"/>
  <c r="J41" i="105" s="1"/>
  <c r="E36" i="105"/>
  <c r="E40" i="105" s="1"/>
  <c r="E41" i="105" s="1"/>
  <c r="F36" i="105"/>
  <c r="F40" i="105" s="1"/>
  <c r="F41" i="105" s="1"/>
  <c r="G36" i="105"/>
  <c r="G40" i="105" s="1"/>
  <c r="G41" i="105" s="1"/>
  <c r="K51" i="105" l="1"/>
  <c r="K40" i="105"/>
  <c r="K41" i="105" s="1"/>
  <c r="F51" i="105"/>
  <c r="F37" i="105"/>
  <c r="E51" i="105"/>
  <c r="I51" i="105"/>
  <c r="G51" i="105"/>
  <c r="J51" i="105"/>
  <c r="H51" i="105"/>
  <c r="F52" i="105" l="1"/>
  <c r="K14" i="105" l="1"/>
  <c r="J14" i="105"/>
  <c r="H14" i="105"/>
  <c r="I14" i="105"/>
  <c r="G14" i="105" l="1"/>
  <c r="F14" i="105"/>
  <c r="E14" i="105"/>
  <c r="D14" i="105" l="1"/>
  <c r="E16" i="105" l="1"/>
  <c r="E23" i="105" s="1"/>
  <c r="E25" i="105" s="1"/>
  <c r="F16" i="105"/>
  <c r="F23" i="105" s="1"/>
  <c r="F25" i="105" s="1"/>
  <c r="F29" i="105" s="1"/>
  <c r="F30" i="105" s="1"/>
  <c r="G16" i="105"/>
  <c r="G17" i="105" s="1"/>
  <c r="F17" i="105"/>
  <c r="H16" i="105"/>
  <c r="K16" i="105"/>
  <c r="J16" i="105"/>
  <c r="I16" i="105"/>
  <c r="G23" i="105" l="1"/>
  <c r="G25" i="105" s="1"/>
  <c r="G29" i="105" s="1"/>
  <c r="G30" i="105" s="1"/>
  <c r="E17" i="105"/>
  <c r="H17" i="105"/>
  <c r="H23" i="105"/>
  <c r="H25" i="105" s="1"/>
  <c r="H29" i="105" s="1"/>
  <c r="H30" i="105" s="1"/>
  <c r="E29" i="105"/>
  <c r="E30" i="105" s="1"/>
  <c r="F49" i="105"/>
  <c r="F26" i="105"/>
  <c r="I17" i="105"/>
  <c r="I23" i="105"/>
  <c r="I25" i="105" s="1"/>
  <c r="I29" i="105" s="1"/>
  <c r="I30" i="105" s="1"/>
  <c r="K17" i="105"/>
  <c r="K23" i="105"/>
  <c r="K25" i="105" s="1"/>
  <c r="K29" i="105" s="1"/>
  <c r="K30" i="105" s="1"/>
  <c r="G49" i="105"/>
  <c r="J23" i="105"/>
  <c r="J25" i="105" s="1"/>
  <c r="J29" i="105" s="1"/>
  <c r="J30" i="105" s="1"/>
  <c r="J17" i="105"/>
  <c r="C7" i="5"/>
  <c r="D7" i="5" s="1"/>
  <c r="E7" i="5" s="1"/>
  <c r="F7" i="5" s="1"/>
  <c r="G7" i="5" s="1"/>
  <c r="H7" i="5" s="1"/>
  <c r="I7" i="5" s="1"/>
  <c r="J7" i="5" s="1"/>
  <c r="K7" i="5" s="1"/>
  <c r="L7" i="5" s="1"/>
  <c r="M7" i="5" s="1"/>
  <c r="B11" i="105" s="1"/>
  <c r="B34" i="105" s="1"/>
  <c r="F50" i="105" l="1"/>
  <c r="F54" i="105" s="1"/>
  <c r="F57" i="105" s="1"/>
  <c r="G53" i="105"/>
  <c r="G56" i="105" s="1"/>
  <c r="D17" i="105"/>
  <c r="K49" i="105"/>
  <c r="F53" i="105"/>
  <c r="I49" i="105"/>
  <c r="J49" i="105"/>
  <c r="D23" i="105"/>
  <c r="E49" i="105"/>
  <c r="H49" i="105"/>
  <c r="F16" i="113" l="1"/>
  <c r="H16" i="113" s="1"/>
  <c r="I16" i="113" s="1"/>
  <c r="K53" i="105"/>
  <c r="K56" i="105" s="1"/>
  <c r="I53" i="105"/>
  <c r="I56" i="105" s="1"/>
  <c r="J53" i="105"/>
  <c r="H53" i="105"/>
  <c r="E53" i="105"/>
  <c r="E56" i="105" s="1"/>
  <c r="F56" i="105"/>
  <c r="F24" i="113" l="1"/>
  <c r="H24" i="113" s="1"/>
  <c r="F13" i="113"/>
  <c r="H13" i="113" s="1"/>
  <c r="I13" i="113" s="1"/>
  <c r="F34" i="113"/>
  <c r="H34" i="113" s="1"/>
  <c r="F10" i="113"/>
  <c r="S13" i="112"/>
  <c r="J16" i="113"/>
  <c r="H56" i="105"/>
  <c r="J56" i="105"/>
  <c r="F19" i="113" l="1"/>
  <c r="H19" i="113" s="1"/>
  <c r="H36" i="113"/>
  <c r="I34" i="113"/>
  <c r="F29" i="113"/>
  <c r="H29" i="113" s="1"/>
  <c r="F13" i="110"/>
  <c r="T13" i="112"/>
  <c r="S28" i="112"/>
  <c r="T28" i="112" s="1"/>
  <c r="J13" i="113"/>
  <c r="S12" i="112"/>
  <c r="M27" i="111"/>
  <c r="M29" i="111" s="1"/>
  <c r="G27" i="111"/>
  <c r="G29" i="111" s="1"/>
  <c r="H10" i="113"/>
  <c r="H26" i="113"/>
  <c r="I24" i="113"/>
  <c r="L15" i="5"/>
  <c r="H15" i="5"/>
  <c r="D15" i="5"/>
  <c r="J15" i="5"/>
  <c r="F15" i="5"/>
  <c r="K15" i="5"/>
  <c r="G15" i="5"/>
  <c r="C15" i="5"/>
  <c r="B15" i="5"/>
  <c r="H31" i="113" l="1"/>
  <c r="I29" i="113"/>
  <c r="H21" i="113"/>
  <c r="I19" i="113"/>
  <c r="J24" i="113"/>
  <c r="I26" i="113"/>
  <c r="T12" i="112"/>
  <c r="F12" i="110"/>
  <c r="I10" i="113"/>
  <c r="J34" i="113"/>
  <c r="I36" i="113"/>
  <c r="M30" i="111"/>
  <c r="N29" i="111"/>
  <c r="N30" i="111" s="1"/>
  <c r="N32" i="111" s="1"/>
  <c r="N33" i="111" s="1"/>
  <c r="N34" i="111" s="1"/>
  <c r="H29" i="111"/>
  <c r="H30" i="111" s="1"/>
  <c r="H32" i="111" s="1"/>
  <c r="H33" i="111" s="1"/>
  <c r="H34" i="111" s="1"/>
  <c r="G30" i="111"/>
  <c r="G13" i="110"/>
  <c r="F29" i="110"/>
  <c r="L13" i="110"/>
  <c r="M13" i="110" s="1"/>
  <c r="E15" i="5"/>
  <c r="M15" i="5"/>
  <c r="I15" i="5"/>
  <c r="H38" i="113" l="1"/>
  <c r="S17" i="112"/>
  <c r="J36" i="113"/>
  <c r="I21" i="113"/>
  <c r="J19" i="113"/>
  <c r="G29" i="110"/>
  <c r="L29" i="110"/>
  <c r="J10" i="113"/>
  <c r="S11" i="112"/>
  <c r="J26" i="113"/>
  <c r="S15" i="112"/>
  <c r="I31" i="113"/>
  <c r="J29" i="113"/>
  <c r="N13" i="110"/>
  <c r="M29" i="110"/>
  <c r="N29" i="110" s="1"/>
  <c r="G12" i="110"/>
  <c r="L12" i="110"/>
  <c r="M12" i="110" s="1"/>
  <c r="N12" i="110" s="1"/>
  <c r="I38" i="113" l="1"/>
  <c r="J38" i="113" s="1"/>
  <c r="S32" i="112"/>
  <c r="T32" i="112" s="1"/>
  <c r="T17" i="112"/>
  <c r="F17" i="110"/>
  <c r="S16" i="112"/>
  <c r="J31" i="113"/>
  <c r="T11" i="112"/>
  <c r="F11" i="110"/>
  <c r="S27" i="112"/>
  <c r="F15" i="110"/>
  <c r="S30" i="112"/>
  <c r="T30" i="112" s="1"/>
  <c r="T15" i="112"/>
  <c r="S14" i="112"/>
  <c r="J21" i="113"/>
  <c r="S24" i="112" l="1"/>
  <c r="T24" i="112" s="1"/>
  <c r="F31" i="110"/>
  <c r="G15" i="110"/>
  <c r="L15" i="110"/>
  <c r="M15" i="110" s="1"/>
  <c r="G11" i="110"/>
  <c r="F28" i="110"/>
  <c r="L11" i="110"/>
  <c r="T27" i="112"/>
  <c r="S29" i="112"/>
  <c r="T29" i="112" s="1"/>
  <c r="T14" i="112"/>
  <c r="F14" i="110"/>
  <c r="F33" i="110"/>
  <c r="G17" i="110"/>
  <c r="L17" i="110"/>
  <c r="M17" i="110" s="1"/>
  <c r="T16" i="112"/>
  <c r="F16" i="110"/>
  <c r="S31" i="112"/>
  <c r="T31" i="112" s="1"/>
  <c r="F24" i="110" l="1"/>
  <c r="G24" i="110" s="1"/>
  <c r="G28" i="110"/>
  <c r="L28" i="110"/>
  <c r="G31" i="110"/>
  <c r="L31" i="110"/>
  <c r="G14" i="110"/>
  <c r="F30" i="110"/>
  <c r="L14" i="110"/>
  <c r="M14" i="110" s="1"/>
  <c r="N15" i="110"/>
  <c r="M31" i="110"/>
  <c r="N31" i="110" s="1"/>
  <c r="N17" i="110"/>
  <c r="M33" i="110"/>
  <c r="N33" i="110" s="1"/>
  <c r="F32" i="110"/>
  <c r="G16" i="110"/>
  <c r="L16" i="110"/>
  <c r="M16" i="110" s="1"/>
  <c r="G33" i="110"/>
  <c r="L33" i="110"/>
  <c r="S34" i="112"/>
  <c r="T34" i="112" s="1"/>
  <c r="M11" i="110"/>
  <c r="F35" i="110" l="1"/>
  <c r="G35" i="110" s="1"/>
  <c r="M28" i="110"/>
  <c r="M24" i="110"/>
  <c r="N24" i="110" s="1"/>
  <c r="N11" i="110"/>
  <c r="M30" i="110"/>
  <c r="N30" i="110" s="1"/>
  <c r="N14" i="110"/>
  <c r="G32" i="110"/>
  <c r="L32" i="110"/>
  <c r="L24" i="110"/>
  <c r="G30" i="110"/>
  <c r="L30" i="110"/>
  <c r="N16" i="110"/>
  <c r="M32" i="110"/>
  <c r="N32" i="110" s="1"/>
  <c r="L35" i="110" l="1"/>
  <c r="N28" i="110"/>
  <c r="M35" i="110"/>
  <c r="N35" i="110" s="1"/>
</calcChain>
</file>

<file path=xl/sharedStrings.xml><?xml version="1.0" encoding="utf-8"?>
<sst xmlns="http://schemas.openxmlformats.org/spreadsheetml/2006/main" count="556" uniqueCount="309">
  <si>
    <t>Rate</t>
  </si>
  <si>
    <t>Demand</t>
  </si>
  <si>
    <t>(a)</t>
  </si>
  <si>
    <t>(b)</t>
  </si>
  <si>
    <t>(d)</t>
  </si>
  <si>
    <t>Total</t>
  </si>
  <si>
    <t>Schedule</t>
  </si>
  <si>
    <t>Puget Sound Energy</t>
  </si>
  <si>
    <t>Line</t>
  </si>
  <si>
    <t>Residential</t>
  </si>
  <si>
    <t>Commercial and Industrial</t>
  </si>
  <si>
    <t>Large Volume</t>
  </si>
  <si>
    <t>(e)</t>
  </si>
  <si>
    <t>(g)</t>
  </si>
  <si>
    <t>Rates</t>
  </si>
  <si>
    <t>Change</t>
  </si>
  <si>
    <t>(f)</t>
  </si>
  <si>
    <t>Commercial &amp; Industrial</t>
  </si>
  <si>
    <t>Description</t>
  </si>
  <si>
    <t>Revenue</t>
  </si>
  <si>
    <t>Current</t>
  </si>
  <si>
    <t>Proposed</t>
  </si>
  <si>
    <t>Percent</t>
  </si>
  <si>
    <t>Volume (therms)</t>
  </si>
  <si>
    <t>Revenue Adjustment Factor (RAF)</t>
  </si>
  <si>
    <t>Total volumetric charges</t>
  </si>
  <si>
    <t>Total monthly bill</t>
  </si>
  <si>
    <t>Change from bill under current rates</t>
  </si>
  <si>
    <t>Percent change from bill under current rates</t>
  </si>
  <si>
    <t>Customer charge ($/month)</t>
  </si>
  <si>
    <t>Volumetric charges ($/therm)</t>
  </si>
  <si>
    <t>Projected Annual Commodity Cost (Revenue Requirement)</t>
  </si>
  <si>
    <t>Volume</t>
  </si>
  <si>
    <t>Rate Class</t>
  </si>
  <si>
    <t>A</t>
  </si>
  <si>
    <t>B</t>
  </si>
  <si>
    <t>C</t>
  </si>
  <si>
    <t>H</t>
  </si>
  <si>
    <t>Billing Determinants</t>
  </si>
  <si>
    <t>Interruptible</t>
  </si>
  <si>
    <t>Charges</t>
  </si>
  <si>
    <t>Subtotal</t>
  </si>
  <si>
    <t>Total volumetric rates less gas costs</t>
  </si>
  <si>
    <t>Current Rates</t>
  </si>
  <si>
    <t>41T</t>
  </si>
  <si>
    <t>85T</t>
  </si>
  <si>
    <t>Limited Interruptible</t>
  </si>
  <si>
    <t>86T</t>
  </si>
  <si>
    <t>87T</t>
  </si>
  <si>
    <t xml:space="preserve">Demand </t>
  </si>
  <si>
    <t>Forecasted</t>
  </si>
  <si>
    <t>Volume (Therms)</t>
  </si>
  <si>
    <t>Percent of Total Demand Cost</t>
  </si>
  <si>
    <t>Total Forecasted</t>
  </si>
  <si>
    <t>$/Therm</t>
  </si>
  <si>
    <t>D</t>
  </si>
  <si>
    <t xml:space="preserve">F </t>
  </si>
  <si>
    <t>I</t>
  </si>
  <si>
    <t>J</t>
  </si>
  <si>
    <t>K</t>
  </si>
  <si>
    <t>L</t>
  </si>
  <si>
    <t>M</t>
  </si>
  <si>
    <t>N</t>
  </si>
  <si>
    <t>O</t>
  </si>
  <si>
    <t>P</t>
  </si>
  <si>
    <t>23,53</t>
  </si>
  <si>
    <t>Residential Gas Lights</t>
  </si>
  <si>
    <t>Non-exclusive Interruptible</t>
  </si>
  <si>
    <t>Commercial &amp; Industrial Transportation</t>
  </si>
  <si>
    <t>31T</t>
  </si>
  <si>
    <t>Large Volume Transportation</t>
  </si>
  <si>
    <t>Interruptible Transportation</t>
  </si>
  <si>
    <t>Limited Interruptible Transportation</t>
  </si>
  <si>
    <t>Non-exclusive Interruptible Transportation</t>
  </si>
  <si>
    <t>Contracts</t>
  </si>
  <si>
    <t>Rate Change Impacts by Rate Schedule</t>
  </si>
  <si>
    <t>E=D/C</t>
  </si>
  <si>
    <t xml:space="preserve">G=E*F </t>
  </si>
  <si>
    <t xml:space="preserve">R </t>
  </si>
  <si>
    <t>cross check</t>
  </si>
  <si>
    <t>% Change</t>
  </si>
  <si>
    <t>E</t>
  </si>
  <si>
    <t>F</t>
  </si>
  <si>
    <t>G</t>
  </si>
  <si>
    <t>Units</t>
  </si>
  <si>
    <t>Res
16, 23 &amp; 53</t>
  </si>
  <si>
    <t>Commercial &amp; Industrial
31 &amp; 31T</t>
  </si>
  <si>
    <t>Large Volume
41 &amp; 41T</t>
  </si>
  <si>
    <t>Interruptible
85 &amp; 85T</t>
  </si>
  <si>
    <t>Limited Interruptible
86 &amp; 86T</t>
  </si>
  <si>
    <t>Non-Exclusive Interruptible
87 &amp; 87T</t>
  </si>
  <si>
    <t>Spl Contracts</t>
  </si>
  <si>
    <t>Annual Throughput (Sales &amp; Transport Excluding Spl Contracts)</t>
  </si>
  <si>
    <t>(Therms)</t>
  </si>
  <si>
    <t>Annual Sales</t>
  </si>
  <si>
    <t>Nov-Mar Winter Throughput (Sales &amp; Transport Excluding Spl Contracts)</t>
  </si>
  <si>
    <t>Nov-Mar Winter Sales</t>
  </si>
  <si>
    <t>Design Day Sales</t>
  </si>
  <si>
    <t>Cost Allocations</t>
  </si>
  <si>
    <t>Indication</t>
  </si>
  <si>
    <t>Winter Sales</t>
  </si>
  <si>
    <t>Design Peak</t>
  </si>
  <si>
    <t>Sys.Balanc'g</t>
  </si>
  <si>
    <t>Williams Northwest Pipeline,  Gas Transmission Northwest, NGTL, Foothills</t>
  </si>
  <si>
    <t>YR Capacity</t>
  </si>
  <si>
    <t>TF-2 for PSE Owned Storage &amp; JP Leased</t>
  </si>
  <si>
    <t>TF-2</t>
  </si>
  <si>
    <t>Jackson Prairie Storage plus Williams Northwest Pipeline TF-2</t>
  </si>
  <si>
    <t>JP</t>
  </si>
  <si>
    <t>Delivered Product Peaking Contract</t>
  </si>
  <si>
    <t>PC</t>
  </si>
  <si>
    <t>Clay Basin Storage</t>
  </si>
  <si>
    <t>CB</t>
  </si>
  <si>
    <t>Illustrative Costs</t>
  </si>
  <si>
    <t>Clay Basin Storage + Credit for release of JP</t>
  </si>
  <si>
    <t>Illustrative Demand Component</t>
  </si>
  <si>
    <t>PGA Demand Component</t>
  </si>
  <si>
    <t>PGA System Balancing Component</t>
  </si>
  <si>
    <t>Sched 101</t>
  </si>
  <si>
    <t>Proposed Rates</t>
  </si>
  <si>
    <t>Schedule 23 Residential</t>
  </si>
  <si>
    <t>Delivery Charge</t>
  </si>
  <si>
    <t>Therms</t>
  </si>
  <si>
    <t>Schedule 16 Gas Lights</t>
  </si>
  <si>
    <t>Schedule 31 Commercial &amp; Industrial - Sales</t>
  </si>
  <si>
    <t>Schedule 41 Large Volume High Load Factor - Sales</t>
  </si>
  <si>
    <t>Delivery Charge:</t>
  </si>
  <si>
    <t>Demand Charge</t>
  </si>
  <si>
    <t>Schedule 85 Interruptible - Sales</t>
  </si>
  <si>
    <t>Schedule 86 Limited Interruptible - Sales</t>
  </si>
  <si>
    <t>Schedule 87 Non-exclusive Interruptible - Sales</t>
  </si>
  <si>
    <t xml:space="preserve">(1) </t>
  </si>
  <si>
    <t xml:space="preserve">(2) </t>
  </si>
  <si>
    <t>Revenue Requirement for Volumetric Charge</t>
  </si>
  <si>
    <t>Workpaper</t>
  </si>
  <si>
    <t>No.</t>
  </si>
  <si>
    <t>Source</t>
  </si>
  <si>
    <t xml:space="preserve">(c) </t>
  </si>
  <si>
    <t xml:space="preserve">(h) </t>
  </si>
  <si>
    <t>(i)</t>
  </si>
  <si>
    <t>(j)</t>
  </si>
  <si>
    <t>Notes:</t>
  </si>
  <si>
    <t>Shaded information is designated as confidential per WAC 480-07-160.</t>
  </si>
  <si>
    <t>PUGET SOUND ENERGY</t>
  </si>
  <si>
    <t>Category</t>
  </si>
  <si>
    <t>Group</t>
  </si>
  <si>
    <t>Rate per Dth</t>
  </si>
  <si>
    <t>Demand Cost</t>
  </si>
  <si>
    <t>Commodity Cost</t>
  </si>
  <si>
    <t>Total Demand Cost</t>
  </si>
  <si>
    <t>Total Commodity Cost</t>
  </si>
  <si>
    <t>Total Gas Cost</t>
  </si>
  <si>
    <t>Projected Demand Volume by Month (Therms)</t>
  </si>
  <si>
    <t>Proposed Rates Effective November 1, 2022</t>
  </si>
  <si>
    <t>12ME Oct. 2023</t>
  </si>
  <si>
    <t>Sch. 101</t>
  </si>
  <si>
    <t>Sch. 106</t>
  </si>
  <si>
    <t>By Customer Class:</t>
  </si>
  <si>
    <t>16,23,53</t>
  </si>
  <si>
    <t>Commercial &amp; industrial</t>
  </si>
  <si>
    <t>31,31T</t>
  </si>
  <si>
    <t>Large volume</t>
  </si>
  <si>
    <t>41,41T</t>
  </si>
  <si>
    <t>85,85T</t>
  </si>
  <si>
    <t>Limited interruptible</t>
  </si>
  <si>
    <t>86,86T</t>
  </si>
  <si>
    <t>Non-exclusive interruptible</t>
  </si>
  <si>
    <t>87,87T</t>
  </si>
  <si>
    <t>Typical Residential Bill Impacts</t>
  </si>
  <si>
    <t>Schedule 101 PGA</t>
  </si>
  <si>
    <t>Rate Change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</si>
  <si>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</si>
  <si>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Basic charge (Sch. 23)</t>
  </si>
  <si>
    <t>Delivery charge (Sch. 23)</t>
  </si>
  <si>
    <t>Low income charge (Sch. 129)</t>
  </si>
  <si>
    <t>Property tax charge (Sch. 140)</t>
  </si>
  <si>
    <t>EDIT adjusting charge (Sch. 141X)</t>
  </si>
  <si>
    <t>UP EDIT adjusting charge (Sch. 141Z)</t>
  </si>
  <si>
    <t>Decoupling charge (Sch. 142)</t>
  </si>
  <si>
    <t>CRM Charge (Sch. 149)</t>
  </si>
  <si>
    <t>Conservation charge (Sch. 120)</t>
  </si>
  <si>
    <t>Gas cost charge (Sch. 101)</t>
  </si>
  <si>
    <t>Gas cost amort. charge (Sch. 106)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</si>
  <si>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May 1, 2022</t>
    </r>
  </si>
  <si>
    <t>2022 Gas Schedule 101 Purchased Gas Adjustment (PGA) Filing</t>
  </si>
  <si>
    <t>UG-190530</t>
  </si>
  <si>
    <t>Base Sch.</t>
  </si>
  <si>
    <t>Base Schedule</t>
  </si>
  <si>
    <t>Nov. 2022 -</t>
  </si>
  <si>
    <t>Sch. 120</t>
  </si>
  <si>
    <t>Sch. 129</t>
  </si>
  <si>
    <t>Sch. 140</t>
  </si>
  <si>
    <t>Sch. 141X</t>
  </si>
  <si>
    <t>Sch. 141Z</t>
  </si>
  <si>
    <t>Sch. 142</t>
  </si>
  <si>
    <t>Sch. 149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</si>
  <si>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</si>
  <si>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</si>
  <si>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Oct. 2023</t>
  </si>
  <si>
    <r>
      <t>Revenue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</si>
  <si>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Q = sum(G:P)</t>
  </si>
  <si>
    <t>S= R/Q</t>
  </si>
  <si>
    <t>Gas Schedule 101</t>
  </si>
  <si>
    <t>Purchased Gas Adjustment</t>
  </si>
  <si>
    <t>2022 Gas Schedules 101 &amp; 106 PGA Filings</t>
  </si>
  <si>
    <t xml:space="preserve">Revenue at </t>
  </si>
  <si>
    <t>PGA</t>
  </si>
  <si>
    <t>PGA Amort.</t>
  </si>
  <si>
    <t>Revenue at</t>
  </si>
  <si>
    <t>Revenue Change</t>
  </si>
  <si>
    <t xml:space="preserve"> % Change</t>
  </si>
  <si>
    <t>E = D/C</t>
  </si>
  <si>
    <t>G = F/C</t>
  </si>
  <si>
    <t>H = C+D+F</t>
  </si>
  <si>
    <t>I = H-C</t>
  </si>
  <si>
    <t>J = I/C</t>
  </si>
  <si>
    <t>Schedule 106 PGA Amort.</t>
  </si>
  <si>
    <t>Total Rate Change</t>
  </si>
  <si>
    <t>Proposed Volumetric Demand Rates (Pre-Tax)</t>
  </si>
  <si>
    <t>Proposed Schedule 16 Rate per Mantle (Pre-Tax)</t>
  </si>
  <si>
    <t>Proposed Commodity Rates (Pre-Tax)</t>
  </si>
  <si>
    <t>Schedule 16 Rate per Mantle (Pre-Tax)</t>
  </si>
  <si>
    <t>Proposed Gas Supply Demand Charge (Including RAF)</t>
  </si>
  <si>
    <t>Proposed Total Volumetric Rates (Pre-Tax)</t>
  </si>
  <si>
    <t>Proposed Total Volumetric Rates (Including RAF)</t>
  </si>
  <si>
    <t>Schedule 16 Rate per Mantle (Including RAF)</t>
  </si>
  <si>
    <t>Projected Annual Demand Cost (Revenue Requirement)</t>
  </si>
  <si>
    <t>Calculation of PGA Demand Rates</t>
  </si>
  <si>
    <t>Calculation of PGA Commodity Rates</t>
  </si>
  <si>
    <t>(2) x (4)</t>
  </si>
  <si>
    <t>Percent of (7c)</t>
  </si>
  <si>
    <t>(2)</t>
  </si>
  <si>
    <t xml:space="preserve">% change </t>
  </si>
  <si>
    <t xml:space="preserve">Commodity </t>
  </si>
  <si>
    <t>PUGET SOUND ENERGY-GAS</t>
  </si>
  <si>
    <t>LINE</t>
  </si>
  <si>
    <t>NO.</t>
  </si>
  <si>
    <t>DESCRIPTION</t>
  </si>
  <si>
    <t>RATE</t>
  </si>
  <si>
    <t>BAD DEBTS</t>
  </si>
  <si>
    <t>ANNUAL FILING FEE</t>
  </si>
  <si>
    <t>SUM OF TAXES OTHER</t>
  </si>
  <si>
    <t>CONVERSION FACTOR EXCLUDING FEDERAL INCOME TAX ( 1 - LINE 5)</t>
  </si>
  <si>
    <t xml:space="preserve">CONVERSION FACTOR INCL FEDERAL INCOME TAX ( LINE 5 + LINE 8 ) </t>
  </si>
  <si>
    <t>CONVERSION FACTOR - GAS</t>
  </si>
  <si>
    <t>FOR THE TWELVE MONTHS ENDED DECEMBER 31, 2018</t>
  </si>
  <si>
    <t>2019 GENERAL RATE CASE</t>
  </si>
  <si>
    <t>FEDERAL INCOME TAX ( LINE 7 * 21%)</t>
  </si>
  <si>
    <t>(16)</t>
  </si>
  <si>
    <t>Change from previous PGA</t>
  </si>
  <si>
    <t xml:space="preserve">Total </t>
  </si>
  <si>
    <t>Tariff</t>
  </si>
  <si>
    <t>Alloc. based on (5)</t>
  </si>
  <si>
    <t>(1) x (11)</t>
  </si>
  <si>
    <t>(7) - (12)</t>
  </si>
  <si>
    <t>(14)  /  (2)</t>
  </si>
  <si>
    <t>(16e) x 19</t>
  </si>
  <si>
    <t>(16) - (19)</t>
  </si>
  <si>
    <t>(20)  /  (19)</t>
  </si>
  <si>
    <t>(26) / (25)</t>
  </si>
  <si>
    <t>(27e) x 19</t>
  </si>
  <si>
    <t>(27) - (30)</t>
  </si>
  <si>
    <t>(31)  /  (30)</t>
  </si>
  <si>
    <t>(11)</t>
  </si>
  <si>
    <t>(37) x (1+(36))</t>
  </si>
  <si>
    <t>(17)</t>
  </si>
  <si>
    <t>(27)</t>
  </si>
  <si>
    <t>(28)</t>
  </si>
  <si>
    <t>(40) + (42)</t>
  </si>
  <si>
    <t>(41) + (43)</t>
  </si>
  <si>
    <t>(44) x (1+(36))</t>
  </si>
  <si>
    <t>(45) x (1+(36))</t>
  </si>
  <si>
    <t>Gas supply demand charge is billed based on contract or fixed demand therms.</t>
  </si>
  <si>
    <t>Calculation of Schedule 101 Rates</t>
  </si>
  <si>
    <t>Proposed Effective November 1, 2022</t>
  </si>
  <si>
    <r>
      <t>Unit Demand Costs from Cost Study</t>
    </r>
    <r>
      <rPr>
        <vertAlign val="superscript"/>
        <sz val="10"/>
        <rFont val="Arial"/>
        <family val="2"/>
      </rPr>
      <t>(1)</t>
    </r>
  </si>
  <si>
    <r>
      <t>Proposed Gas Supply Demand Charge (Pre-Tax)</t>
    </r>
    <r>
      <rPr>
        <vertAlign val="superscript"/>
        <sz val="10"/>
        <rFont val="Arial"/>
        <family val="2"/>
      </rPr>
      <t>(2)</t>
    </r>
  </si>
  <si>
    <t>Total Proposed PGA Rates</t>
  </si>
  <si>
    <t>Projected Contract Demand (therms)</t>
  </si>
  <si>
    <t>Estimated PGA Demand Revenue Under Cost of Service Rates</t>
  </si>
  <si>
    <t>Revenue Under Proposed PGA Demand Rates</t>
  </si>
  <si>
    <r>
      <t>Current PGA Demand Rates (Sch. 101) (Pre-Tax)</t>
    </r>
    <r>
      <rPr>
        <vertAlign val="superscript"/>
        <sz val="10"/>
        <rFont val="Arial"/>
        <family val="2"/>
      </rPr>
      <t>(2)</t>
    </r>
  </si>
  <si>
    <r>
      <t>Proposed PGA Demand Rates (Sch. 101) (Pre-Tax)</t>
    </r>
    <r>
      <rPr>
        <vertAlign val="superscript"/>
        <sz val="10"/>
        <rFont val="Arial"/>
        <family val="2"/>
      </rPr>
      <t>(2)</t>
    </r>
  </si>
  <si>
    <t>Current Volumetric Demand Rates (Sch. 101) (Pre-Tax)</t>
  </si>
  <si>
    <t>Proposed Change in Vol. Demand Rates (Sch. 101) (Pre-Tax)</t>
  </si>
  <si>
    <t>Percent Change in Vol. Demand Rates (Sch. 101) (Pre-Tax)</t>
  </si>
  <si>
    <t>Current Volumetric Commodity Rates (Sch. 101) (Pre-Tax)</t>
  </si>
  <si>
    <t>Proposed Change in Vol. Commodity Rates (Sch.. 101) (Pre-Tax)</t>
  </si>
  <si>
    <t>Percent Change in Vol. Commodity Rates (Sch. 101) (Pre-Tax)</t>
  </si>
  <si>
    <t xml:space="preserve">Revenue Adjustment Factor (RAF) </t>
  </si>
  <si>
    <t>Rate Schedule</t>
  </si>
  <si>
    <t>Projected Volume by Month (Therms)</t>
  </si>
  <si>
    <t>Forecasted Therms</t>
  </si>
  <si>
    <t xml:space="preserve">(e) </t>
  </si>
  <si>
    <t xml:space="preserve">(d) </t>
  </si>
  <si>
    <t>Gas Resource Demand Cost Allocation</t>
  </si>
  <si>
    <t>Twelve Months Ended December 31, 2018</t>
  </si>
  <si>
    <t>2019 Gas General Rate Case (Docket UG-190530)</t>
  </si>
  <si>
    <t>Source: 2019 Gas General Rate Case (Docket UG-190530) Compliance Filing (09-24-2020), Gas Resource Allocation Cost of Service model.</t>
  </si>
  <si>
    <t>Source: F2022 Forecast (2-25-2022) delivered volumes.</t>
  </si>
  <si>
    <t>PGA cost proposed to be effective 11.01.2022</t>
  </si>
  <si>
    <t>PGA cost proposed to be effective 11.01.2021</t>
  </si>
  <si>
    <t>REDACTED VERSION</t>
  </si>
  <si>
    <r>
      <rPr>
        <vertAlign val="superscript"/>
        <sz val="11"/>
        <rFont val="Calibri"/>
        <family val="2"/>
      </rPr>
      <t xml:space="preserve">(1) </t>
    </r>
    <r>
      <rPr>
        <sz val="11"/>
        <rFont val="Calibri"/>
        <family val="2"/>
      </rPr>
      <t>Rates effective May 1, 2022</t>
    </r>
  </si>
  <si>
    <r>
      <t>Current Rates</t>
    </r>
    <r>
      <rPr>
        <vertAlign val="superscript"/>
        <sz val="11"/>
        <color theme="1"/>
        <rFont val="Calibri"/>
        <family val="2"/>
        <scheme val="minor"/>
      </rPr>
      <t xml:space="preserve"> (1)</t>
    </r>
  </si>
  <si>
    <t>2022-2021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</si>
  <si>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rFont val="Calibri"/>
        <family val="2"/>
      </rPr>
      <t>Weather normalized volume and base schedule margin for 12 months ending December 2018, at approved rates from UG-190530 GRC IRS PLR compliance filing.</t>
    </r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</si>
  <si>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rFont val="Calibri"/>
        <family val="2"/>
      </rPr>
      <t>Forecasted revenues at current rates effective May 1, 2022.</t>
    </r>
  </si>
  <si>
    <t>Source: PSE 2019 GRC (Docket UG-190530), with updated annual filing fee.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</si>
</sst>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_);\(&quot;$&quot;#,##0.0000\)"/>
    <numFmt numFmtId="165" formatCode="&quot;$&quot;#,##0"/>
    <numFmt numFmtId="166" formatCode="&quot;$&quot;#,##0.000"/>
    <numFmt numFmtId="167" formatCode="_(&quot;$&quot;* #,##0_);_(&quot;$&quot;* \(#,##0\);_(&quot;$&quot;* &quot;-&quot;??_);_(@_)"/>
    <numFmt numFmtId="168" formatCode="0.0000%"/>
    <numFmt numFmtId="169" formatCode="_(* #,##0_);_(* \(#,##0\);_(* &quot;-&quot;??_);_(@_)"/>
    <numFmt numFmtId="170" formatCode="0.000%"/>
    <numFmt numFmtId="171" formatCode="_(&quot;$&quot;* #,##0.00000_);_(&quot;$&quot;* \(#,##0.00000\);_(&quot;$&quot;* &quot;-&quot;??_);_(@_)"/>
    <numFmt numFmtId="172" formatCode="0.0%"/>
    <numFmt numFmtId="173" formatCode="&quot;$&quot;#,##0.00000_);\(&quot;$&quot;#,##0.00000\)"/>
    <numFmt numFmtId="174" formatCode="_(&quot;$&quot;* #,##0.00000_);_(&quot;$&quot;* \(#,##0.00000\);_(&quot;$&quot;* &quot;-&quot;?????_);_(@_)"/>
    <numFmt numFmtId="175" formatCode="_(&quot;$&quot;* #,##0.00_);_(&quot;$&quot;* \(#,##0.00\);_(&quot;$&quot;* &quot;-&quot;?????_);_(@_)"/>
    <numFmt numFmtId="176" formatCode="_(&quot;$&quot;* #,##0.00_);_(&quot;$&quot;* \(#,##0.00\);_(&quot;$&quot;* &quot;-&quot;_);_(@_)"/>
    <numFmt numFmtId="177" formatCode="_(* #,##0.0000_);_(* \(#,##0.0000\);_(* &quot;-&quot;??_);_(@_)"/>
    <numFmt numFmtId="178" formatCode="&quot;$&quot;#,##0.00"/>
    <numFmt numFmtId="179" formatCode="0.000000"/>
    <numFmt numFmtId="180" formatCode="0.00000000"/>
    <numFmt numFmtId="181" formatCode="_(* #,##0.000000_);_(* \(#,##0.000000\);_(* &quot;-&quot;??_);_(@_)"/>
    <numFmt numFmtId="182" formatCode="mmm\-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name val="Arial"/>
      <family val="2"/>
    </font>
    <font>
      <sz val="18"/>
      <color theme="1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11"/>
      <color rgb="FF454545"/>
      <name val="Courier New"/>
      <family val="3"/>
    </font>
    <font>
      <vertAlign val="superscript"/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rgb="FF008080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</font>
    <font>
      <b/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0"/>
      <color rgb="FF009999"/>
      <name val="Arial"/>
      <family val="2"/>
    </font>
    <font>
      <sz val="10"/>
      <color rgb="FF008080"/>
      <name val="Arial"/>
      <family val="2"/>
    </font>
    <font>
      <sz val="10"/>
      <color indexed="21"/>
      <name val="Arial"/>
      <family val="2"/>
    </font>
    <font>
      <sz val="10"/>
      <color indexed="57"/>
      <name val="Arial"/>
      <family val="2"/>
    </font>
    <font>
      <sz val="10"/>
      <color rgb="FF009999"/>
      <name val="Arial"/>
      <family val="2"/>
    </font>
    <font>
      <b/>
      <sz val="10"/>
      <color rgb="FF008080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vertAlign val="superscript"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/>
      <right style="medium">
        <color rgb="FFFFFF00"/>
      </right>
      <top/>
      <bottom/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thin">
        <color indexed="64"/>
      </left>
      <right style="medium">
        <color rgb="FFFFFF00"/>
      </right>
      <top/>
      <bottom style="thin">
        <color indexed="64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</borders>
  <cellStyleXfs count="35">
    <xf numFmtId="0" fontId="0" fillId="0" borderId="0"/>
    <xf numFmtId="44" fontId="18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5" fillId="3" borderId="2" applyNumberFormat="0">
      <alignment horizontal="center" vertical="center" wrapText="1"/>
    </xf>
    <xf numFmtId="0" fontId="14" fillId="0" borderId="0"/>
    <xf numFmtId="0" fontId="13" fillId="0" borderId="0"/>
    <xf numFmtId="9" fontId="19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4" fillId="0" borderId="0" applyFont="0" applyFill="0" applyBorder="0" applyAlignment="0" applyProtection="0"/>
    <xf numFmtId="0" fontId="14" fillId="0" borderId="0"/>
    <xf numFmtId="0" fontId="10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24">
    <xf numFmtId="0" fontId="0" fillId="0" borderId="0" xfId="0"/>
    <xf numFmtId="0" fontId="14" fillId="4" borderId="15" xfId="2" applyFont="1" applyFill="1" applyBorder="1" applyAlignment="1">
      <alignment horizontal="center"/>
    </xf>
    <xf numFmtId="0" fontId="14" fillId="4" borderId="3" xfId="2" applyFont="1" applyFill="1" applyBorder="1"/>
    <xf numFmtId="0" fontId="22" fillId="4" borderId="14" xfId="2" applyFont="1" applyFill="1" applyBorder="1" applyAlignment="1">
      <alignment horizontal="center"/>
    </xf>
    <xf numFmtId="0" fontId="14" fillId="4" borderId="13" xfId="8" applyFont="1" applyFill="1" applyBorder="1" applyAlignment="1">
      <alignment horizontal="center"/>
    </xf>
    <xf numFmtId="0" fontId="14" fillId="4" borderId="0" xfId="8" applyFont="1" applyFill="1" applyBorder="1"/>
    <xf numFmtId="171" fontId="14" fillId="4" borderId="0" xfId="9" applyNumberFormat="1" applyFont="1" applyFill="1" applyBorder="1"/>
    <xf numFmtId="0" fontId="14" fillId="4" borderId="0" xfId="8" applyFont="1" applyFill="1" applyBorder="1" applyAlignment="1">
      <alignment horizontal="right"/>
    </xf>
    <xf numFmtId="0" fontId="14" fillId="4" borderId="7" xfId="8" applyFont="1" applyFill="1" applyBorder="1"/>
    <xf numFmtId="0" fontId="22" fillId="4" borderId="13" xfId="8" applyFont="1" applyFill="1" applyBorder="1" applyAlignment="1">
      <alignment horizontal="center"/>
    </xf>
    <xf numFmtId="0" fontId="22" fillId="4" borderId="0" xfId="8" applyFont="1" applyFill="1" applyBorder="1"/>
    <xf numFmtId="37" fontId="22" fillId="4" borderId="0" xfId="8" applyNumberFormat="1" applyFont="1" applyFill="1" applyBorder="1"/>
    <xf numFmtId="171" fontId="22" fillId="4" borderId="0" xfId="9" applyNumberFormat="1" applyFont="1" applyFill="1" applyBorder="1"/>
    <xf numFmtId="164" fontId="22" fillId="4" borderId="0" xfId="8" applyNumberFormat="1" applyFont="1" applyFill="1" applyBorder="1" applyAlignment="1">
      <alignment horizontal="right"/>
    </xf>
    <xf numFmtId="0" fontId="22" fillId="4" borderId="7" xfId="8" applyFont="1" applyFill="1" applyBorder="1"/>
    <xf numFmtId="0" fontId="14" fillId="4" borderId="0" xfId="8" applyFont="1" applyFill="1" applyBorder="1" applyAlignment="1">
      <alignment horizontal="center"/>
    </xf>
    <xf numFmtId="171" fontId="14" fillId="4" borderId="0" xfId="9" applyNumberFormat="1" applyFont="1" applyFill="1" applyBorder="1" applyAlignment="1">
      <alignment horizontal="center"/>
    </xf>
    <xf numFmtId="44" fontId="14" fillId="4" borderId="0" xfId="9" applyFont="1" applyFill="1" applyBorder="1" applyAlignment="1">
      <alignment horizontal="center"/>
    </xf>
    <xf numFmtId="44" fontId="14" fillId="4" borderId="7" xfId="9" applyFont="1" applyFill="1" applyBorder="1" applyAlignment="1">
      <alignment horizontal="center"/>
    </xf>
    <xf numFmtId="0" fontId="15" fillId="4" borderId="2" xfId="8" applyFont="1" applyFill="1" applyBorder="1" applyAlignment="1">
      <alignment horizontal="center" wrapText="1"/>
    </xf>
    <xf numFmtId="171" fontId="15" fillId="4" borderId="2" xfId="9" applyNumberFormat="1" applyFont="1" applyFill="1" applyBorder="1" applyAlignment="1">
      <alignment horizontal="center" wrapText="1"/>
    </xf>
    <xf numFmtId="0" fontId="15" fillId="4" borderId="2" xfId="8" applyFont="1" applyFill="1" applyBorder="1" applyAlignment="1">
      <alignment horizontal="center"/>
    </xf>
    <xf numFmtId="0" fontId="15" fillId="4" borderId="5" xfId="8" applyFont="1" applyFill="1" applyBorder="1" applyAlignment="1">
      <alignment horizontal="center" wrapText="1"/>
    </xf>
    <xf numFmtId="0" fontId="15" fillId="4" borderId="0" xfId="8" applyFont="1" applyFill="1" applyBorder="1"/>
    <xf numFmtId="173" fontId="14" fillId="4" borderId="0" xfId="9" applyNumberFormat="1" applyFont="1" applyFill="1" applyBorder="1" applyAlignment="1">
      <alignment horizontal="right"/>
    </xf>
    <xf numFmtId="173" fontId="15" fillId="4" borderId="0" xfId="9" applyNumberFormat="1" applyFont="1" applyFill="1" applyBorder="1" applyAlignment="1">
      <alignment horizontal="right"/>
    </xf>
    <xf numFmtId="5" fontId="15" fillId="4" borderId="0" xfId="8" applyNumberFormat="1" applyFont="1" applyFill="1" applyBorder="1" applyAlignment="1">
      <alignment horizontal="right"/>
    </xf>
    <xf numFmtId="37" fontId="15" fillId="4" borderId="0" xfId="8" applyNumberFormat="1" applyFont="1" applyFill="1" applyBorder="1" applyAlignment="1">
      <alignment horizontal="right"/>
    </xf>
    <xf numFmtId="0" fontId="28" fillId="4" borderId="0" xfId="8" applyFont="1" applyFill="1" applyBorder="1"/>
    <xf numFmtId="173" fontId="15" fillId="4" borderId="0" xfId="8" applyNumberFormat="1" applyFont="1" applyFill="1" applyBorder="1" applyAlignment="1">
      <alignment horizontal="right"/>
    </xf>
    <xf numFmtId="165" fontId="14" fillId="4" borderId="0" xfId="8" applyNumberFormat="1" applyFont="1" applyFill="1" applyBorder="1" applyAlignment="1">
      <alignment horizontal="right"/>
    </xf>
    <xf numFmtId="37" fontId="14" fillId="4" borderId="0" xfId="17" applyNumberFormat="1" applyFont="1" applyFill="1" applyBorder="1" applyAlignment="1">
      <alignment horizontal="right"/>
    </xf>
    <xf numFmtId="0" fontId="14" fillId="0" borderId="0" xfId="2" applyNumberFormat="1" applyFont="1" applyAlignment="1"/>
    <xf numFmtId="0" fontId="34" fillId="0" borderId="0" xfId="2" applyNumberFormat="1" applyFont="1" applyAlignment="1">
      <alignment horizontal="right"/>
    </xf>
    <xf numFmtId="0" fontId="14" fillId="0" borderId="0" xfId="2" applyNumberFormat="1" applyFont="1" applyFill="1" applyAlignment="1"/>
    <xf numFmtId="180" fontId="14" fillId="0" borderId="0" xfId="2" applyNumberFormat="1" applyFont="1" applyAlignment="1"/>
    <xf numFmtId="0" fontId="15" fillId="0" borderId="0" xfId="2" applyNumberFormat="1" applyFont="1" applyFill="1" applyAlignment="1"/>
    <xf numFmtId="179" fontId="15" fillId="0" borderId="0" xfId="2" applyNumberFormat="1" applyFont="1" applyFill="1" applyAlignment="1">
      <alignment horizontal="right"/>
    </xf>
    <xf numFmtId="0" fontId="15" fillId="0" borderId="0" xfId="2" applyNumberFormat="1" applyFont="1" applyFill="1" applyAlignment="1">
      <alignment horizontal="centerContinuous"/>
    </xf>
    <xf numFmtId="0" fontId="15" fillId="0" borderId="0" xfId="2" applyNumberFormat="1" applyFont="1" applyFill="1" applyAlignment="1" applyProtection="1">
      <alignment horizontal="centerContinuous"/>
      <protection locked="0"/>
    </xf>
    <xf numFmtId="0" fontId="15" fillId="0" borderId="0" xfId="2" applyNumberFormat="1" applyFont="1" applyFill="1" applyAlignment="1">
      <alignment horizontal="center"/>
    </xf>
    <xf numFmtId="0" fontId="15" fillId="0" borderId="2" xfId="2" applyNumberFormat="1" applyFont="1" applyFill="1" applyBorder="1" applyAlignment="1">
      <alignment horizontal="center"/>
    </xf>
    <xf numFmtId="0" fontId="15" fillId="0" borderId="2" xfId="2" applyNumberFormat="1" applyFont="1" applyFill="1" applyBorder="1" applyAlignment="1" applyProtection="1">
      <protection locked="0"/>
    </xf>
    <xf numFmtId="0" fontId="15" fillId="0" borderId="2" xfId="2" applyNumberFormat="1" applyFont="1" applyFill="1" applyBorder="1" applyAlignment="1"/>
    <xf numFmtId="0" fontId="15" fillId="0" borderId="2" xfId="2" applyNumberFormat="1" applyFont="1" applyFill="1" applyBorder="1" applyAlignment="1">
      <alignment horizontal="right"/>
    </xf>
    <xf numFmtId="0" fontId="14" fillId="0" borderId="0" xfId="2" applyNumberFormat="1" applyFont="1" applyFill="1" applyAlignment="1">
      <alignment horizontal="center"/>
    </xf>
    <xf numFmtId="0" fontId="14" fillId="0" borderId="0" xfId="2" applyNumberFormat="1" applyFont="1" applyFill="1" applyAlignment="1">
      <alignment horizontal="left"/>
    </xf>
    <xf numFmtId="179" fontId="47" fillId="0" borderId="0" xfId="2" applyNumberFormat="1" applyFont="1" applyFill="1" applyAlignment="1"/>
    <xf numFmtId="170" fontId="14" fillId="0" borderId="0" xfId="2" applyNumberFormat="1" applyFont="1" applyFill="1" applyAlignment="1"/>
    <xf numFmtId="179" fontId="14" fillId="0" borderId="2" xfId="2" applyNumberFormat="1" applyFont="1" applyFill="1" applyBorder="1" applyAlignment="1"/>
    <xf numFmtId="179" fontId="14" fillId="0" borderId="0" xfId="2" applyNumberFormat="1" applyFont="1" applyFill="1" applyBorder="1" applyAlignment="1"/>
    <xf numFmtId="179" fontId="14" fillId="0" borderId="0" xfId="2" applyNumberFormat="1" applyFont="1" applyFill="1" applyAlignment="1"/>
    <xf numFmtId="9" fontId="14" fillId="0" borderId="0" xfId="2" applyNumberFormat="1" applyFont="1" applyFill="1" applyAlignment="1"/>
    <xf numFmtId="179" fontId="14" fillId="0" borderId="12" xfId="2" applyNumberFormat="1" applyFont="1" applyFill="1" applyBorder="1" applyAlignment="1" applyProtection="1">
      <protection locked="0"/>
    </xf>
    <xf numFmtId="0" fontId="33" fillId="0" borderId="0" xfId="30" applyFont="1" applyAlignment="1"/>
    <xf numFmtId="0" fontId="4" fillId="0" borderId="0" xfId="30"/>
    <xf numFmtId="0" fontId="4" fillId="0" borderId="0" xfId="30" applyAlignment="1"/>
    <xf numFmtId="0" fontId="4" fillId="0" borderId="0" xfId="30" applyAlignment="1">
      <alignment horizontal="center"/>
    </xf>
    <xf numFmtId="0" fontId="36" fillId="0" borderId="0" xfId="30" applyFont="1" applyBorder="1" applyAlignment="1">
      <alignment horizontal="center"/>
    </xf>
    <xf numFmtId="0" fontId="4" fillId="0" borderId="0" xfId="30" applyFont="1" applyBorder="1" applyAlignment="1">
      <alignment horizontal="center"/>
    </xf>
    <xf numFmtId="0" fontId="4" fillId="0" borderId="0" xfId="30" applyBorder="1" applyAlignment="1">
      <alignment horizontal="center"/>
    </xf>
    <xf numFmtId="0" fontId="4" fillId="0" borderId="2" xfId="30" applyBorder="1" applyAlignment="1">
      <alignment horizontal="center"/>
    </xf>
    <xf numFmtId="3" fontId="4" fillId="0" borderId="0" xfId="30" applyNumberFormat="1" applyBorder="1" applyAlignment="1">
      <alignment horizontal="center"/>
    </xf>
    <xf numFmtId="42" fontId="4" fillId="0" borderId="0" xfId="30" applyNumberFormat="1" applyBorder="1" applyAlignment="1">
      <alignment horizontal="center"/>
    </xf>
    <xf numFmtId="42" fontId="37" fillId="0" borderId="0" xfId="30" applyNumberFormat="1" applyFont="1" applyAlignment="1">
      <alignment horizontal="left"/>
    </xf>
    <xf numFmtId="167" fontId="37" fillId="0" borderId="0" xfId="30" applyNumberFormat="1" applyFont="1"/>
    <xf numFmtId="10" fontId="4" fillId="0" borderId="0" xfId="30" applyNumberFormat="1" applyFont="1"/>
    <xf numFmtId="171" fontId="4" fillId="0" borderId="0" xfId="30" applyNumberFormat="1"/>
    <xf numFmtId="42" fontId="4" fillId="0" borderId="0" xfId="30" applyNumberFormat="1" applyFont="1"/>
    <xf numFmtId="167" fontId="4" fillId="0" borderId="0" xfId="30" applyNumberFormat="1" applyFont="1"/>
    <xf numFmtId="171" fontId="4" fillId="0" borderId="0" xfId="30" applyNumberFormat="1" applyBorder="1"/>
    <xf numFmtId="10" fontId="4" fillId="0" borderId="0" xfId="30" applyNumberFormat="1" applyFont="1" applyBorder="1"/>
    <xf numFmtId="0" fontId="4" fillId="0" borderId="0" xfId="30" applyBorder="1"/>
    <xf numFmtId="42" fontId="4" fillId="0" borderId="3" xfId="30" applyNumberFormat="1" applyBorder="1"/>
    <xf numFmtId="42" fontId="4" fillId="0" borderId="0" xfId="30" applyNumberFormat="1" applyBorder="1"/>
    <xf numFmtId="167" fontId="4" fillId="0" borderId="3" xfId="30" applyNumberFormat="1" applyFont="1" applyBorder="1"/>
    <xf numFmtId="10" fontId="4" fillId="0" borderId="3" xfId="30" applyNumberFormat="1" applyFont="1" applyBorder="1"/>
    <xf numFmtId="0" fontId="38" fillId="0" borderId="0" xfId="30" applyFont="1" applyBorder="1" applyAlignment="1">
      <alignment horizontal="left"/>
    </xf>
    <xf numFmtId="3" fontId="38" fillId="0" borderId="0" xfId="30" applyNumberFormat="1" applyFont="1" applyFill="1" applyBorder="1"/>
    <xf numFmtId="167" fontId="38" fillId="0" borderId="0" xfId="30" applyNumberFormat="1" applyFont="1" applyFill="1" applyBorder="1"/>
    <xf numFmtId="174" fontId="45" fillId="0" borderId="0" xfId="30" applyNumberFormat="1" applyFont="1" applyFill="1" applyBorder="1"/>
    <xf numFmtId="174" fontId="38" fillId="0" borderId="0" xfId="30" applyNumberFormat="1" applyFont="1" applyFill="1" applyBorder="1"/>
    <xf numFmtId="10" fontId="38" fillId="0" borderId="0" xfId="30" applyNumberFormat="1" applyFont="1" applyBorder="1"/>
    <xf numFmtId="0" fontId="38" fillId="0" borderId="0" xfId="30" applyFont="1" applyBorder="1"/>
    <xf numFmtId="0" fontId="38" fillId="0" borderId="0" xfId="30" applyFont="1"/>
    <xf numFmtId="10" fontId="4" fillId="0" borderId="0" xfId="30" applyNumberFormat="1" applyBorder="1"/>
    <xf numFmtId="0" fontId="39" fillId="0" borderId="0" xfId="30" applyFont="1" applyBorder="1" applyAlignment="1">
      <alignment horizontal="left"/>
    </xf>
    <xf numFmtId="0" fontId="40" fillId="0" borderId="0" xfId="30" applyFont="1" applyAlignment="1">
      <alignment horizontal="left"/>
    </xf>
    <xf numFmtId="167" fontId="38" fillId="0" borderId="0" xfId="30" applyNumberFormat="1" applyFont="1" applyBorder="1"/>
    <xf numFmtId="42" fontId="45" fillId="0" borderId="0" xfId="30" applyNumberFormat="1" applyFont="1" applyBorder="1"/>
    <xf numFmtId="0" fontId="38" fillId="0" borderId="0" xfId="30" applyFont="1" applyAlignment="1">
      <alignment horizontal="left"/>
    </xf>
    <xf numFmtId="0" fontId="38" fillId="0" borderId="0" xfId="30" applyFont="1" applyAlignment="1">
      <alignment horizontal="center"/>
    </xf>
    <xf numFmtId="167" fontId="38" fillId="0" borderId="0" xfId="30" applyNumberFormat="1" applyFont="1" applyFill="1"/>
    <xf numFmtId="0" fontId="38" fillId="0" borderId="0" xfId="30" applyFont="1" applyFill="1" applyBorder="1"/>
    <xf numFmtId="0" fontId="38" fillId="0" borderId="0" xfId="30" applyFont="1" applyFill="1" applyBorder="1" applyAlignment="1">
      <alignment horizontal="left" vertical="center" textRotation="180"/>
    </xf>
    <xf numFmtId="0" fontId="38" fillId="0" borderId="0" xfId="30" applyFont="1" applyFill="1" applyBorder="1" applyAlignment="1">
      <alignment horizontal="left"/>
    </xf>
    <xf numFmtId="167" fontId="38" fillId="0" borderId="3" xfId="30" applyNumberFormat="1" applyFont="1" applyBorder="1" applyAlignment="1">
      <alignment horizontal="left"/>
    </xf>
    <xf numFmtId="167" fontId="38" fillId="0" borderId="0" xfId="30" applyNumberFormat="1" applyFont="1" applyBorder="1" applyAlignment="1">
      <alignment horizontal="left"/>
    </xf>
    <xf numFmtId="167" fontId="38" fillId="0" borderId="3" xfId="30" applyNumberFormat="1" applyFont="1" applyFill="1" applyBorder="1"/>
    <xf numFmtId="167" fontId="45" fillId="0" borderId="0" xfId="30" applyNumberFormat="1" applyFont="1" applyFill="1"/>
    <xf numFmtId="3" fontId="4" fillId="0" borderId="0" xfId="30" applyNumberFormat="1"/>
    <xf numFmtId="167" fontId="4" fillId="0" borderId="0" xfId="30" applyNumberFormat="1"/>
    <xf numFmtId="0" fontId="33" fillId="0" borderId="0" xfId="30" applyFont="1" applyFill="1" applyAlignment="1">
      <alignment horizontal="centerContinuous"/>
    </xf>
    <xf numFmtId="0" fontId="33" fillId="0" borderId="0" xfId="30" applyFont="1"/>
    <xf numFmtId="0" fontId="33" fillId="0" borderId="0" xfId="30" applyFont="1" applyAlignment="1">
      <alignment horizontal="centerContinuous"/>
    </xf>
    <xf numFmtId="0" fontId="33" fillId="0" borderId="0" xfId="30" applyFont="1" applyBorder="1"/>
    <xf numFmtId="0" fontId="33" fillId="0" borderId="0" xfId="30" applyFont="1" applyAlignment="1">
      <alignment horizontal="left"/>
    </xf>
    <xf numFmtId="0" fontId="33" fillId="0" borderId="0" xfId="30" applyFont="1" applyBorder="1" applyAlignment="1">
      <alignment horizontal="centerContinuous"/>
    </xf>
    <xf numFmtId="0" fontId="33" fillId="0" borderId="2" xfId="30" applyFont="1" applyBorder="1" applyAlignment="1">
      <alignment horizontal="centerContinuous"/>
    </xf>
    <xf numFmtId="0" fontId="33" fillId="0" borderId="0" xfId="30" applyFont="1" applyBorder="1" applyAlignment="1">
      <alignment horizontal="left"/>
    </xf>
    <xf numFmtId="0" fontId="33" fillId="0" borderId="2" xfId="30" applyFont="1" applyBorder="1" applyAlignment="1">
      <alignment horizontal="center"/>
    </xf>
    <xf numFmtId="0" fontId="33" fillId="0" borderId="0" xfId="30" applyFont="1" applyBorder="1" applyAlignment="1">
      <alignment horizontal="center"/>
    </xf>
    <xf numFmtId="0" fontId="42" fillId="0" borderId="0" xfId="30" applyFont="1"/>
    <xf numFmtId="176" fontId="33" fillId="0" borderId="0" xfId="30" applyNumberFormat="1" applyFont="1"/>
    <xf numFmtId="0" fontId="42" fillId="0" borderId="0" xfId="30" applyFont="1" applyBorder="1"/>
    <xf numFmtId="44" fontId="37" fillId="0" borderId="0" xfId="30" applyNumberFormat="1" applyFont="1"/>
    <xf numFmtId="44" fontId="42" fillId="0" borderId="0" xfId="30" applyNumberFormat="1" applyFont="1" applyBorder="1"/>
    <xf numFmtId="44" fontId="33" fillId="0" borderId="0" xfId="30" applyNumberFormat="1" applyFont="1"/>
    <xf numFmtId="44" fontId="33" fillId="0" borderId="3" xfId="30" applyNumberFormat="1" applyFont="1" applyBorder="1"/>
    <xf numFmtId="44" fontId="42" fillId="0" borderId="0" xfId="30" applyNumberFormat="1" applyFont="1"/>
    <xf numFmtId="174" fontId="37" fillId="0" borderId="0" xfId="30" applyNumberFormat="1" applyFont="1"/>
    <xf numFmtId="174" fontId="42" fillId="0" borderId="0" xfId="30" applyNumberFormat="1" applyFont="1" applyBorder="1"/>
    <xf numFmtId="174" fontId="33" fillId="0" borderId="0" xfId="30" applyNumberFormat="1" applyFont="1"/>
    <xf numFmtId="174" fontId="4" fillId="0" borderId="0" xfId="30" applyNumberFormat="1" applyFont="1"/>
    <xf numFmtId="174" fontId="33" fillId="0" borderId="3" xfId="30" applyNumberFormat="1" applyFont="1" applyBorder="1"/>
    <xf numFmtId="174" fontId="4" fillId="0" borderId="3" xfId="30" applyNumberFormat="1" applyFont="1" applyBorder="1"/>
    <xf numFmtId="0" fontId="4" fillId="0" borderId="0" xfId="30" applyFont="1"/>
    <xf numFmtId="174" fontId="4" fillId="0" borderId="0" xfId="30" applyNumberFormat="1" applyFont="1" applyFill="1"/>
    <xf numFmtId="176" fontId="33" fillId="0" borderId="3" xfId="30" applyNumberFormat="1" applyFont="1" applyBorder="1"/>
    <xf numFmtId="174" fontId="33" fillId="0" borderId="0" xfId="30" applyNumberFormat="1" applyFont="1" applyBorder="1"/>
    <xf numFmtId="44" fontId="33" fillId="0" borderId="0" xfId="30" applyNumberFormat="1" applyFont="1" applyBorder="1"/>
    <xf numFmtId="172" fontId="33" fillId="0" borderId="0" xfId="30" applyNumberFormat="1" applyFont="1"/>
    <xf numFmtId="172" fontId="33" fillId="0" borderId="0" xfId="30" applyNumberFormat="1" applyFont="1" applyBorder="1"/>
    <xf numFmtId="10" fontId="33" fillId="0" borderId="0" xfId="30" applyNumberFormat="1" applyFont="1"/>
    <xf numFmtId="0" fontId="33" fillId="0" borderId="0" xfId="30" applyFont="1" applyFill="1" applyAlignment="1"/>
    <xf numFmtId="0" fontId="4" fillId="0" borderId="0" xfId="30" applyAlignment="1">
      <alignment horizontal="centerContinuous"/>
    </xf>
    <xf numFmtId="0" fontId="36" fillId="0" borderId="2" xfId="30" quotePrefix="1" applyFont="1" applyFill="1" applyBorder="1" applyAlignment="1">
      <alignment horizontal="center"/>
    </xf>
    <xf numFmtId="0" fontId="4" fillId="0" borderId="2" xfId="30" applyFont="1" applyBorder="1" applyAlignment="1">
      <alignment horizontal="center"/>
    </xf>
    <xf numFmtId="42" fontId="4" fillId="0" borderId="0" xfId="30" applyNumberFormat="1" applyFont="1" applyBorder="1" applyAlignment="1">
      <alignment horizontal="center"/>
    </xf>
    <xf numFmtId="42" fontId="37" fillId="0" borderId="0" xfId="30" applyNumberFormat="1" applyFont="1"/>
    <xf numFmtId="42" fontId="4" fillId="0" borderId="0" xfId="30" applyNumberFormat="1"/>
    <xf numFmtId="42" fontId="33" fillId="0" borderId="0" xfId="30" applyNumberFormat="1" applyFont="1"/>
    <xf numFmtId="42" fontId="36" fillId="0" borderId="0" xfId="30" applyNumberFormat="1" applyFont="1"/>
    <xf numFmtId="171" fontId="4" fillId="0" borderId="2" xfId="30" applyNumberFormat="1" applyBorder="1"/>
    <xf numFmtId="3" fontId="4" fillId="0" borderId="3" xfId="30" applyNumberFormat="1" applyBorder="1"/>
    <xf numFmtId="42" fontId="33" fillId="0" borderId="3" xfId="30" applyNumberFormat="1" applyFont="1" applyBorder="1"/>
    <xf numFmtId="10" fontId="4" fillId="0" borderId="0" xfId="30" applyNumberFormat="1"/>
    <xf numFmtId="3" fontId="38" fillId="0" borderId="0" xfId="30" applyNumberFormat="1" applyFont="1" applyBorder="1"/>
    <xf numFmtId="42" fontId="38" fillId="0" borderId="0" xfId="30" applyNumberFormat="1" applyFont="1" applyBorder="1"/>
    <xf numFmtId="42" fontId="38" fillId="0" borderId="0" xfId="30" applyNumberFormat="1" applyFont="1"/>
    <xf numFmtId="10" fontId="38" fillId="0" borderId="0" xfId="30" applyNumberFormat="1" applyFont="1"/>
    <xf numFmtId="169" fontId="38" fillId="0" borderId="0" xfId="30" applyNumberFormat="1" applyFont="1" applyFill="1"/>
    <xf numFmtId="169" fontId="38" fillId="0" borderId="0" xfId="31" applyNumberFormat="1" applyFont="1" applyFill="1"/>
    <xf numFmtId="169" fontId="38" fillId="0" borderId="3" xfId="30" applyNumberFormat="1" applyFont="1" applyFill="1" applyBorder="1"/>
    <xf numFmtId="171" fontId="4" fillId="0" borderId="3" xfId="30" applyNumberFormat="1" applyBorder="1"/>
    <xf numFmtId="169" fontId="38" fillId="0" borderId="3" xfId="31" applyNumberFormat="1" applyFont="1" applyFill="1" applyBorder="1"/>
    <xf numFmtId="0" fontId="38" fillId="0" borderId="0" xfId="30" applyFont="1" applyFill="1"/>
    <xf numFmtId="44" fontId="38" fillId="0" borderId="0" xfId="30" applyNumberFormat="1" applyFont="1"/>
    <xf numFmtId="0" fontId="4" fillId="0" borderId="0" xfId="30" applyFont="1" applyAlignment="1">
      <alignment horizontal="center"/>
    </xf>
    <xf numFmtId="0" fontId="33" fillId="0" borderId="2" xfId="30" applyFont="1" applyBorder="1"/>
    <xf numFmtId="0" fontId="37" fillId="0" borderId="2" xfId="30" applyFont="1" applyFill="1" applyBorder="1" applyAlignment="1">
      <alignment horizontal="center"/>
    </xf>
    <xf numFmtId="0" fontId="32" fillId="0" borderId="0" xfId="30" applyFont="1" applyBorder="1" applyProtection="1">
      <protection locked="0"/>
    </xf>
    <xf numFmtId="171" fontId="36" fillId="0" borderId="0" xfId="30" applyNumberFormat="1" applyFont="1" applyFill="1"/>
    <xf numFmtId="42" fontId="33" fillId="0" borderId="0" xfId="30" applyNumberFormat="1" applyFont="1" applyBorder="1"/>
    <xf numFmtId="172" fontId="4" fillId="0" borderId="0" xfId="30" applyNumberFormat="1" applyFont="1"/>
    <xf numFmtId="0" fontId="33" fillId="0" borderId="0" xfId="30" applyFont="1" applyBorder="1" applyProtection="1">
      <protection locked="0"/>
    </xf>
    <xf numFmtId="171" fontId="36" fillId="0" borderId="0" xfId="30" applyNumberFormat="1" applyFont="1"/>
    <xf numFmtId="171" fontId="37" fillId="0" borderId="0" xfId="30" applyNumberFormat="1" applyFont="1"/>
    <xf numFmtId="0" fontId="32" fillId="0" borderId="0" xfId="30" applyFont="1" applyFill="1" applyBorder="1" applyProtection="1">
      <protection locked="0"/>
    </xf>
    <xf numFmtId="3" fontId="33" fillId="0" borderId="0" xfId="30" applyNumberFormat="1" applyFont="1" applyFill="1" applyBorder="1" applyAlignment="1" applyProtection="1">
      <alignment horizontal="left"/>
      <protection locked="0"/>
    </xf>
    <xf numFmtId="0" fontId="37" fillId="0" borderId="0" xfId="30" applyFont="1"/>
    <xf numFmtId="44" fontId="36" fillId="0" borderId="0" xfId="30" applyNumberFormat="1" applyFont="1"/>
    <xf numFmtId="0" fontId="33" fillId="0" borderId="0" xfId="30" applyFont="1" applyFill="1" applyBorder="1"/>
    <xf numFmtId="172" fontId="4" fillId="0" borderId="3" xfId="30" applyNumberFormat="1" applyFont="1" applyBorder="1"/>
    <xf numFmtId="171" fontId="4" fillId="0" borderId="0" xfId="30" applyNumberFormat="1" applyFont="1"/>
    <xf numFmtId="172" fontId="4" fillId="0" borderId="0" xfId="30" applyNumberFormat="1" applyFont="1" applyBorder="1"/>
    <xf numFmtId="37" fontId="33" fillId="0" borderId="0" xfId="30" applyNumberFormat="1" applyFont="1"/>
    <xf numFmtId="37" fontId="33" fillId="0" borderId="0" xfId="30" applyNumberFormat="1" applyFont="1" applyFill="1"/>
    <xf numFmtId="0" fontId="33" fillId="0" borderId="0" xfId="30" applyFont="1" applyFill="1"/>
    <xf numFmtId="0" fontId="37" fillId="0" borderId="0" xfId="30" applyFont="1" applyFill="1"/>
    <xf numFmtId="42" fontId="4" fillId="0" borderId="0" xfId="30" applyNumberFormat="1" applyFont="1" applyBorder="1"/>
    <xf numFmtId="0" fontId="4" fillId="0" borderId="0" xfId="30" applyFont="1" applyBorder="1"/>
    <xf numFmtId="0" fontId="20" fillId="0" borderId="0" xfId="30" applyFont="1"/>
    <xf numFmtId="42" fontId="4" fillId="0" borderId="3" xfId="30" applyNumberFormat="1" applyFont="1" applyBorder="1"/>
    <xf numFmtId="3" fontId="4" fillId="0" borderId="0" xfId="30" applyNumberFormat="1" applyFont="1"/>
    <xf numFmtId="171" fontId="37" fillId="0" borderId="0" xfId="30" applyNumberFormat="1" applyFont="1" applyFill="1"/>
    <xf numFmtId="0" fontId="21" fillId="0" borderId="0" xfId="29" applyNumberFormat="1" applyFont="1" applyFill="1" applyAlignment="1"/>
    <xf numFmtId="181" fontId="14" fillId="0" borderId="0" xfId="23" applyNumberFormat="1" applyFont="1" applyAlignment="1"/>
    <xf numFmtId="0" fontId="21" fillId="0" borderId="0" xfId="32" applyFont="1"/>
    <xf numFmtId="0" fontId="23" fillId="0" borderId="0" xfId="32" applyFont="1"/>
    <xf numFmtId="0" fontId="25" fillId="0" borderId="0" xfId="32" applyFont="1"/>
    <xf numFmtId="0" fontId="21" fillId="0" borderId="0" xfId="32" applyFont="1" applyFill="1"/>
    <xf numFmtId="0" fontId="34" fillId="0" borderId="0" xfId="32" applyFont="1" applyFill="1"/>
    <xf numFmtId="0" fontId="34" fillId="0" borderId="0" xfId="32" applyFont="1"/>
    <xf numFmtId="0" fontId="14" fillId="0" borderId="0" xfId="32" applyFont="1" applyFill="1"/>
    <xf numFmtId="0" fontId="14" fillId="0" borderId="0" xfId="32" applyFont="1"/>
    <xf numFmtId="3" fontId="21" fillId="0" borderId="0" xfId="32" applyNumberFormat="1" applyFont="1"/>
    <xf numFmtId="10" fontId="35" fillId="4" borderId="7" xfId="33" applyNumberFormat="1" applyFont="1" applyFill="1" applyBorder="1"/>
    <xf numFmtId="0" fontId="21" fillId="0" borderId="0" xfId="32" applyFont="1" applyFill="1" applyBorder="1" applyAlignment="1">
      <alignment horizontal="center"/>
    </xf>
    <xf numFmtId="0" fontId="21" fillId="0" borderId="0" xfId="32" applyFont="1" applyFill="1" applyBorder="1"/>
    <xf numFmtId="0" fontId="15" fillId="0" borderId="0" xfId="0" applyFont="1" applyFill="1" applyAlignment="1">
      <alignment horizontal="centerContinuous"/>
    </xf>
    <xf numFmtId="0" fontId="14" fillId="0" borderId="0" xfId="0" applyFont="1" applyFill="1" applyAlignment="1">
      <alignment horizontal="centerContinuous"/>
    </xf>
    <xf numFmtId="0" fontId="14" fillId="0" borderId="0" xfId="0" applyFont="1" applyFill="1"/>
    <xf numFmtId="0" fontId="35" fillId="0" borderId="0" xfId="0" applyFont="1" applyFill="1" applyAlignment="1">
      <alignment horizontal="centerContinuous"/>
    </xf>
    <xf numFmtId="0" fontId="48" fillId="0" borderId="0" xfId="0" applyFont="1" applyFill="1" applyAlignment="1">
      <alignment horizontal="centerContinuous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7" xfId="0" applyFont="1" applyFill="1" applyBorder="1"/>
    <xf numFmtId="0" fontId="15" fillId="0" borderId="8" xfId="0" applyFont="1" applyFill="1" applyBorder="1" applyAlignment="1">
      <alignment horizontal="centerContinuous"/>
    </xf>
    <xf numFmtId="0" fontId="15" fillId="0" borderId="6" xfId="0" applyFont="1" applyFill="1" applyBorder="1" applyAlignment="1">
      <alignment horizontal="centerContinuous"/>
    </xf>
    <xf numFmtId="0" fontId="15" fillId="0" borderId="1" xfId="0" applyFont="1" applyFill="1" applyBorder="1" applyAlignment="1">
      <alignment horizontal="centerContinuous"/>
    </xf>
    <xf numFmtId="0" fontId="15" fillId="0" borderId="2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quotePrefix="1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7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left" indent="1"/>
    </xf>
    <xf numFmtId="0" fontId="14" fillId="0" borderId="0" xfId="0" applyFont="1" applyFill="1" applyAlignment="1">
      <alignment horizontal="center"/>
    </xf>
    <xf numFmtId="37" fontId="14" fillId="0" borderId="0" xfId="0" applyNumberFormat="1" applyFont="1" applyFill="1"/>
    <xf numFmtId="3" fontId="49" fillId="0" borderId="0" xfId="0" applyNumberFormat="1" applyFont="1" applyFill="1"/>
    <xf numFmtId="3" fontId="14" fillId="0" borderId="0" xfId="0" applyNumberFormat="1" applyFont="1" applyFill="1"/>
    <xf numFmtId="3" fontId="50" fillId="0" borderId="0" xfId="0" applyNumberFormat="1" applyFont="1" applyFill="1"/>
    <xf numFmtId="3" fontId="51" fillId="0" borderId="0" xfId="0" applyNumberFormat="1" applyFont="1" applyFill="1"/>
    <xf numFmtId="174" fontId="49" fillId="0" borderId="0" xfId="0" applyNumberFormat="1" applyFont="1" applyFill="1"/>
    <xf numFmtId="0" fontId="14" fillId="0" borderId="0" xfId="0" quotePrefix="1" applyFont="1" applyFill="1" applyAlignment="1">
      <alignment horizontal="center"/>
    </xf>
    <xf numFmtId="42" fontId="14" fillId="0" borderId="0" xfId="0" applyNumberFormat="1" applyFont="1" applyFill="1"/>
    <xf numFmtId="44" fontId="14" fillId="0" borderId="0" xfId="0" applyNumberFormat="1" applyFont="1" applyFill="1"/>
    <xf numFmtId="172" fontId="14" fillId="0" borderId="0" xfId="0" applyNumberFormat="1" applyFont="1" applyFill="1"/>
    <xf numFmtId="0" fontId="14" fillId="0" borderId="0" xfId="0" applyFont="1" applyFill="1" applyAlignment="1">
      <alignment horizontal="left"/>
    </xf>
    <xf numFmtId="44" fontId="47" fillId="0" borderId="0" xfId="0" applyNumberFormat="1" applyFont="1" applyFill="1"/>
    <xf numFmtId="171" fontId="14" fillId="0" borderId="0" xfId="0" applyNumberFormat="1" applyFont="1" applyFill="1"/>
    <xf numFmtId="0" fontId="14" fillId="0" borderId="0" xfId="0" applyFont="1" applyFill="1" applyAlignment="1">
      <alignment horizontal="left" indent="2"/>
    </xf>
    <xf numFmtId="172" fontId="14" fillId="0" borderId="0" xfId="7" applyNumberFormat="1" applyFont="1" applyFill="1"/>
    <xf numFmtId="174" fontId="14" fillId="0" borderId="0" xfId="0" applyNumberFormat="1" applyFont="1" applyFill="1" applyBorder="1"/>
    <xf numFmtId="176" fontId="14" fillId="0" borderId="0" xfId="0" applyNumberFormat="1" applyFont="1" applyFill="1"/>
    <xf numFmtId="9" fontId="14" fillId="0" borderId="0" xfId="0" applyNumberFormat="1" applyFont="1" applyFill="1"/>
    <xf numFmtId="0" fontId="27" fillId="0" borderId="0" xfId="0" applyFont="1" applyFill="1"/>
    <xf numFmtId="168" fontId="52" fillId="0" borderId="0" xfId="0" applyNumberFormat="1" applyFont="1" applyFill="1" applyBorder="1"/>
    <xf numFmtId="44" fontId="14" fillId="0" borderId="2" xfId="0" applyNumberFormat="1" applyFont="1" applyFill="1" applyBorder="1"/>
    <xf numFmtId="0" fontId="14" fillId="0" borderId="0" xfId="0" applyFont="1" applyFill="1" applyAlignment="1"/>
    <xf numFmtId="0" fontId="15" fillId="0" borderId="0" xfId="0" applyFont="1" applyFill="1" applyAlignment="1">
      <alignment horizontal="left" indent="1"/>
    </xf>
    <xf numFmtId="44" fontId="15" fillId="0" borderId="0" xfId="0" applyNumberFormat="1" applyFont="1" applyFill="1"/>
    <xf numFmtId="174" fontId="14" fillId="0" borderId="0" xfId="0" applyNumberFormat="1" applyFont="1" applyFill="1"/>
    <xf numFmtId="175" fontId="14" fillId="0" borderId="0" xfId="0" applyNumberFormat="1" applyFont="1" applyFill="1"/>
    <xf numFmtId="174" fontId="14" fillId="0" borderId="3" xfId="0" applyNumberFormat="1" applyFont="1" applyFill="1" applyBorder="1"/>
    <xf numFmtId="174" fontId="15" fillId="0" borderId="3" xfId="0" applyNumberFormat="1" applyFont="1" applyFill="1" applyBorder="1"/>
    <xf numFmtId="0" fontId="15" fillId="0" borderId="0" xfId="0" applyFont="1" applyFill="1" applyAlignment="1">
      <alignment horizontal="left" indent="2"/>
    </xf>
    <xf numFmtId="174" fontId="15" fillId="0" borderId="0" xfId="0" applyNumberFormat="1" applyFont="1" applyFill="1"/>
    <xf numFmtId="175" fontId="15" fillId="0" borderId="0" xfId="0" applyNumberFormat="1" applyFont="1" applyFill="1"/>
    <xf numFmtId="0" fontId="14" fillId="0" borderId="0" xfId="0" applyFont="1" applyFill="1" applyBorder="1" applyAlignment="1">
      <alignment horizontal="right"/>
    </xf>
    <xf numFmtId="0" fontId="29" fillId="0" borderId="0" xfId="0" quotePrefix="1" applyFont="1" applyFill="1"/>
    <xf numFmtId="0" fontId="53" fillId="0" borderId="0" xfId="0" applyFont="1" applyFill="1" applyAlignment="1">
      <alignment horizontal="centerContinuous"/>
    </xf>
    <xf numFmtId="0" fontId="15" fillId="0" borderId="0" xfId="0" applyFont="1" applyFill="1" applyAlignment="1"/>
    <xf numFmtId="17" fontId="47" fillId="0" borderId="0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182" fontId="47" fillId="0" borderId="0" xfId="0" applyNumberFormat="1" applyFont="1" applyFill="1" applyBorder="1" applyAlignment="1">
      <alignment horizontal="center"/>
    </xf>
    <xf numFmtId="182" fontId="21" fillId="0" borderId="0" xfId="0" applyNumberFormat="1" applyFont="1" applyFill="1" applyBorder="1" applyAlignment="1">
      <alignment horizontal="center"/>
    </xf>
    <xf numFmtId="169" fontId="14" fillId="0" borderId="0" xfId="0" applyNumberFormat="1" applyFont="1" applyFill="1" applyBorder="1"/>
    <xf numFmtId="0" fontId="14" fillId="0" borderId="0" xfId="0" applyFont="1" applyFill="1" applyBorder="1" applyAlignment="1">
      <alignment horizontal="center" vertical="center"/>
    </xf>
    <xf numFmtId="37" fontId="14" fillId="0" borderId="3" xfId="0" applyNumberFormat="1" applyFont="1" applyFill="1" applyBorder="1"/>
    <xf numFmtId="0" fontId="34" fillId="0" borderId="0" xfId="0" applyFont="1" applyFill="1" applyBorder="1" applyAlignment="1">
      <alignment horizontal="right"/>
    </xf>
    <xf numFmtId="43" fontId="34" fillId="0" borderId="0" xfId="23" applyFont="1" applyFill="1" applyBorder="1"/>
    <xf numFmtId="37" fontId="34" fillId="0" borderId="0" xfId="0" applyNumberFormat="1" applyFont="1" applyFill="1"/>
    <xf numFmtId="37" fontId="34" fillId="0" borderId="0" xfId="0" applyNumberFormat="1" applyFont="1" applyFill="1" applyBorder="1"/>
    <xf numFmtId="17" fontId="14" fillId="0" borderId="0" xfId="0" applyNumberFormat="1" applyFont="1" applyFill="1" applyBorder="1" applyAlignment="1">
      <alignment horizontal="center"/>
    </xf>
    <xf numFmtId="0" fontId="21" fillId="0" borderId="0" xfId="32" applyFont="1" applyBorder="1"/>
    <xf numFmtId="0" fontId="31" fillId="0" borderId="0" xfId="32" applyFont="1" applyFill="1" applyBorder="1" applyAlignment="1">
      <alignment horizontal="right"/>
    </xf>
    <xf numFmtId="0" fontId="21" fillId="0" borderId="13" xfId="32" applyFont="1" applyFill="1" applyBorder="1" applyAlignment="1">
      <alignment horizontal="center"/>
    </xf>
    <xf numFmtId="0" fontId="31" fillId="0" borderId="13" xfId="32" applyFont="1" applyFill="1" applyBorder="1" applyAlignment="1">
      <alignment horizontal="right"/>
    </xf>
    <xf numFmtId="5" fontId="15" fillId="4" borderId="7" xfId="8" applyNumberFormat="1" applyFont="1" applyFill="1" applyBorder="1" applyAlignment="1">
      <alignment horizontal="right"/>
    </xf>
    <xf numFmtId="0" fontId="21" fillId="4" borderId="0" xfId="32" applyFont="1" applyFill="1" applyBorder="1"/>
    <xf numFmtId="37" fontId="14" fillId="4" borderId="0" xfId="2" applyNumberFormat="1" applyFont="1" applyFill="1" applyBorder="1" applyAlignment="1">
      <alignment horizontal="right"/>
    </xf>
    <xf numFmtId="0" fontId="21" fillId="4" borderId="28" xfId="32" applyFont="1" applyFill="1" applyBorder="1"/>
    <xf numFmtId="5" fontId="15" fillId="4" borderId="29" xfId="8" applyNumberFormat="1" applyFont="1" applyFill="1" applyBorder="1"/>
    <xf numFmtId="0" fontId="14" fillId="4" borderId="0" xfId="8" quotePrefix="1" applyFont="1" applyFill="1" applyBorder="1" applyAlignment="1">
      <alignment horizontal="center"/>
    </xf>
    <xf numFmtId="0" fontId="21" fillId="4" borderId="13" xfId="32" applyFont="1" applyFill="1" applyBorder="1"/>
    <xf numFmtId="0" fontId="21" fillId="4" borderId="7" xfId="32" applyFont="1" applyFill="1" applyBorder="1"/>
    <xf numFmtId="0" fontId="21" fillId="4" borderId="3" xfId="32" applyFont="1" applyFill="1" applyBorder="1"/>
    <xf numFmtId="0" fontId="14" fillId="4" borderId="27" xfId="8" applyFont="1" applyFill="1" applyBorder="1" applyAlignment="1">
      <alignment horizontal="center"/>
    </xf>
    <xf numFmtId="0" fontId="14" fillId="4" borderId="15" xfId="8" applyFont="1" applyFill="1" applyBorder="1" applyAlignment="1">
      <alignment horizontal="center"/>
    </xf>
    <xf numFmtId="0" fontId="21" fillId="4" borderId="3" xfId="32" applyFont="1" applyFill="1" applyBorder="1" applyAlignment="1">
      <alignment horizontal="center"/>
    </xf>
    <xf numFmtId="0" fontId="14" fillId="4" borderId="3" xfId="8" quotePrefix="1" applyFont="1" applyFill="1" applyBorder="1" applyAlignment="1">
      <alignment horizontal="center"/>
    </xf>
    <xf numFmtId="0" fontId="14" fillId="4" borderId="14" xfId="8" applyFont="1" applyFill="1" applyBorder="1" applyAlignment="1">
      <alignment horizontal="center"/>
    </xf>
    <xf numFmtId="178" fontId="15" fillId="4" borderId="4" xfId="8" applyNumberFormat="1" applyFont="1" applyFill="1" applyBorder="1" applyAlignment="1">
      <alignment horizontal="center"/>
    </xf>
    <xf numFmtId="178" fontId="15" fillId="4" borderId="2" xfId="8" applyNumberFormat="1" applyFont="1" applyFill="1" applyBorder="1" applyAlignment="1">
      <alignment horizontal="center"/>
    </xf>
    <xf numFmtId="178" fontId="15" fillId="4" borderId="13" xfId="8" applyNumberFormat="1" applyFont="1" applyFill="1" applyBorder="1" applyAlignment="1">
      <alignment horizontal="center"/>
    </xf>
    <xf numFmtId="0" fontId="35" fillId="4" borderId="0" xfId="32" applyFont="1" applyFill="1" applyBorder="1" applyAlignment="1">
      <alignment horizontal="center"/>
    </xf>
    <xf numFmtId="10" fontId="35" fillId="4" borderId="7" xfId="33" applyNumberFormat="1" applyFont="1" applyFill="1" applyBorder="1" applyAlignment="1">
      <alignment horizontal="center"/>
    </xf>
    <xf numFmtId="178" fontId="15" fillId="4" borderId="0" xfId="8" applyNumberFormat="1" applyFont="1" applyFill="1" applyBorder="1" applyAlignment="1">
      <alignment horizontal="center"/>
    </xf>
    <xf numFmtId="0" fontId="14" fillId="4" borderId="3" xfId="8" applyFont="1" applyFill="1" applyBorder="1" applyAlignment="1">
      <alignment horizontal="center"/>
    </xf>
    <xf numFmtId="0" fontId="14" fillId="4" borderId="4" xfId="8" applyFont="1" applyFill="1" applyBorder="1" applyAlignment="1">
      <alignment horizontal="center"/>
    </xf>
    <xf numFmtId="5" fontId="35" fillId="4" borderId="0" xfId="32" applyNumberFormat="1" applyFont="1" applyFill="1" applyBorder="1"/>
    <xf numFmtId="5" fontId="21" fillId="4" borderId="0" xfId="32" applyNumberFormat="1" applyFont="1" applyFill="1" applyBorder="1"/>
    <xf numFmtId="10" fontId="21" fillId="4" borderId="28" xfId="33" applyNumberFormat="1" applyFont="1" applyFill="1" applyBorder="1"/>
    <xf numFmtId="10" fontId="35" fillId="4" borderId="29" xfId="33" applyNumberFormat="1" applyFont="1" applyFill="1" applyBorder="1"/>
    <xf numFmtId="0" fontId="33" fillId="0" borderId="0" xfId="0" applyFont="1" applyFill="1"/>
    <xf numFmtId="0" fontId="20" fillId="0" borderId="0" xfId="2" applyFont="1" applyAlignment="1">
      <alignment horizontal="centerContinuous"/>
    </xf>
    <xf numFmtId="0" fontId="2" fillId="0" borderId="0" xfId="2" applyFont="1" applyAlignment="1">
      <alignment horizontal="centerContinuous"/>
    </xf>
    <xf numFmtId="0" fontId="2" fillId="0" borderId="0" xfId="2" applyFont="1"/>
    <xf numFmtId="0" fontId="2" fillId="0" borderId="0" xfId="2" applyFont="1" applyAlignment="1"/>
    <xf numFmtId="0" fontId="2" fillId="0" borderId="0" xfId="2" applyFont="1" applyAlignment="1">
      <alignment wrapText="1"/>
    </xf>
    <xf numFmtId="0" fontId="20" fillId="0" borderId="0" xfId="2" applyFont="1" applyAlignment="1">
      <alignment horizontal="center"/>
    </xf>
    <xf numFmtId="0" fontId="20" fillId="0" borderId="0" xfId="2" applyFont="1" applyAlignment="1">
      <alignment horizontal="center" wrapText="1"/>
    </xf>
    <xf numFmtId="0" fontId="20" fillId="0" borderId="8" xfId="2" applyFont="1" applyBorder="1" applyAlignment="1">
      <alignment horizontal="center"/>
    </xf>
    <xf numFmtId="0" fontId="20" fillId="0" borderId="12" xfId="2" applyFont="1" applyBorder="1" applyAlignment="1">
      <alignment horizontal="center"/>
    </xf>
    <xf numFmtId="37" fontId="20" fillId="0" borderId="8" xfId="2" applyNumberFormat="1" applyFont="1" applyFill="1" applyBorder="1" applyAlignment="1" applyProtection="1">
      <alignment horizontal="center" vertical="center" wrapText="1"/>
    </xf>
    <xf numFmtId="37" fontId="20" fillId="0" borderId="1" xfId="2" applyNumberFormat="1" applyFont="1" applyFill="1" applyBorder="1" applyAlignment="1" applyProtection="1">
      <alignment horizontal="center" vertical="center" wrapText="1"/>
    </xf>
    <xf numFmtId="37" fontId="20" fillId="0" borderId="6" xfId="2" applyNumberFormat="1" applyFont="1" applyFill="1" applyBorder="1" applyAlignment="1" applyProtection="1">
      <alignment horizontal="center" vertical="center" wrapText="1"/>
    </xf>
    <xf numFmtId="0" fontId="2" fillId="0" borderId="13" xfId="2" applyFont="1" applyBorder="1"/>
    <xf numFmtId="0" fontId="2" fillId="0" borderId="10" xfId="2" applyFont="1" applyBorder="1" applyAlignment="1">
      <alignment horizontal="center"/>
    </xf>
    <xf numFmtId="169" fontId="2" fillId="0" borderId="10" xfId="2" applyNumberFormat="1" applyFont="1" applyBorder="1"/>
    <xf numFmtId="169" fontId="2" fillId="0" borderId="7" xfId="2" applyNumberFormat="1" applyFont="1" applyFill="1" applyBorder="1"/>
    <xf numFmtId="0" fontId="2" fillId="0" borderId="10" xfId="2" applyFont="1" applyBorder="1"/>
    <xf numFmtId="10" fontId="2" fillId="0" borderId="13" xfId="2" applyNumberFormat="1" applyFont="1" applyFill="1" applyBorder="1"/>
    <xf numFmtId="10" fontId="2" fillId="0" borderId="0" xfId="2" applyNumberFormat="1" applyFont="1" applyFill="1" applyBorder="1"/>
    <xf numFmtId="10" fontId="2" fillId="0" borderId="7" xfId="2" applyNumberFormat="1" applyFont="1" applyFill="1" applyBorder="1"/>
    <xf numFmtId="169" fontId="2" fillId="0" borderId="13" xfId="2" applyNumberFormat="1" applyFont="1" applyFill="1" applyBorder="1"/>
    <xf numFmtId="169" fontId="2" fillId="0" borderId="0" xfId="2" applyNumberFormat="1" applyFont="1" applyFill="1" applyBorder="1"/>
    <xf numFmtId="0" fontId="2" fillId="0" borderId="4" xfId="2" applyFont="1" applyBorder="1"/>
    <xf numFmtId="0" fontId="2" fillId="0" borderId="11" xfId="2" applyFont="1" applyBorder="1"/>
    <xf numFmtId="169" fontId="2" fillId="0" borderId="11" xfId="2" applyNumberFormat="1" applyFont="1" applyBorder="1"/>
    <xf numFmtId="10" fontId="2" fillId="0" borderId="4" xfId="2" applyNumberFormat="1" applyFont="1" applyFill="1" applyBorder="1"/>
    <xf numFmtId="10" fontId="2" fillId="0" borderId="2" xfId="2" applyNumberFormat="1" applyFont="1" applyFill="1" applyBorder="1"/>
    <xf numFmtId="10" fontId="2" fillId="0" borderId="5" xfId="2" applyNumberFormat="1" applyFont="1" applyFill="1" applyBorder="1"/>
    <xf numFmtId="169" fontId="2" fillId="0" borderId="0" xfId="2" applyNumberFormat="1" applyFont="1"/>
    <xf numFmtId="0" fontId="20" fillId="0" borderId="0" xfId="2" applyFont="1"/>
    <xf numFmtId="0" fontId="20" fillId="0" borderId="12" xfId="2" applyFont="1" applyBorder="1"/>
    <xf numFmtId="0" fontId="20" fillId="0" borderId="1" xfId="2" applyFont="1" applyBorder="1" applyAlignment="1">
      <alignment horizontal="center"/>
    </xf>
    <xf numFmtId="0" fontId="20" fillId="0" borderId="6" xfId="2" applyFont="1" applyBorder="1" applyAlignment="1">
      <alignment horizontal="center"/>
    </xf>
    <xf numFmtId="0" fontId="2" fillId="0" borderId="9" xfId="2" applyFont="1" applyBorder="1"/>
    <xf numFmtId="172" fontId="2" fillId="0" borderId="9" xfId="2" applyNumberFormat="1" applyFont="1" applyBorder="1"/>
    <xf numFmtId="172" fontId="2" fillId="0" borderId="3" xfId="2" applyNumberFormat="1" applyFont="1" applyBorder="1"/>
    <xf numFmtId="172" fontId="2" fillId="0" borderId="14" xfId="2" applyNumberFormat="1" applyFont="1" applyBorder="1"/>
    <xf numFmtId="0" fontId="2" fillId="0" borderId="10" xfId="2" applyFont="1" applyFill="1" applyBorder="1"/>
    <xf numFmtId="172" fontId="2" fillId="0" borderId="10" xfId="2" applyNumberFormat="1" applyFont="1" applyBorder="1"/>
    <xf numFmtId="0" fontId="2" fillId="0" borderId="0" xfId="2" applyFont="1" applyBorder="1"/>
    <xf numFmtId="172" fontId="2" fillId="0" borderId="0" xfId="2" applyNumberFormat="1" applyFont="1" applyBorder="1"/>
    <xf numFmtId="172" fontId="2" fillId="0" borderId="7" xfId="2" applyNumberFormat="1" applyFont="1" applyBorder="1"/>
    <xf numFmtId="9" fontId="2" fillId="0" borderId="0" xfId="2" applyNumberFormat="1" applyFont="1" applyBorder="1"/>
    <xf numFmtId="0" fontId="2" fillId="0" borderId="11" xfId="2" applyFont="1" applyFill="1" applyBorder="1"/>
    <xf numFmtId="172" fontId="2" fillId="0" borderId="11" xfId="2" applyNumberFormat="1" applyFont="1" applyBorder="1"/>
    <xf numFmtId="0" fontId="2" fillId="0" borderId="2" xfId="2" applyFont="1" applyBorder="1"/>
    <xf numFmtId="9" fontId="2" fillId="0" borderId="2" xfId="2" applyNumberFormat="1" applyFont="1" applyBorder="1"/>
    <xf numFmtId="172" fontId="2" fillId="0" borderId="5" xfId="2" applyNumberFormat="1" applyFont="1" applyBorder="1"/>
    <xf numFmtId="0" fontId="20" fillId="0" borderId="0" xfId="2" applyFont="1" applyBorder="1"/>
    <xf numFmtId="0" fontId="20" fillId="0" borderId="1" xfId="2" applyFont="1" applyBorder="1" applyAlignment="1">
      <alignment horizontal="center" wrapText="1"/>
    </xf>
    <xf numFmtId="0" fontId="20" fillId="0" borderId="6" xfId="2" applyFont="1" applyBorder="1" applyAlignment="1">
      <alignment horizontal="center" wrapText="1"/>
    </xf>
    <xf numFmtId="42" fontId="2" fillId="0" borderId="0" xfId="2" applyNumberFormat="1" applyFont="1" applyBorder="1"/>
    <xf numFmtId="42" fontId="2" fillId="0" borderId="7" xfId="2" applyNumberFormat="1" applyFont="1" applyBorder="1"/>
    <xf numFmtId="42" fontId="2" fillId="0" borderId="0" xfId="2" applyNumberFormat="1" applyFont="1" applyFill="1" applyBorder="1"/>
    <xf numFmtId="42" fontId="2" fillId="0" borderId="7" xfId="2" applyNumberFormat="1" applyFont="1" applyFill="1" applyBorder="1"/>
    <xf numFmtId="0" fontId="2" fillId="0" borderId="12" xfId="2" applyFont="1" applyBorder="1"/>
    <xf numFmtId="42" fontId="2" fillId="0" borderId="12" xfId="2" applyNumberFormat="1" applyFont="1" applyBorder="1" applyAlignment="1">
      <alignment horizontal="center"/>
    </xf>
    <xf numFmtId="42" fontId="2" fillId="0" borderId="1" xfId="2" applyNumberFormat="1" applyFont="1" applyBorder="1" applyAlignment="1">
      <alignment horizontal="center"/>
    </xf>
    <xf numFmtId="42" fontId="2" fillId="0" borderId="6" xfId="2" applyNumberFormat="1" applyFont="1" applyBorder="1" applyAlignment="1">
      <alignment horizontal="center"/>
    </xf>
    <xf numFmtId="0" fontId="20" fillId="0" borderId="8" xfId="2" applyFont="1" applyBorder="1"/>
    <xf numFmtId="0" fontId="20" fillId="0" borderId="1" xfId="2" applyFont="1" applyBorder="1"/>
    <xf numFmtId="0" fontId="2" fillId="0" borderId="7" xfId="2" applyFont="1" applyBorder="1"/>
    <xf numFmtId="167" fontId="2" fillId="0" borderId="10" xfId="2" applyNumberFormat="1" applyFont="1" applyBorder="1"/>
    <xf numFmtId="167" fontId="2" fillId="0" borderId="0" xfId="2" applyNumberFormat="1" applyFont="1" applyBorder="1"/>
    <xf numFmtId="167" fontId="2" fillId="0" borderId="7" xfId="2" applyNumberFormat="1" applyFont="1" applyBorder="1"/>
    <xf numFmtId="0" fontId="2" fillId="0" borderId="8" xfId="2" applyFont="1" applyFill="1" applyBorder="1"/>
    <xf numFmtId="0" fontId="2" fillId="0" borderId="1" xfId="2" applyFont="1" applyBorder="1"/>
    <xf numFmtId="167" fontId="2" fillId="0" borderId="12" xfId="2" applyNumberFormat="1" applyFont="1" applyBorder="1"/>
    <xf numFmtId="167" fontId="2" fillId="0" borderId="1" xfId="2" applyNumberFormat="1" applyFont="1" applyBorder="1"/>
    <xf numFmtId="167" fontId="2" fillId="0" borderId="6" xfId="2" applyNumberFormat="1" applyFont="1" applyBorder="1"/>
    <xf numFmtId="0" fontId="2" fillId="0" borderId="3" xfId="2" applyFont="1" applyFill="1" applyBorder="1"/>
    <xf numFmtId="169" fontId="2" fillId="0" borderId="0" xfId="2" applyNumberFormat="1" applyFont="1" applyBorder="1"/>
    <xf numFmtId="169" fontId="2" fillId="0" borderId="1" xfId="2" applyNumberFormat="1" applyFont="1" applyBorder="1"/>
    <xf numFmtId="169" fontId="2" fillId="0" borderId="6" xfId="2" applyNumberFormat="1" applyFont="1" applyBorder="1"/>
    <xf numFmtId="0" fontId="2" fillId="0" borderId="0" xfId="2" applyFont="1" applyFill="1" applyBorder="1"/>
    <xf numFmtId="0" fontId="20" fillId="0" borderId="0" xfId="2" applyFont="1" applyFill="1" applyBorder="1"/>
    <xf numFmtId="0" fontId="2" fillId="0" borderId="15" xfId="2" applyFont="1" applyFill="1" applyBorder="1"/>
    <xf numFmtId="0" fontId="2" fillId="0" borderId="3" xfId="2" applyFont="1" applyBorder="1"/>
    <xf numFmtId="177" fontId="2" fillId="0" borderId="3" xfId="2" applyNumberFormat="1" applyFont="1" applyBorder="1"/>
    <xf numFmtId="171" fontId="2" fillId="0" borderId="3" xfId="2" applyNumberFormat="1" applyFont="1" applyBorder="1"/>
    <xf numFmtId="171" fontId="2" fillId="0" borderId="14" xfId="2" applyNumberFormat="1" applyFont="1" applyBorder="1"/>
    <xf numFmtId="0" fontId="2" fillId="0" borderId="13" xfId="2" applyFont="1" applyFill="1" applyBorder="1"/>
    <xf numFmtId="177" fontId="2" fillId="0" borderId="0" xfId="2" applyNumberFormat="1" applyFont="1" applyBorder="1"/>
    <xf numFmtId="171" fontId="2" fillId="0" borderId="0" xfId="2" applyNumberFormat="1" applyFont="1" applyBorder="1"/>
    <xf numFmtId="171" fontId="2" fillId="0" borderId="7" xfId="2" applyNumberFormat="1" applyFont="1" applyBorder="1"/>
    <xf numFmtId="177" fontId="2" fillId="0" borderId="1" xfId="2" applyNumberFormat="1" applyFont="1" applyBorder="1"/>
    <xf numFmtId="171" fontId="2" fillId="0" borderId="1" xfId="2" applyNumberFormat="1" applyFont="1" applyBorder="1"/>
    <xf numFmtId="171" fontId="2" fillId="0" borderId="6" xfId="2" applyNumberFormat="1" applyFont="1" applyBorder="1"/>
    <xf numFmtId="0" fontId="31" fillId="0" borderId="4" xfId="32" applyFont="1" applyFill="1" applyBorder="1" applyAlignment="1">
      <alignment horizontal="right"/>
    </xf>
    <xf numFmtId="5" fontId="15" fillId="4" borderId="7" xfId="8" applyNumberFormat="1" applyFont="1" applyFill="1" applyBorder="1"/>
    <xf numFmtId="0" fontId="17" fillId="2" borderId="0" xfId="5" applyFont="1" applyFill="1"/>
    <xf numFmtId="0" fontId="0" fillId="2" borderId="0" xfId="0" applyFill="1"/>
    <xf numFmtId="0" fontId="1" fillId="0" borderId="2" xfId="30" applyFont="1" applyBorder="1" applyAlignment="1">
      <alignment horizontal="center"/>
    </xf>
    <xf numFmtId="0" fontId="21" fillId="4" borderId="15" xfId="32" applyFont="1" applyFill="1" applyBorder="1"/>
    <xf numFmtId="0" fontId="21" fillId="4" borderId="14" xfId="32" quotePrefix="1" applyFont="1" applyFill="1" applyBorder="1"/>
    <xf numFmtId="42" fontId="36" fillId="0" borderId="10" xfId="2" applyNumberFormat="1" applyFont="1" applyFill="1" applyBorder="1"/>
    <xf numFmtId="169" fontId="36" fillId="0" borderId="0" xfId="2" applyNumberFormat="1" applyFont="1" applyFill="1" applyBorder="1"/>
    <xf numFmtId="169" fontId="36" fillId="0" borderId="13" xfId="2" applyNumberFormat="1" applyFont="1" applyFill="1" applyBorder="1"/>
    <xf numFmtId="37" fontId="47" fillId="0" borderId="3" xfId="0" applyNumberFormat="1" applyFont="1" applyFill="1" applyBorder="1"/>
    <xf numFmtId="37" fontId="47" fillId="0" borderId="0" xfId="0" applyNumberFormat="1" applyFont="1" applyFill="1" applyBorder="1"/>
    <xf numFmtId="174" fontId="36" fillId="0" borderId="0" xfId="30" applyNumberFormat="1" applyFont="1"/>
    <xf numFmtId="174" fontId="36" fillId="0" borderId="0" xfId="30" applyNumberFormat="1" applyFont="1" applyFill="1"/>
    <xf numFmtId="42" fontId="36" fillId="0" borderId="0" xfId="30" applyNumberFormat="1" applyFont="1" applyAlignment="1">
      <alignment horizontal="left"/>
    </xf>
    <xf numFmtId="167" fontId="36" fillId="0" borderId="0" xfId="30" applyNumberFormat="1" applyFont="1"/>
    <xf numFmtId="3" fontId="36" fillId="0" borderId="0" xfId="30" applyNumberFormat="1" applyFont="1"/>
    <xf numFmtId="3" fontId="36" fillId="0" borderId="0" xfId="30" applyNumberFormat="1" applyFont="1" applyFill="1"/>
    <xf numFmtId="0" fontId="36" fillId="0" borderId="0" xfId="30" applyFont="1"/>
    <xf numFmtId="174" fontId="47" fillId="0" borderId="0" xfId="0" applyNumberFormat="1" applyFont="1" applyFill="1" applyBorder="1"/>
    <xf numFmtId="5" fontId="47" fillId="0" borderId="0" xfId="0" applyNumberFormat="1" applyFont="1" applyFill="1"/>
    <xf numFmtId="44" fontId="47" fillId="0" borderId="0" xfId="1" applyFont="1" applyFill="1" applyBorder="1" applyAlignment="1">
      <alignment horizontal="center"/>
    </xf>
    <xf numFmtId="0" fontId="4" fillId="0" borderId="0" xfId="30" applyFont="1" applyAlignment="1">
      <alignment horizontal="center"/>
    </xf>
    <xf numFmtId="0" fontId="33" fillId="0" borderId="0" xfId="30" applyFont="1" applyAlignment="1">
      <alignment horizontal="center"/>
    </xf>
    <xf numFmtId="0" fontId="4" fillId="0" borderId="0" xfId="30" applyAlignment="1">
      <alignment horizontal="center"/>
    </xf>
    <xf numFmtId="0" fontId="15" fillId="5" borderId="22" xfId="8" applyFont="1" applyFill="1" applyBorder="1" applyAlignment="1">
      <alignment horizontal="center"/>
    </xf>
    <xf numFmtId="0" fontId="15" fillId="5" borderId="21" xfId="8" applyFont="1" applyFill="1" applyBorder="1" applyAlignment="1">
      <alignment horizontal="center"/>
    </xf>
    <xf numFmtId="0" fontId="15" fillId="5" borderId="26" xfId="8" applyFont="1" applyFill="1" applyBorder="1" applyAlignment="1">
      <alignment horizontal="center"/>
    </xf>
    <xf numFmtId="0" fontId="55" fillId="4" borderId="13" xfId="32" applyFont="1" applyFill="1" applyBorder="1" applyAlignment="1">
      <alignment horizontal="center"/>
    </xf>
    <xf numFmtId="0" fontId="55" fillId="4" borderId="0" xfId="32" applyFont="1" applyFill="1" applyBorder="1" applyAlignment="1">
      <alignment horizontal="center"/>
    </xf>
    <xf numFmtId="0" fontId="55" fillId="4" borderId="7" xfId="32" applyFont="1" applyFill="1" applyBorder="1" applyAlignment="1">
      <alignment horizontal="center"/>
    </xf>
    <xf numFmtId="0" fontId="54" fillId="4" borderId="13" xfId="32" applyFont="1" applyFill="1" applyBorder="1" applyAlignment="1">
      <alignment horizontal="center" vertical="center" wrapText="1"/>
    </xf>
    <xf numFmtId="0" fontId="54" fillId="4" borderId="0" xfId="32" applyFont="1" applyFill="1" applyBorder="1" applyAlignment="1">
      <alignment horizontal="center" vertical="center" wrapText="1"/>
    </xf>
    <xf numFmtId="0" fontId="54" fillId="4" borderId="7" xfId="32" applyFont="1" applyFill="1" applyBorder="1" applyAlignment="1">
      <alignment horizontal="center" vertical="center" wrapText="1"/>
    </xf>
    <xf numFmtId="0" fontId="24" fillId="4" borderId="13" xfId="8" applyFont="1" applyFill="1" applyBorder="1" applyAlignment="1">
      <alignment horizontal="center"/>
    </xf>
    <xf numFmtId="0" fontId="24" fillId="4" borderId="0" xfId="8" applyFont="1" applyFill="1" applyBorder="1" applyAlignment="1">
      <alignment horizontal="center"/>
    </xf>
    <xf numFmtId="0" fontId="24" fillId="4" borderId="7" xfId="8" applyFont="1" applyFill="1" applyBorder="1" applyAlignment="1">
      <alignment horizontal="center"/>
    </xf>
    <xf numFmtId="37" fontId="26" fillId="4" borderId="13" xfId="8" applyNumberFormat="1" applyFont="1" applyFill="1" applyBorder="1" applyAlignment="1">
      <alignment horizontal="center"/>
    </xf>
    <xf numFmtId="37" fontId="26" fillId="4" borderId="0" xfId="8" applyNumberFormat="1" applyFont="1" applyFill="1" applyBorder="1" applyAlignment="1">
      <alignment horizontal="center"/>
    </xf>
    <xf numFmtId="37" fontId="26" fillId="4" borderId="7" xfId="8" applyNumberFormat="1" applyFont="1" applyFill="1" applyBorder="1" applyAlignment="1">
      <alignment horizontal="center"/>
    </xf>
    <xf numFmtId="0" fontId="15" fillId="0" borderId="0" xfId="2" applyNumberFormat="1" applyFont="1" applyFill="1" applyAlignment="1" applyProtection="1">
      <alignment horizontal="center"/>
      <protection locked="0"/>
    </xf>
    <xf numFmtId="0" fontId="15" fillId="0" borderId="0" xfId="2" applyNumberFormat="1" applyFont="1" applyAlignment="1">
      <alignment horizontal="center"/>
    </xf>
    <xf numFmtId="0" fontId="15" fillId="0" borderId="0" xfId="2" applyNumberFormat="1" applyFont="1" applyFill="1" applyAlignment="1">
      <alignment horizontal="center"/>
    </xf>
    <xf numFmtId="0" fontId="28" fillId="6" borderId="16" xfId="8" applyFont="1" applyFill="1" applyBorder="1"/>
    <xf numFmtId="0" fontId="21" fillId="6" borderId="17" xfId="32" applyFont="1" applyFill="1" applyBorder="1"/>
    <xf numFmtId="37" fontId="14" fillId="6" borderId="17" xfId="8" applyNumberFormat="1" applyFont="1" applyFill="1" applyBorder="1" applyAlignment="1">
      <alignment horizontal="right"/>
    </xf>
    <xf numFmtId="0" fontId="14" fillId="6" borderId="17" xfId="8" applyFont="1" applyFill="1" applyBorder="1"/>
    <xf numFmtId="173" fontId="15" fillId="6" borderId="17" xfId="8" applyNumberFormat="1" applyFont="1" applyFill="1" applyBorder="1" applyAlignment="1">
      <alignment horizontal="right"/>
    </xf>
    <xf numFmtId="0" fontId="14" fillId="6" borderId="17" xfId="32" applyFont="1" applyFill="1" applyBorder="1"/>
    <xf numFmtId="0" fontId="14" fillId="6" borderId="23" xfId="8" applyFont="1" applyFill="1" applyBorder="1" applyAlignment="1">
      <alignment horizontal="center"/>
    </xf>
    <xf numFmtId="0" fontId="28" fillId="6" borderId="18" xfId="8" applyFont="1" applyFill="1" applyBorder="1"/>
    <xf numFmtId="172" fontId="15" fillId="6" borderId="0" xfId="18" applyNumberFormat="1" applyFont="1" applyFill="1" applyBorder="1"/>
    <xf numFmtId="37" fontId="15" fillId="6" borderId="0" xfId="8" applyNumberFormat="1" applyFont="1" applyFill="1" applyBorder="1" applyAlignment="1">
      <alignment horizontal="right"/>
    </xf>
    <xf numFmtId="0" fontId="14" fillId="6" borderId="0" xfId="8" applyFont="1" applyFill="1" applyBorder="1"/>
    <xf numFmtId="173" fontId="14" fillId="6" borderId="0" xfId="9" applyNumberFormat="1" applyFont="1" applyFill="1" applyBorder="1" applyAlignment="1">
      <alignment horizontal="right"/>
    </xf>
    <xf numFmtId="3" fontId="14" fillId="6" borderId="0" xfId="8" applyNumberFormat="1" applyFont="1" applyFill="1" applyBorder="1" applyAlignment="1">
      <alignment horizontal="right"/>
    </xf>
    <xf numFmtId="0" fontId="14" fillId="6" borderId="24" xfId="8" applyFont="1" applyFill="1" applyBorder="1" applyAlignment="1">
      <alignment horizontal="center"/>
    </xf>
    <xf numFmtId="0" fontId="21" fillId="6" borderId="0" xfId="32" applyFont="1" applyFill="1" applyBorder="1"/>
    <xf numFmtId="43" fontId="21" fillId="6" borderId="0" xfId="17" applyFont="1" applyFill="1" applyBorder="1"/>
    <xf numFmtId="0" fontId="14" fillId="6" borderId="0" xfId="32" applyFont="1" applyFill="1" applyBorder="1"/>
    <xf numFmtId="0" fontId="14" fillId="6" borderId="24" xfId="32" applyFont="1" applyFill="1" applyBorder="1"/>
    <xf numFmtId="0" fontId="14" fillId="6" borderId="18" xfId="8" applyFont="1" applyFill="1" applyBorder="1"/>
    <xf numFmtId="0" fontId="14" fillId="6" borderId="0" xfId="8" applyFont="1" applyFill="1" applyBorder="1" applyAlignment="1">
      <alignment horizontal="right"/>
    </xf>
    <xf numFmtId="173" fontId="14" fillId="6" borderId="0" xfId="8" applyNumberFormat="1" applyFont="1" applyFill="1" applyBorder="1" applyAlignment="1">
      <alignment horizontal="right"/>
    </xf>
    <xf numFmtId="166" fontId="15" fillId="6" borderId="0" xfId="8" applyNumberFormat="1" applyFont="1" applyFill="1" applyBorder="1" applyAlignment="1">
      <alignment horizontal="right"/>
    </xf>
    <xf numFmtId="0" fontId="15" fillId="6" borderId="24" xfId="8" applyFont="1" applyFill="1" applyBorder="1" applyAlignment="1">
      <alignment horizontal="center"/>
    </xf>
    <xf numFmtId="0" fontId="14" fillId="6" borderId="19" xfId="32" applyFont="1" applyFill="1" applyBorder="1"/>
    <xf numFmtId="0" fontId="14" fillId="6" borderId="20" xfId="32" applyFont="1" applyFill="1" applyBorder="1"/>
    <xf numFmtId="173" fontId="14" fillId="6" borderId="20" xfId="8" applyNumberFormat="1" applyFont="1" applyFill="1" applyBorder="1" applyAlignment="1">
      <alignment horizontal="right"/>
    </xf>
    <xf numFmtId="0" fontId="14" fillId="6" borderId="25" xfId="32" applyFont="1" applyFill="1" applyBorder="1"/>
    <xf numFmtId="37" fontId="15" fillId="6" borderId="22" xfId="8" applyNumberFormat="1" applyFont="1" applyFill="1" applyBorder="1" applyAlignment="1">
      <alignment horizontal="right"/>
    </xf>
    <xf numFmtId="0" fontId="15" fillId="6" borderId="26" xfId="8" applyFont="1" applyFill="1" applyBorder="1"/>
    <xf numFmtId="0" fontId="15" fillId="6" borderId="16" xfId="8" applyFont="1" applyFill="1" applyBorder="1"/>
    <xf numFmtId="0" fontId="14" fillId="6" borderId="17" xfId="8" applyFont="1" applyFill="1" applyBorder="1" applyAlignment="1">
      <alignment horizontal="right"/>
    </xf>
    <xf numFmtId="173" fontId="14" fillId="6" borderId="17" xfId="9" applyNumberFormat="1" applyFont="1" applyFill="1" applyBorder="1" applyAlignment="1">
      <alignment horizontal="right"/>
    </xf>
    <xf numFmtId="5" fontId="14" fillId="6" borderId="23" xfId="8" applyNumberFormat="1" applyFont="1" applyFill="1" applyBorder="1"/>
    <xf numFmtId="0" fontId="15" fillId="6" borderId="18" xfId="8" applyFont="1" applyFill="1" applyBorder="1"/>
    <xf numFmtId="5" fontId="14" fillId="6" borderId="24" xfId="8" applyNumberFormat="1" applyFont="1" applyFill="1" applyBorder="1"/>
    <xf numFmtId="0" fontId="14" fillId="6" borderId="18" xfId="2" applyFont="1" applyFill="1" applyBorder="1"/>
    <xf numFmtId="169" fontId="14" fillId="6" borderId="0" xfId="34" applyNumberFormat="1" applyFont="1" applyFill="1" applyBorder="1" applyAlignment="1">
      <alignment horizontal="right"/>
    </xf>
    <xf numFmtId="5" fontId="14" fillId="6" borderId="0" xfId="8" applyNumberFormat="1" applyFont="1" applyFill="1" applyBorder="1" applyAlignment="1">
      <alignment horizontal="right"/>
    </xf>
    <xf numFmtId="5" fontId="34" fillId="6" borderId="24" xfId="8" applyNumberFormat="1" applyFont="1" applyFill="1" applyBorder="1"/>
    <xf numFmtId="0" fontId="27" fillId="6" borderId="18" xfId="8" applyFont="1" applyFill="1" applyBorder="1"/>
    <xf numFmtId="37" fontId="14" fillId="6" borderId="0" xfId="8" applyNumberFormat="1" applyFont="1" applyFill="1" applyBorder="1" applyAlignment="1">
      <alignment horizontal="right"/>
    </xf>
    <xf numFmtId="0" fontId="21" fillId="6" borderId="18" xfId="2" applyFont="1" applyFill="1" applyBorder="1"/>
    <xf numFmtId="0" fontId="21" fillId="6" borderId="0" xfId="8" applyFont="1" applyFill="1" applyBorder="1"/>
    <xf numFmtId="5" fontId="14" fillId="6" borderId="0" xfId="9" applyNumberFormat="1" applyFont="1" applyFill="1" applyBorder="1" applyAlignment="1">
      <alignment horizontal="right"/>
    </xf>
    <xf numFmtId="0" fontId="28" fillId="6" borderId="18" xfId="8" applyFont="1" applyFill="1" applyBorder="1" applyAlignment="1">
      <alignment horizontal="left" indent="2"/>
    </xf>
    <xf numFmtId="0" fontId="15" fillId="6" borderId="0" xfId="8" applyFont="1" applyFill="1" applyBorder="1"/>
    <xf numFmtId="173" fontId="15" fillId="6" borderId="0" xfId="9" applyNumberFormat="1" applyFont="1" applyFill="1" applyBorder="1" applyAlignment="1">
      <alignment horizontal="right"/>
    </xf>
    <xf numFmtId="5" fontId="15" fillId="6" borderId="0" xfId="8" applyNumberFormat="1" applyFont="1" applyFill="1" applyBorder="1" applyAlignment="1">
      <alignment horizontal="right"/>
    </xf>
    <xf numFmtId="5" fontId="15" fillId="6" borderId="24" xfId="8" applyNumberFormat="1" applyFont="1" applyFill="1" applyBorder="1" applyAlignment="1">
      <alignment horizontal="right"/>
    </xf>
    <xf numFmtId="0" fontId="21" fillId="6" borderId="18" xfId="32" applyFont="1" applyFill="1" applyBorder="1"/>
    <xf numFmtId="37" fontId="21" fillId="6" borderId="0" xfId="32" applyNumberFormat="1" applyFont="1" applyFill="1" applyBorder="1"/>
    <xf numFmtId="0" fontId="21" fillId="6" borderId="24" xfId="32" applyFont="1" applyFill="1" applyBorder="1"/>
    <xf numFmtId="37" fontId="14" fillId="6" borderId="0" xfId="17" applyNumberFormat="1" applyFont="1" applyFill="1" applyBorder="1" applyAlignment="1">
      <alignment horizontal="right"/>
    </xf>
    <xf numFmtId="0" fontId="14" fillId="6" borderId="18" xfId="8" applyFont="1" applyFill="1" applyBorder="1" applyAlignment="1">
      <alignment horizontal="left" indent="2"/>
    </xf>
    <xf numFmtId="37" fontId="21" fillId="6" borderId="0" xfId="17" applyNumberFormat="1" applyFont="1" applyFill="1" applyBorder="1" applyAlignment="1">
      <alignment horizontal="right"/>
    </xf>
    <xf numFmtId="37" fontId="21" fillId="6" borderId="0" xfId="8" applyNumberFormat="1" applyFont="1" applyFill="1" applyBorder="1" applyAlignment="1">
      <alignment horizontal="right"/>
    </xf>
    <xf numFmtId="37" fontId="35" fillId="6" borderId="0" xfId="8" applyNumberFormat="1" applyFont="1" applyFill="1" applyBorder="1" applyAlignment="1">
      <alignment horizontal="right"/>
    </xf>
    <xf numFmtId="37" fontId="14" fillId="6" borderId="0" xfId="2" applyNumberFormat="1" applyFont="1" applyFill="1" applyBorder="1" applyAlignment="1">
      <alignment horizontal="right"/>
    </xf>
    <xf numFmtId="0" fontId="14" fillId="6" borderId="0" xfId="2" applyFont="1" applyFill="1" applyBorder="1"/>
    <xf numFmtId="5" fontId="15" fillId="6" borderId="24" xfId="8" applyNumberFormat="1" applyFont="1" applyFill="1" applyBorder="1"/>
    <xf numFmtId="7" fontId="14" fillId="6" borderId="0" xfId="8" applyNumberFormat="1" applyFont="1" applyFill="1" applyBorder="1"/>
    <xf numFmtId="0" fontId="28" fillId="6" borderId="18" xfId="8" applyFont="1" applyFill="1" applyBorder="1" applyAlignment="1">
      <alignment horizontal="left" indent="1"/>
    </xf>
    <xf numFmtId="37" fontId="30" fillId="6" borderId="0" xfId="32" applyNumberFormat="1" applyFont="1" applyFill="1" applyBorder="1"/>
    <xf numFmtId="5" fontId="14" fillId="6" borderId="24" xfId="8" applyNumberFormat="1" applyFont="1" applyFill="1" applyBorder="1" applyAlignment="1">
      <alignment horizontal="right"/>
    </xf>
    <xf numFmtId="0" fontId="28" fillId="6" borderId="19" xfId="8" applyFont="1" applyFill="1" applyBorder="1" applyAlignment="1">
      <alignment horizontal="left" indent="2"/>
    </xf>
    <xf numFmtId="0" fontId="21" fillId="6" borderId="20" xfId="32" applyFont="1" applyFill="1" applyBorder="1"/>
    <xf numFmtId="37" fontId="14" fillId="6" borderId="20" xfId="2" applyNumberFormat="1" applyFont="1" applyFill="1" applyBorder="1" applyAlignment="1">
      <alignment horizontal="right"/>
    </xf>
    <xf numFmtId="0" fontId="14" fillId="6" borderId="20" xfId="8" applyFont="1" applyFill="1" applyBorder="1"/>
    <xf numFmtId="173" fontId="14" fillId="6" borderId="20" xfId="9" applyNumberFormat="1" applyFont="1" applyFill="1" applyBorder="1" applyAlignment="1">
      <alignment horizontal="right"/>
    </xf>
    <xf numFmtId="5" fontId="15" fillId="6" borderId="25" xfId="8" applyNumberFormat="1" applyFont="1" applyFill="1" applyBorder="1"/>
    <xf numFmtId="0" fontId="14" fillId="6" borderId="18" xfId="8" applyFont="1" applyFill="1" applyBorder="1" applyAlignment="1">
      <alignment horizontal="left" indent="1"/>
    </xf>
    <xf numFmtId="0" fontId="34" fillId="6" borderId="18" xfId="8" applyFont="1" applyFill="1" applyBorder="1" applyAlignment="1">
      <alignment horizontal="left" indent="1"/>
    </xf>
    <xf numFmtId="0" fontId="34" fillId="6" borderId="0" xfId="8" applyFont="1" applyFill="1" applyBorder="1"/>
    <xf numFmtId="37" fontId="34" fillId="6" borderId="0" xfId="17" applyNumberFormat="1" applyFont="1" applyFill="1" applyBorder="1" applyAlignment="1">
      <alignment horizontal="right"/>
    </xf>
    <xf numFmtId="173" fontId="34" fillId="6" borderId="0" xfId="9" applyNumberFormat="1" applyFont="1" applyFill="1" applyBorder="1" applyAlignment="1">
      <alignment horizontal="right"/>
    </xf>
    <xf numFmtId="5" fontId="34" fillId="6" borderId="0" xfId="8" applyNumberFormat="1" applyFont="1" applyFill="1" applyBorder="1" applyAlignment="1">
      <alignment horizontal="right"/>
    </xf>
    <xf numFmtId="37" fontId="14" fillId="6" borderId="0" xfId="17" applyNumberFormat="1" applyFont="1" applyFill="1" applyBorder="1" applyAlignment="1">
      <alignment horizontal="left"/>
    </xf>
    <xf numFmtId="172" fontId="15" fillId="6" borderId="17" xfId="18" applyNumberFormat="1" applyFont="1" applyFill="1" applyBorder="1"/>
    <xf numFmtId="172" fontId="15" fillId="6" borderId="0" xfId="33" applyNumberFormat="1" applyFont="1" applyFill="1" applyBorder="1"/>
    <xf numFmtId="0" fontId="14" fillId="6" borderId="18" xfId="32" applyFont="1" applyFill="1" applyBorder="1"/>
    <xf numFmtId="0" fontId="21" fillId="6" borderId="19" xfId="32" applyFont="1" applyFill="1" applyBorder="1"/>
    <xf numFmtId="0" fontId="21" fillId="6" borderId="25" xfId="32" applyFont="1" applyFill="1" applyBorder="1"/>
    <xf numFmtId="37" fontId="21" fillId="6" borderId="17" xfId="32" applyNumberFormat="1" applyFont="1" applyFill="1" applyBorder="1"/>
    <xf numFmtId="10" fontId="21" fillId="6" borderId="23" xfId="33" applyNumberFormat="1" applyFont="1" applyFill="1" applyBorder="1"/>
    <xf numFmtId="173" fontId="21" fillId="6" borderId="0" xfId="32" applyNumberFormat="1" applyFont="1" applyFill="1" applyBorder="1"/>
    <xf numFmtId="10" fontId="21" fillId="6" borderId="24" xfId="33" applyNumberFormat="1" applyFont="1" applyFill="1" applyBorder="1"/>
    <xf numFmtId="173" fontId="35" fillId="6" borderId="20" xfId="32" applyNumberFormat="1" applyFont="1" applyFill="1" applyBorder="1"/>
    <xf numFmtId="10" fontId="35" fillId="6" borderId="25" xfId="33" applyNumberFormat="1" applyFont="1" applyFill="1" applyBorder="1"/>
    <xf numFmtId="5" fontId="21" fillId="6" borderId="0" xfId="32" applyNumberFormat="1" applyFont="1" applyFill="1" applyBorder="1"/>
    <xf numFmtId="5" fontId="35" fillId="6" borderId="0" xfId="32" applyNumberFormat="1" applyFont="1" applyFill="1" applyBorder="1"/>
    <xf numFmtId="5" fontId="21" fillId="6" borderId="20" xfId="32" applyNumberFormat="1" applyFont="1" applyFill="1" applyBorder="1"/>
    <xf numFmtId="10" fontId="21" fillId="6" borderId="25" xfId="33" applyNumberFormat="1" applyFont="1" applyFill="1" applyBorder="1"/>
  </cellXfs>
  <cellStyles count="35">
    <cellStyle name="Comma" xfId="23" builtinId="3"/>
    <cellStyle name="Comma 10" xfId="34"/>
    <cellStyle name="Comma 2" xfId="11"/>
    <cellStyle name="Comma 2 2" xfId="17"/>
    <cellStyle name="Comma 3" xfId="13"/>
    <cellStyle name="Comma 4" xfId="16"/>
    <cellStyle name="Comma 5" xfId="20"/>
    <cellStyle name="Comma 6" xfId="22"/>
    <cellStyle name="Comma 7" xfId="25"/>
    <cellStyle name="Comma 8" xfId="28"/>
    <cellStyle name="Comma 9" xfId="31"/>
    <cellStyle name="Currency" xfId="1" builtinId="4"/>
    <cellStyle name="Currency 10" xfId="9"/>
    <cellStyle name="Normal" xfId="0" builtinId="0"/>
    <cellStyle name="Normal - Style1 2 2 3 4" xfId="2"/>
    <cellStyle name="Normal 10" xfId="29"/>
    <cellStyle name="Normal 10 2" xfId="14"/>
    <cellStyle name="Normal 11" xfId="30"/>
    <cellStyle name="Normal 12" xfId="32"/>
    <cellStyle name="Normal 2" xfId="10"/>
    <cellStyle name="Normal 2 10" xfId="8"/>
    <cellStyle name="Normal 2 2" xfId="5"/>
    <cellStyle name="Normal 3" xfId="12"/>
    <cellStyle name="Normal 4" xfId="15"/>
    <cellStyle name="Normal 5" xfId="6"/>
    <cellStyle name="Normal 6" xfId="19"/>
    <cellStyle name="Normal 7" xfId="21"/>
    <cellStyle name="Normal 8" xfId="24"/>
    <cellStyle name="Normal 9" xfId="26"/>
    <cellStyle name="Percent" xfId="7" builtinId="5"/>
    <cellStyle name="Percent 10" xfId="3"/>
    <cellStyle name="Percent 2" xfId="18"/>
    <cellStyle name="Percent 3" xfId="27"/>
    <cellStyle name="Percent 4" xfId="33"/>
    <cellStyle name="Report Heading" xfId="4"/>
  </cellStyles>
  <dxfs count="0"/>
  <tableStyles count="0" defaultTableStyle="TableStyleMedium9" defaultPivotStyle="PivotStyleLight16"/>
  <colors>
    <mruColors>
      <color rgb="FF0000FF"/>
      <color rgb="FF008080"/>
      <color rgb="FFFF66FF"/>
      <color rgb="FFFFCCFF"/>
      <color rgb="FFCCFFCC"/>
      <color rgb="FFFFFFCC"/>
      <color rgb="FFFFFF99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28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592667</xdr:colOff>
      <xdr:row>106</xdr:row>
      <xdr:rowOff>141111</xdr:rowOff>
    </xdr:from>
    <xdr:to>
      <xdr:col>22</xdr:col>
      <xdr:colOff>658566</xdr:colOff>
      <xdr:row>108</xdr:row>
      <xdr:rowOff>138500</xdr:rowOff>
    </xdr:to>
    <xdr:sp macro="" textlink="">
      <xdr:nvSpPr>
        <xdr:cNvPr id="2" name="TextBox 1"/>
        <xdr:cNvSpPr txBox="1"/>
      </xdr:nvSpPr>
      <xdr:spPr>
        <a:xfrm>
          <a:off x="22641278" y="17850555"/>
          <a:ext cx="1223010" cy="3219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13</xdr:col>
      <xdr:colOff>0</xdr:colOff>
      <xdr:row>108</xdr:row>
      <xdr:rowOff>0</xdr:rowOff>
    </xdr:from>
    <xdr:to>
      <xdr:col>14</xdr:col>
      <xdr:colOff>284621</xdr:colOff>
      <xdr:row>109</xdr:row>
      <xdr:rowOff>159667</xdr:rowOff>
    </xdr:to>
    <xdr:sp macro="" textlink="">
      <xdr:nvSpPr>
        <xdr:cNvPr id="3" name="TextBox 2"/>
        <xdr:cNvSpPr txBox="1"/>
      </xdr:nvSpPr>
      <xdr:spPr>
        <a:xfrm>
          <a:off x="14442722" y="18034000"/>
          <a:ext cx="1223010" cy="3219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945444</xdr:colOff>
      <xdr:row>106</xdr:row>
      <xdr:rowOff>98778</xdr:rowOff>
    </xdr:from>
    <xdr:to>
      <xdr:col>4</xdr:col>
      <xdr:colOff>736176</xdr:colOff>
      <xdr:row>108</xdr:row>
      <xdr:rowOff>96167</xdr:rowOff>
    </xdr:to>
    <xdr:sp macro="" textlink="">
      <xdr:nvSpPr>
        <xdr:cNvPr id="4" name="TextBox 3"/>
        <xdr:cNvSpPr txBox="1"/>
      </xdr:nvSpPr>
      <xdr:spPr>
        <a:xfrm>
          <a:off x="4402666" y="17808222"/>
          <a:ext cx="1223010" cy="3219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973666</xdr:colOff>
      <xdr:row>12</xdr:row>
      <xdr:rowOff>91723</xdr:rowOff>
    </xdr:from>
    <xdr:to>
      <xdr:col>4</xdr:col>
      <xdr:colOff>764398</xdr:colOff>
      <xdr:row>14</xdr:row>
      <xdr:rowOff>89112</xdr:rowOff>
    </xdr:to>
    <xdr:sp macro="" textlink="">
      <xdr:nvSpPr>
        <xdr:cNvPr id="5" name="TextBox 4"/>
        <xdr:cNvSpPr txBox="1"/>
      </xdr:nvSpPr>
      <xdr:spPr>
        <a:xfrm>
          <a:off x="4430888" y="2504723"/>
          <a:ext cx="1223010" cy="3219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13</xdr:col>
      <xdr:colOff>56446</xdr:colOff>
      <xdr:row>12</xdr:row>
      <xdr:rowOff>63500</xdr:rowOff>
    </xdr:from>
    <xdr:to>
      <xdr:col>14</xdr:col>
      <xdr:colOff>341067</xdr:colOff>
      <xdr:row>14</xdr:row>
      <xdr:rowOff>60889</xdr:rowOff>
    </xdr:to>
    <xdr:sp macro="" textlink="">
      <xdr:nvSpPr>
        <xdr:cNvPr id="6" name="TextBox 5"/>
        <xdr:cNvSpPr txBox="1"/>
      </xdr:nvSpPr>
      <xdr:spPr>
        <a:xfrm>
          <a:off x="14499168" y="2476500"/>
          <a:ext cx="1223010" cy="3219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21</xdr:col>
      <xdr:colOff>508001</xdr:colOff>
      <xdr:row>13</xdr:row>
      <xdr:rowOff>1</xdr:rowOff>
    </xdr:from>
    <xdr:to>
      <xdr:col>22</xdr:col>
      <xdr:colOff>573900</xdr:colOff>
      <xdr:row>14</xdr:row>
      <xdr:rowOff>159668</xdr:rowOff>
    </xdr:to>
    <xdr:sp macro="" textlink="">
      <xdr:nvSpPr>
        <xdr:cNvPr id="7" name="TextBox 6"/>
        <xdr:cNvSpPr txBox="1"/>
      </xdr:nvSpPr>
      <xdr:spPr>
        <a:xfrm>
          <a:off x="22556612" y="2575279"/>
          <a:ext cx="1223010" cy="3219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1150055</xdr:colOff>
      <xdr:row>36</xdr:row>
      <xdr:rowOff>134055</xdr:rowOff>
    </xdr:from>
    <xdr:to>
      <xdr:col>4</xdr:col>
      <xdr:colOff>940787</xdr:colOff>
      <xdr:row>38</xdr:row>
      <xdr:rowOff>131445</xdr:rowOff>
    </xdr:to>
    <xdr:sp macro="" textlink="">
      <xdr:nvSpPr>
        <xdr:cNvPr id="8" name="TextBox 7"/>
        <xdr:cNvSpPr txBox="1"/>
      </xdr:nvSpPr>
      <xdr:spPr>
        <a:xfrm>
          <a:off x="4607277" y="6441722"/>
          <a:ext cx="1223010" cy="3219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13</xdr:col>
      <xdr:colOff>0</xdr:colOff>
      <xdr:row>36</xdr:row>
      <xdr:rowOff>0</xdr:rowOff>
    </xdr:from>
    <xdr:to>
      <xdr:col>14</xdr:col>
      <xdr:colOff>284621</xdr:colOff>
      <xdr:row>37</xdr:row>
      <xdr:rowOff>159668</xdr:rowOff>
    </xdr:to>
    <xdr:sp macro="" textlink="">
      <xdr:nvSpPr>
        <xdr:cNvPr id="9" name="TextBox 8"/>
        <xdr:cNvSpPr txBox="1"/>
      </xdr:nvSpPr>
      <xdr:spPr>
        <a:xfrm>
          <a:off x="14442722" y="6307667"/>
          <a:ext cx="1223010" cy="3219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21</xdr:col>
      <xdr:colOff>0</xdr:colOff>
      <xdr:row>36</xdr:row>
      <xdr:rowOff>0</xdr:rowOff>
    </xdr:from>
    <xdr:to>
      <xdr:col>22</xdr:col>
      <xdr:colOff>65899</xdr:colOff>
      <xdr:row>37</xdr:row>
      <xdr:rowOff>159668</xdr:rowOff>
    </xdr:to>
    <xdr:sp macro="" textlink="">
      <xdr:nvSpPr>
        <xdr:cNvPr id="10" name="TextBox 9"/>
        <xdr:cNvSpPr txBox="1"/>
      </xdr:nvSpPr>
      <xdr:spPr>
        <a:xfrm>
          <a:off x="22048611" y="6307667"/>
          <a:ext cx="1223010" cy="3219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4</xdr:col>
      <xdr:colOff>0</xdr:colOff>
      <xdr:row>78</xdr:row>
      <xdr:rowOff>0</xdr:rowOff>
    </xdr:from>
    <xdr:to>
      <xdr:col>5</xdr:col>
      <xdr:colOff>171732</xdr:colOff>
      <xdr:row>79</xdr:row>
      <xdr:rowOff>159667</xdr:rowOff>
    </xdr:to>
    <xdr:sp macro="" textlink="">
      <xdr:nvSpPr>
        <xdr:cNvPr id="11" name="TextBox 10"/>
        <xdr:cNvSpPr txBox="1"/>
      </xdr:nvSpPr>
      <xdr:spPr>
        <a:xfrm>
          <a:off x="4889500" y="13144500"/>
          <a:ext cx="1223010" cy="3219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13</xdr:col>
      <xdr:colOff>0</xdr:colOff>
      <xdr:row>79</xdr:row>
      <xdr:rowOff>0</xdr:rowOff>
    </xdr:from>
    <xdr:to>
      <xdr:col>14</xdr:col>
      <xdr:colOff>284621</xdr:colOff>
      <xdr:row>80</xdr:row>
      <xdr:rowOff>159667</xdr:rowOff>
    </xdr:to>
    <xdr:sp macro="" textlink="">
      <xdr:nvSpPr>
        <xdr:cNvPr id="12" name="TextBox 11"/>
        <xdr:cNvSpPr txBox="1"/>
      </xdr:nvSpPr>
      <xdr:spPr>
        <a:xfrm>
          <a:off x="14442722" y="13306778"/>
          <a:ext cx="1223010" cy="3219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22</xdr:col>
      <xdr:colOff>0</xdr:colOff>
      <xdr:row>80</xdr:row>
      <xdr:rowOff>0</xdr:rowOff>
    </xdr:from>
    <xdr:to>
      <xdr:col>23</xdr:col>
      <xdr:colOff>65899</xdr:colOff>
      <xdr:row>81</xdr:row>
      <xdr:rowOff>159668</xdr:rowOff>
    </xdr:to>
    <xdr:sp macro="" textlink="">
      <xdr:nvSpPr>
        <xdr:cNvPr id="13" name="TextBox 12"/>
        <xdr:cNvSpPr txBox="1"/>
      </xdr:nvSpPr>
      <xdr:spPr>
        <a:xfrm>
          <a:off x="23205722" y="13469056"/>
          <a:ext cx="1223010" cy="3219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86B\FIA--kb%20edits--scenario%202a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2_final_20110310_1537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"/>
  <sheetViews>
    <sheetView tabSelected="1" zoomScaleNormal="100" workbookViewId="0"/>
  </sheetViews>
  <sheetFormatPr defaultColWidth="9.140625" defaultRowHeight="12.75" x14ac:dyDescent="0.2"/>
  <cols>
    <col min="1" max="16384" width="9.140625" style="392"/>
  </cols>
  <sheetData>
    <row r="2" spans="1:1" ht="15.75" x14ac:dyDescent="0.25">
      <c r="A2" s="391" t="s">
        <v>302</v>
      </c>
    </row>
  </sheetData>
  <phoneticPr fontId="16" type="noConversion"/>
  <pageMargins left="0.75" right="0.75" top="1" bottom="1" header="0.5" footer="0.5"/>
  <pageSetup scale="75" orientation="landscape" horizontalDpi="300" verticalDpi="300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Y114"/>
  <sheetViews>
    <sheetView zoomScale="90" zoomScaleNormal="90" workbookViewId="0">
      <pane ySplit="8" topLeftCell="A9" activePane="bottomLeft" state="frozen"/>
      <selection pane="bottomLeft"/>
    </sheetView>
  </sheetViews>
  <sheetFormatPr defaultColWidth="8.5703125" defaultRowHeight="12.75" x14ac:dyDescent="0.2"/>
  <cols>
    <col min="1" max="1" width="4.42578125" style="188" customWidth="1"/>
    <col min="2" max="2" width="4.5703125" style="198" bestFit="1" customWidth="1"/>
    <col min="3" max="3" width="40.5703125" style="199" customWidth="1"/>
    <col min="4" max="4" width="20.42578125" style="199" bestFit="1" customWidth="1"/>
    <col min="5" max="5" width="15" style="199" customWidth="1"/>
    <col min="6" max="6" width="9.5703125" style="199" bestFit="1" customWidth="1"/>
    <col min="7" max="7" width="12.5703125" style="199" bestFit="1" customWidth="1"/>
    <col min="8" max="8" width="13.5703125" style="199" customWidth="1"/>
    <col min="9" max="9" width="14.5703125" style="199" bestFit="1" customWidth="1"/>
    <col min="10" max="10" width="6" style="188" customWidth="1"/>
    <col min="11" max="11" width="4.5703125" style="188" bestFit="1" customWidth="1"/>
    <col min="12" max="12" width="40.42578125" style="188" bestFit="1" customWidth="1"/>
    <col min="13" max="13" width="20.42578125" style="188" bestFit="1" customWidth="1"/>
    <col min="14" max="14" width="13.42578125" style="188" bestFit="1" customWidth="1"/>
    <col min="15" max="15" width="7.42578125" style="188" bestFit="1" customWidth="1"/>
    <col min="16" max="16" width="11.140625" style="188" customWidth="1"/>
    <col min="17" max="18" width="13.5703125" style="188" customWidth="1"/>
    <col min="19" max="19" width="5.42578125" style="188" customWidth="1"/>
    <col min="20" max="20" width="4.5703125" style="188" customWidth="1"/>
    <col min="21" max="21" width="39.7109375" style="188" customWidth="1"/>
    <col min="22" max="24" width="16.5703125" style="188" customWidth="1"/>
    <col min="25" max="25" width="9.85546875" style="188" bestFit="1" customWidth="1"/>
    <col min="26" max="16384" width="8.5703125" style="188"/>
  </cols>
  <sheetData>
    <row r="1" spans="1:25" ht="13.5" thickBot="1" x14ac:dyDescent="0.25">
      <c r="B1" s="1"/>
      <c r="C1" s="2"/>
      <c r="D1" s="2"/>
      <c r="E1" s="2"/>
      <c r="F1" s="2"/>
      <c r="G1" s="2"/>
      <c r="H1" s="2"/>
      <c r="I1" s="3">
        <v>2022</v>
      </c>
      <c r="K1" s="1"/>
      <c r="L1" s="2"/>
      <c r="M1" s="2"/>
      <c r="N1" s="2"/>
      <c r="O1" s="2"/>
      <c r="P1" s="2"/>
      <c r="Q1" s="2"/>
      <c r="R1" s="3">
        <v>2021</v>
      </c>
      <c r="T1" s="394"/>
      <c r="U1" s="282"/>
      <c r="V1" s="282"/>
      <c r="W1" s="282"/>
      <c r="X1" s="282"/>
      <c r="Y1" s="395" t="s">
        <v>305</v>
      </c>
    </row>
    <row r="2" spans="1:25" ht="14.85" customHeight="1" thickBot="1" x14ac:dyDescent="0.25">
      <c r="B2" s="414" t="s">
        <v>142</v>
      </c>
      <c r="C2" s="415"/>
      <c r="D2" s="415"/>
      <c r="E2" s="415"/>
      <c r="F2" s="415"/>
      <c r="G2" s="415"/>
      <c r="H2" s="415"/>
      <c r="I2" s="416"/>
      <c r="K2" s="414" t="s">
        <v>142</v>
      </c>
      <c r="L2" s="415"/>
      <c r="M2" s="415"/>
      <c r="N2" s="415"/>
      <c r="O2" s="415"/>
      <c r="P2" s="415"/>
      <c r="Q2" s="415"/>
      <c r="R2" s="416"/>
      <c r="T2" s="414" t="s">
        <v>142</v>
      </c>
      <c r="U2" s="415"/>
      <c r="V2" s="415"/>
      <c r="W2" s="415"/>
      <c r="X2" s="415"/>
      <c r="Y2" s="416"/>
    </row>
    <row r="3" spans="1:25" x14ac:dyDescent="0.2">
      <c r="B3" s="4"/>
      <c r="C3" s="5"/>
      <c r="D3" s="5" t="s">
        <v>302</v>
      </c>
      <c r="E3" s="5"/>
      <c r="F3" s="5"/>
      <c r="G3" s="6"/>
      <c r="H3" s="7"/>
      <c r="I3" s="8"/>
      <c r="K3" s="4"/>
      <c r="L3" s="5"/>
      <c r="M3" s="5" t="s">
        <v>302</v>
      </c>
      <c r="N3" s="5"/>
      <c r="O3" s="5"/>
      <c r="P3" s="6"/>
      <c r="Q3" s="7"/>
      <c r="R3" s="8"/>
      <c r="T3" s="280"/>
      <c r="U3" s="275"/>
      <c r="V3" s="275" t="s">
        <v>302</v>
      </c>
      <c r="W3" s="275"/>
      <c r="X3" s="275"/>
      <c r="Y3" s="281"/>
    </row>
    <row r="4" spans="1:25" s="189" customFormat="1" ht="23.25" x14ac:dyDescent="0.35">
      <c r="B4" s="423" t="s">
        <v>143</v>
      </c>
      <c r="C4" s="424"/>
      <c r="D4" s="424"/>
      <c r="E4" s="424"/>
      <c r="F4" s="424"/>
      <c r="G4" s="424"/>
      <c r="H4" s="424"/>
      <c r="I4" s="425"/>
      <c r="K4" s="423" t="s">
        <v>143</v>
      </c>
      <c r="L4" s="424"/>
      <c r="M4" s="424"/>
      <c r="N4" s="424"/>
      <c r="O4" s="424"/>
      <c r="P4" s="424"/>
      <c r="Q4" s="424"/>
      <c r="R4" s="425"/>
      <c r="T4" s="417" t="s">
        <v>143</v>
      </c>
      <c r="U4" s="418"/>
      <c r="V4" s="418"/>
      <c r="W4" s="418"/>
      <c r="X4" s="418"/>
      <c r="Y4" s="419"/>
    </row>
    <row r="5" spans="1:25" x14ac:dyDescent="0.2">
      <c r="B5" s="9"/>
      <c r="C5" s="10"/>
      <c r="D5" s="10"/>
      <c r="E5" s="11"/>
      <c r="F5" s="11"/>
      <c r="G5" s="12"/>
      <c r="H5" s="13"/>
      <c r="I5" s="14"/>
      <c r="K5" s="9"/>
      <c r="L5" s="10"/>
      <c r="M5" s="10"/>
      <c r="N5" s="11"/>
      <c r="O5" s="11"/>
      <c r="P5" s="12"/>
      <c r="Q5" s="13"/>
      <c r="R5" s="14"/>
      <c r="T5" s="280"/>
      <c r="U5" s="275"/>
      <c r="V5" s="275"/>
      <c r="W5" s="275"/>
      <c r="X5" s="275"/>
      <c r="Y5" s="281"/>
    </row>
    <row r="6" spans="1:25" s="190" customFormat="1" ht="18" x14ac:dyDescent="0.25">
      <c r="B6" s="426" t="s">
        <v>300</v>
      </c>
      <c r="C6" s="427"/>
      <c r="D6" s="427"/>
      <c r="E6" s="427"/>
      <c r="F6" s="427"/>
      <c r="G6" s="427"/>
      <c r="H6" s="427"/>
      <c r="I6" s="428"/>
      <c r="K6" s="426" t="s">
        <v>301</v>
      </c>
      <c r="L6" s="427"/>
      <c r="M6" s="427"/>
      <c r="N6" s="427"/>
      <c r="O6" s="427"/>
      <c r="P6" s="427"/>
      <c r="Q6" s="427"/>
      <c r="R6" s="428"/>
      <c r="T6" s="420" t="s">
        <v>249</v>
      </c>
      <c r="U6" s="421"/>
      <c r="V6" s="421"/>
      <c r="W6" s="421"/>
      <c r="X6" s="421"/>
      <c r="Y6" s="422"/>
    </row>
    <row r="7" spans="1:25" ht="17.45" customHeight="1" x14ac:dyDescent="0.2">
      <c r="B7" s="4"/>
      <c r="C7" s="5"/>
      <c r="D7" s="5"/>
      <c r="E7" s="15"/>
      <c r="F7" s="5"/>
      <c r="G7" s="16"/>
      <c r="H7" s="17"/>
      <c r="I7" s="18"/>
      <c r="K7" s="4"/>
      <c r="L7" s="5"/>
      <c r="M7" s="5"/>
      <c r="N7" s="15"/>
      <c r="O7" s="5"/>
      <c r="P7" s="16"/>
      <c r="Q7" s="17"/>
      <c r="R7" s="18"/>
      <c r="T7" s="420"/>
      <c r="U7" s="421"/>
      <c r="V7" s="421"/>
      <c r="W7" s="421"/>
      <c r="X7" s="421"/>
      <c r="Y7" s="422"/>
    </row>
    <row r="8" spans="1:25" ht="27" customHeight="1" x14ac:dyDescent="0.2">
      <c r="B8" s="288" t="s">
        <v>8</v>
      </c>
      <c r="C8" s="289" t="s">
        <v>144</v>
      </c>
      <c r="D8" s="21" t="s">
        <v>145</v>
      </c>
      <c r="E8" s="19" t="s">
        <v>38</v>
      </c>
      <c r="F8" s="19" t="s">
        <v>84</v>
      </c>
      <c r="G8" s="20" t="s">
        <v>146</v>
      </c>
      <c r="H8" s="21" t="s">
        <v>147</v>
      </c>
      <c r="I8" s="22" t="s">
        <v>148</v>
      </c>
      <c r="K8" s="288" t="s">
        <v>8</v>
      </c>
      <c r="L8" s="289" t="s">
        <v>144</v>
      </c>
      <c r="M8" s="21" t="s">
        <v>145</v>
      </c>
      <c r="N8" s="19" t="s">
        <v>38</v>
      </c>
      <c r="O8" s="19" t="s">
        <v>84</v>
      </c>
      <c r="P8" s="20" t="s">
        <v>146</v>
      </c>
      <c r="Q8" s="21" t="s">
        <v>147</v>
      </c>
      <c r="R8" s="22" t="s">
        <v>148</v>
      </c>
      <c r="T8" s="290" t="s">
        <v>8</v>
      </c>
      <c r="U8" s="293" t="s">
        <v>144</v>
      </c>
      <c r="V8" s="291" t="s">
        <v>49</v>
      </c>
      <c r="W8" s="291" t="s">
        <v>233</v>
      </c>
      <c r="X8" s="291" t="s">
        <v>250</v>
      </c>
      <c r="Y8" s="292" t="s">
        <v>232</v>
      </c>
    </row>
    <row r="9" spans="1:25" ht="13.5" thickBot="1" x14ac:dyDescent="0.25">
      <c r="A9" s="191"/>
      <c r="B9" s="4"/>
      <c r="C9" s="15" t="s">
        <v>2</v>
      </c>
      <c r="D9" s="15" t="s">
        <v>3</v>
      </c>
      <c r="E9" s="279" t="s">
        <v>137</v>
      </c>
      <c r="F9" s="15" t="s">
        <v>4</v>
      </c>
      <c r="G9" s="16" t="s">
        <v>293</v>
      </c>
      <c r="H9" s="17" t="s">
        <v>16</v>
      </c>
      <c r="I9" s="18" t="s">
        <v>13</v>
      </c>
      <c r="K9" s="4"/>
      <c r="L9" s="15" t="s">
        <v>2</v>
      </c>
      <c r="M9" s="15" t="s">
        <v>3</v>
      </c>
      <c r="N9" s="279" t="s">
        <v>137</v>
      </c>
      <c r="O9" s="15" t="s">
        <v>4</v>
      </c>
      <c r="P9" s="16" t="s">
        <v>293</v>
      </c>
      <c r="Q9" s="17" t="s">
        <v>16</v>
      </c>
      <c r="R9" s="18" t="s">
        <v>13</v>
      </c>
      <c r="T9" s="284"/>
      <c r="U9" s="294" t="s">
        <v>2</v>
      </c>
      <c r="V9" s="285" t="s">
        <v>3</v>
      </c>
      <c r="W9" s="285" t="s">
        <v>137</v>
      </c>
      <c r="X9" s="286" t="s">
        <v>294</v>
      </c>
      <c r="Y9" s="287" t="s">
        <v>293</v>
      </c>
    </row>
    <row r="10" spans="1:25" x14ac:dyDescent="0.2">
      <c r="A10" s="191"/>
      <c r="B10" s="4">
        <v>1</v>
      </c>
      <c r="C10" s="461"/>
      <c r="D10" s="435"/>
      <c r="E10" s="462"/>
      <c r="F10" s="435"/>
      <c r="G10" s="463"/>
      <c r="H10" s="462"/>
      <c r="I10" s="464"/>
      <c r="K10" s="4">
        <v>1</v>
      </c>
      <c r="L10" s="461"/>
      <c r="M10" s="435"/>
      <c r="N10" s="462"/>
      <c r="O10" s="435"/>
      <c r="P10" s="463"/>
      <c r="Q10" s="462"/>
      <c r="R10" s="464"/>
      <c r="T10" s="4">
        <v>1</v>
      </c>
      <c r="U10" s="461"/>
      <c r="V10" s="433"/>
      <c r="W10" s="433"/>
      <c r="X10" s="433"/>
      <c r="Y10" s="515"/>
    </row>
    <row r="11" spans="1:25" x14ac:dyDescent="0.2">
      <c r="A11" s="191"/>
      <c r="B11" s="4">
        <v>2</v>
      </c>
      <c r="C11" s="465"/>
      <c r="D11" s="442"/>
      <c r="E11" s="451"/>
      <c r="F11" s="442"/>
      <c r="G11" s="443"/>
      <c r="H11" s="451"/>
      <c r="I11" s="466"/>
      <c r="K11" s="4">
        <v>2</v>
      </c>
      <c r="L11" s="465"/>
      <c r="M11" s="442"/>
      <c r="N11" s="451"/>
      <c r="O11" s="442"/>
      <c r="P11" s="443"/>
      <c r="Q11" s="451"/>
      <c r="R11" s="466"/>
      <c r="T11" s="4">
        <v>2</v>
      </c>
      <c r="U11" s="465"/>
      <c r="V11" s="446"/>
      <c r="W11" s="446"/>
      <c r="X11" s="446"/>
      <c r="Y11" s="517"/>
    </row>
    <row r="12" spans="1:25" x14ac:dyDescent="0.2">
      <c r="A12" s="191"/>
      <c r="B12" s="4">
        <v>3</v>
      </c>
      <c r="C12" s="465"/>
      <c r="D12" s="442"/>
      <c r="E12" s="451"/>
      <c r="F12" s="442"/>
      <c r="G12" s="443"/>
      <c r="H12" s="451"/>
      <c r="I12" s="466"/>
      <c r="K12" s="4">
        <v>3</v>
      </c>
      <c r="L12" s="465"/>
      <c r="M12" s="442"/>
      <c r="N12" s="451"/>
      <c r="O12" s="442"/>
      <c r="P12" s="443"/>
      <c r="Q12" s="451"/>
      <c r="R12" s="466"/>
      <c r="T12" s="4">
        <v>3</v>
      </c>
      <c r="U12" s="465"/>
      <c r="V12" s="446"/>
      <c r="W12" s="446"/>
      <c r="X12" s="446"/>
      <c r="Y12" s="517"/>
    </row>
    <row r="13" spans="1:25" x14ac:dyDescent="0.2">
      <c r="A13" s="191"/>
      <c r="B13" s="4">
        <v>4</v>
      </c>
      <c r="C13" s="465"/>
      <c r="D13" s="442"/>
      <c r="E13" s="451"/>
      <c r="F13" s="442"/>
      <c r="G13" s="443"/>
      <c r="H13" s="451"/>
      <c r="I13" s="466"/>
      <c r="K13" s="4">
        <v>4</v>
      </c>
      <c r="L13" s="465"/>
      <c r="M13" s="442"/>
      <c r="N13" s="451"/>
      <c r="O13" s="442"/>
      <c r="P13" s="443"/>
      <c r="Q13" s="451"/>
      <c r="R13" s="466"/>
      <c r="T13" s="4">
        <v>4</v>
      </c>
      <c r="U13" s="465"/>
      <c r="V13" s="446"/>
      <c r="W13" s="446"/>
      <c r="X13" s="446"/>
      <c r="Y13" s="517"/>
    </row>
    <row r="14" spans="1:25" x14ac:dyDescent="0.2">
      <c r="A14" s="191"/>
      <c r="B14" s="4">
        <v>5</v>
      </c>
      <c r="C14" s="465"/>
      <c r="D14" s="442"/>
      <c r="E14" s="451"/>
      <c r="F14" s="442"/>
      <c r="G14" s="443"/>
      <c r="H14" s="451"/>
      <c r="I14" s="466"/>
      <c r="K14" s="4">
        <v>5</v>
      </c>
      <c r="L14" s="465"/>
      <c r="M14" s="442"/>
      <c r="N14" s="451"/>
      <c r="O14" s="442"/>
      <c r="P14" s="443"/>
      <c r="Q14" s="451"/>
      <c r="R14" s="466"/>
      <c r="T14" s="4">
        <v>5</v>
      </c>
      <c r="U14" s="465"/>
      <c r="V14" s="446"/>
      <c r="W14" s="446"/>
      <c r="X14" s="446"/>
      <c r="Y14" s="517"/>
    </row>
    <row r="15" spans="1:25" s="193" customFormat="1" x14ac:dyDescent="0.2">
      <c r="A15" s="192"/>
      <c r="B15" s="4">
        <v>6</v>
      </c>
      <c r="C15" s="467"/>
      <c r="D15" s="442"/>
      <c r="E15" s="468"/>
      <c r="F15" s="442"/>
      <c r="G15" s="443"/>
      <c r="H15" s="469"/>
      <c r="I15" s="470"/>
      <c r="K15" s="4">
        <v>6</v>
      </c>
      <c r="L15" s="450"/>
      <c r="M15" s="442"/>
      <c r="N15" s="472"/>
      <c r="O15" s="442"/>
      <c r="P15" s="443"/>
      <c r="Q15" s="469"/>
      <c r="R15" s="466"/>
      <c r="T15" s="4">
        <v>6</v>
      </c>
      <c r="U15" s="467"/>
      <c r="V15" s="520"/>
      <c r="W15" s="446"/>
      <c r="X15" s="446"/>
      <c r="Y15" s="517"/>
    </row>
    <row r="16" spans="1:25" s="193" customFormat="1" x14ac:dyDescent="0.2">
      <c r="A16" s="192"/>
      <c r="B16" s="4">
        <v>7</v>
      </c>
      <c r="C16" s="465"/>
      <c r="D16" s="442"/>
      <c r="E16" s="451"/>
      <c r="F16" s="442"/>
      <c r="G16" s="443"/>
      <c r="H16" s="451"/>
      <c r="I16" s="470"/>
      <c r="K16" s="4">
        <v>7</v>
      </c>
      <c r="L16" s="467"/>
      <c r="M16" s="442"/>
      <c r="N16" s="472"/>
      <c r="O16" s="442"/>
      <c r="P16" s="443"/>
      <c r="Q16" s="469"/>
      <c r="R16" s="466"/>
      <c r="T16" s="4">
        <v>7</v>
      </c>
      <c r="U16" s="465"/>
      <c r="V16" s="446"/>
      <c r="W16" s="446"/>
      <c r="X16" s="446"/>
      <c r="Y16" s="517"/>
    </row>
    <row r="17" spans="1:25" x14ac:dyDescent="0.2">
      <c r="A17" s="191"/>
      <c r="B17" s="4">
        <v>8</v>
      </c>
      <c r="C17" s="471"/>
      <c r="D17" s="442"/>
      <c r="E17" s="472"/>
      <c r="F17" s="442"/>
      <c r="G17" s="443"/>
      <c r="H17" s="469"/>
      <c r="I17" s="466"/>
      <c r="K17" s="4">
        <v>8</v>
      </c>
      <c r="L17" s="471"/>
      <c r="M17" s="442"/>
      <c r="N17" s="472"/>
      <c r="O17" s="442"/>
      <c r="P17" s="443"/>
      <c r="Q17" s="469"/>
      <c r="R17" s="466"/>
      <c r="T17" s="4">
        <v>8</v>
      </c>
      <c r="U17" s="471"/>
      <c r="V17" s="446"/>
      <c r="W17" s="446"/>
      <c r="X17" s="446"/>
      <c r="Y17" s="517"/>
    </row>
    <row r="18" spans="1:25" s="193" customFormat="1" x14ac:dyDescent="0.2">
      <c r="A18" s="192"/>
      <c r="B18" s="4">
        <v>9</v>
      </c>
      <c r="C18" s="473"/>
      <c r="D18" s="474"/>
      <c r="E18" s="472"/>
      <c r="F18" s="442"/>
      <c r="G18" s="443"/>
      <c r="H18" s="475"/>
      <c r="I18" s="466"/>
      <c r="K18" s="4">
        <v>9</v>
      </c>
      <c r="L18" s="502"/>
      <c r="M18" s="442"/>
      <c r="N18" s="484"/>
      <c r="O18" s="442"/>
      <c r="P18" s="443"/>
      <c r="Q18" s="469"/>
      <c r="R18" s="466"/>
      <c r="T18" s="4">
        <v>9</v>
      </c>
      <c r="U18" s="473"/>
      <c r="V18" s="446"/>
      <c r="W18" s="446"/>
      <c r="X18" s="446"/>
      <c r="Y18" s="517"/>
    </row>
    <row r="19" spans="1:25" s="193" customFormat="1" x14ac:dyDescent="0.2">
      <c r="A19" s="192"/>
      <c r="B19" s="4">
        <v>10</v>
      </c>
      <c r="C19" s="473"/>
      <c r="D19" s="474"/>
      <c r="E19" s="472"/>
      <c r="F19" s="442"/>
      <c r="G19" s="443"/>
      <c r="H19" s="469"/>
      <c r="I19" s="466"/>
      <c r="K19" s="4">
        <v>10</v>
      </c>
      <c r="L19" s="502"/>
      <c r="M19" s="442"/>
      <c r="N19" s="484"/>
      <c r="O19" s="442"/>
      <c r="P19" s="443"/>
      <c r="Q19" s="469"/>
      <c r="R19" s="466"/>
      <c r="T19" s="4">
        <v>10</v>
      </c>
      <c r="U19" s="473"/>
      <c r="V19" s="446"/>
      <c r="W19" s="446"/>
      <c r="X19" s="446"/>
      <c r="Y19" s="517"/>
    </row>
    <row r="20" spans="1:25" s="193" customFormat="1" x14ac:dyDescent="0.2">
      <c r="A20" s="192"/>
      <c r="B20" s="4">
        <v>11</v>
      </c>
      <c r="C20" s="473"/>
      <c r="D20" s="474"/>
      <c r="E20" s="472"/>
      <c r="F20" s="442"/>
      <c r="G20" s="443"/>
      <c r="H20" s="469"/>
      <c r="I20" s="466"/>
      <c r="K20" s="4">
        <v>11</v>
      </c>
      <c r="L20" s="503"/>
      <c r="M20" s="504"/>
      <c r="N20" s="505"/>
      <c r="O20" s="504"/>
      <c r="P20" s="506"/>
      <c r="Q20" s="507"/>
      <c r="R20" s="470"/>
      <c r="T20" s="4">
        <v>11</v>
      </c>
      <c r="U20" s="473"/>
      <c r="V20" s="446"/>
      <c r="W20" s="446"/>
      <c r="X20" s="446"/>
      <c r="Y20" s="517"/>
    </row>
    <row r="21" spans="1:25" s="193" customFormat="1" x14ac:dyDescent="0.2">
      <c r="A21" s="192"/>
      <c r="B21" s="4">
        <v>12</v>
      </c>
      <c r="C21" s="473"/>
      <c r="D21" s="474"/>
      <c r="E21" s="472"/>
      <c r="F21" s="442"/>
      <c r="G21" s="443"/>
      <c r="H21" s="469"/>
      <c r="I21" s="466"/>
      <c r="K21" s="4">
        <v>12</v>
      </c>
      <c r="L21" s="503"/>
      <c r="M21" s="504"/>
      <c r="N21" s="505"/>
      <c r="O21" s="504"/>
      <c r="P21" s="506"/>
      <c r="Q21" s="507"/>
      <c r="R21" s="470"/>
      <c r="T21" s="4">
        <v>12</v>
      </c>
      <c r="U21" s="473"/>
      <c r="V21" s="446"/>
      <c r="W21" s="446"/>
      <c r="X21" s="446"/>
      <c r="Y21" s="517"/>
    </row>
    <row r="22" spans="1:25" x14ac:dyDescent="0.2">
      <c r="A22" s="191"/>
      <c r="B22" s="4">
        <v>13</v>
      </c>
      <c r="C22" s="476"/>
      <c r="D22" s="477"/>
      <c r="E22" s="472"/>
      <c r="F22" s="442"/>
      <c r="G22" s="478"/>
      <c r="H22" s="479"/>
      <c r="I22" s="480"/>
      <c r="K22" s="4">
        <v>13</v>
      </c>
      <c r="L22" s="476"/>
      <c r="M22" s="477"/>
      <c r="N22" s="472"/>
      <c r="O22" s="442"/>
      <c r="P22" s="478"/>
      <c r="Q22" s="479"/>
      <c r="R22" s="480"/>
      <c r="T22" s="4">
        <v>13</v>
      </c>
      <c r="U22" s="476"/>
      <c r="V22" s="520"/>
      <c r="W22" s="446"/>
      <c r="X22" s="446"/>
      <c r="Y22" s="517"/>
    </row>
    <row r="23" spans="1:25" x14ac:dyDescent="0.2">
      <c r="A23" s="191"/>
      <c r="B23" s="4">
        <v>14</v>
      </c>
      <c r="C23" s="481"/>
      <c r="D23" s="446"/>
      <c r="E23" s="482"/>
      <c r="F23" s="446"/>
      <c r="G23" s="446"/>
      <c r="H23" s="446"/>
      <c r="I23" s="483"/>
      <c r="K23" s="4">
        <v>14</v>
      </c>
      <c r="L23" s="481"/>
      <c r="M23" s="446"/>
      <c r="N23" s="482"/>
      <c r="O23" s="446"/>
      <c r="P23" s="446"/>
      <c r="Q23" s="446"/>
      <c r="R23" s="483"/>
      <c r="T23" s="4">
        <v>14</v>
      </c>
      <c r="U23" s="481"/>
      <c r="V23" s="446"/>
      <c r="W23" s="446"/>
      <c r="X23" s="446"/>
      <c r="Y23" s="517"/>
    </row>
    <row r="24" spans="1:25" x14ac:dyDescent="0.2">
      <c r="A24" s="191"/>
      <c r="B24" s="4">
        <v>15</v>
      </c>
      <c r="C24" s="465"/>
      <c r="D24" s="477"/>
      <c r="E24" s="472"/>
      <c r="F24" s="442"/>
      <c r="G24" s="478"/>
      <c r="H24" s="479"/>
      <c r="I24" s="480"/>
      <c r="K24" s="4">
        <v>15</v>
      </c>
      <c r="L24" s="465"/>
      <c r="M24" s="477"/>
      <c r="N24" s="472"/>
      <c r="O24" s="442"/>
      <c r="P24" s="478"/>
      <c r="Q24" s="479"/>
      <c r="R24" s="480"/>
      <c r="T24" s="4">
        <v>15</v>
      </c>
      <c r="U24" s="465"/>
      <c r="V24" s="446"/>
      <c r="W24" s="446"/>
      <c r="X24" s="446"/>
      <c r="Y24" s="517"/>
    </row>
    <row r="25" spans="1:25" x14ac:dyDescent="0.2">
      <c r="A25" s="191"/>
      <c r="B25" s="4">
        <v>16</v>
      </c>
      <c r="C25" s="467"/>
      <c r="D25" s="442"/>
      <c r="E25" s="484"/>
      <c r="F25" s="442"/>
      <c r="G25" s="443"/>
      <c r="H25" s="469"/>
      <c r="I25" s="466"/>
      <c r="K25" s="4">
        <v>16</v>
      </c>
      <c r="L25" s="467"/>
      <c r="M25" s="442"/>
      <c r="N25" s="472"/>
      <c r="O25" s="442"/>
      <c r="P25" s="443"/>
      <c r="Q25" s="469"/>
      <c r="R25" s="466"/>
      <c r="T25" s="4">
        <v>16</v>
      </c>
      <c r="U25" s="467"/>
      <c r="V25" s="446"/>
      <c r="W25" s="446"/>
      <c r="X25" s="446"/>
      <c r="Y25" s="517"/>
    </row>
    <row r="26" spans="1:25" x14ac:dyDescent="0.2">
      <c r="A26" s="191"/>
      <c r="B26" s="4">
        <v>17</v>
      </c>
      <c r="C26" s="476"/>
      <c r="D26" s="477"/>
      <c r="E26" s="472"/>
      <c r="F26" s="442"/>
      <c r="G26" s="478"/>
      <c r="H26" s="479"/>
      <c r="I26" s="480"/>
      <c r="K26" s="4">
        <v>17</v>
      </c>
      <c r="L26" s="476"/>
      <c r="M26" s="477"/>
      <c r="N26" s="472"/>
      <c r="O26" s="442"/>
      <c r="P26" s="478"/>
      <c r="Q26" s="479"/>
      <c r="R26" s="480"/>
      <c r="T26" s="4">
        <v>17</v>
      </c>
      <c r="U26" s="476"/>
      <c r="V26" s="520"/>
      <c r="W26" s="446"/>
      <c r="X26" s="446"/>
      <c r="Y26" s="517"/>
    </row>
    <row r="27" spans="1:25" x14ac:dyDescent="0.2">
      <c r="A27" s="191"/>
      <c r="B27" s="4">
        <v>18</v>
      </c>
      <c r="C27" s="476"/>
      <c r="D27" s="477"/>
      <c r="E27" s="472"/>
      <c r="F27" s="442"/>
      <c r="G27" s="478"/>
      <c r="H27" s="479"/>
      <c r="I27" s="480"/>
      <c r="K27" s="4">
        <v>18</v>
      </c>
      <c r="L27" s="476"/>
      <c r="M27" s="477"/>
      <c r="N27" s="472"/>
      <c r="O27" s="442"/>
      <c r="P27" s="478"/>
      <c r="Q27" s="479"/>
      <c r="R27" s="480"/>
      <c r="T27" s="4">
        <v>18</v>
      </c>
      <c r="U27" s="476"/>
      <c r="V27" s="446"/>
      <c r="W27" s="446"/>
      <c r="X27" s="446"/>
      <c r="Y27" s="517"/>
    </row>
    <row r="28" spans="1:25" x14ac:dyDescent="0.2">
      <c r="A28" s="191"/>
      <c r="B28" s="4">
        <v>19</v>
      </c>
      <c r="C28" s="465"/>
      <c r="D28" s="477"/>
      <c r="E28" s="472"/>
      <c r="F28" s="442"/>
      <c r="G28" s="478"/>
      <c r="H28" s="479"/>
      <c r="I28" s="480"/>
      <c r="K28" s="4">
        <v>19</v>
      </c>
      <c r="L28" s="465"/>
      <c r="M28" s="477"/>
      <c r="N28" s="472"/>
      <c r="O28" s="442"/>
      <c r="P28" s="478"/>
      <c r="Q28" s="479"/>
      <c r="R28" s="480"/>
      <c r="T28" s="4">
        <v>19</v>
      </c>
      <c r="U28" s="465"/>
      <c r="V28" s="446"/>
      <c r="W28" s="446"/>
      <c r="X28" s="446"/>
      <c r="Y28" s="517"/>
    </row>
    <row r="29" spans="1:25" x14ac:dyDescent="0.2">
      <c r="A29" s="191"/>
      <c r="B29" s="4">
        <v>20</v>
      </c>
      <c r="C29" s="485"/>
      <c r="D29" s="442"/>
      <c r="E29" s="486"/>
      <c r="F29" s="442"/>
      <c r="G29" s="443"/>
      <c r="H29" s="469"/>
      <c r="I29" s="480"/>
      <c r="K29" s="4">
        <v>20</v>
      </c>
      <c r="L29" s="485"/>
      <c r="M29" s="442"/>
      <c r="N29" s="472"/>
      <c r="O29" s="442"/>
      <c r="P29" s="443"/>
      <c r="Q29" s="469"/>
      <c r="R29" s="480"/>
      <c r="T29" s="4">
        <v>20</v>
      </c>
      <c r="U29" s="485"/>
      <c r="V29" s="520"/>
      <c r="W29" s="446"/>
      <c r="X29" s="446"/>
      <c r="Y29" s="517"/>
    </row>
    <row r="30" spans="1:25" x14ac:dyDescent="0.2">
      <c r="A30" s="191"/>
      <c r="B30" s="4">
        <v>21</v>
      </c>
      <c r="C30" s="450"/>
      <c r="D30" s="442"/>
      <c r="E30" s="487"/>
      <c r="F30" s="442"/>
      <c r="G30" s="443"/>
      <c r="H30" s="469"/>
      <c r="I30" s="466"/>
      <c r="K30" s="4">
        <v>21</v>
      </c>
      <c r="L30" s="450"/>
      <c r="M30" s="442"/>
      <c r="N30" s="472"/>
      <c r="O30" s="442"/>
      <c r="P30" s="443"/>
      <c r="Q30" s="469"/>
      <c r="R30" s="466"/>
      <c r="T30" s="4">
        <v>21</v>
      </c>
      <c r="U30" s="450"/>
      <c r="V30" s="446"/>
      <c r="W30" s="446"/>
      <c r="X30" s="446"/>
      <c r="Y30" s="517"/>
    </row>
    <row r="31" spans="1:25" x14ac:dyDescent="0.2">
      <c r="A31" s="191"/>
      <c r="B31" s="4">
        <v>22</v>
      </c>
      <c r="C31" s="450"/>
      <c r="D31" s="442"/>
      <c r="E31" s="487"/>
      <c r="F31" s="442"/>
      <c r="G31" s="443"/>
      <c r="H31" s="469"/>
      <c r="I31" s="466"/>
      <c r="K31" s="4">
        <v>22</v>
      </c>
      <c r="L31" s="450"/>
      <c r="M31" s="442"/>
      <c r="N31" s="472"/>
      <c r="O31" s="442"/>
      <c r="P31" s="443"/>
      <c r="Q31" s="469"/>
      <c r="R31" s="466"/>
      <c r="T31" s="4">
        <v>22</v>
      </c>
      <c r="U31" s="450"/>
      <c r="V31" s="446"/>
      <c r="W31" s="446"/>
      <c r="X31" s="446"/>
      <c r="Y31" s="517"/>
    </row>
    <row r="32" spans="1:25" x14ac:dyDescent="0.2">
      <c r="A32" s="191"/>
      <c r="B32" s="4">
        <v>23</v>
      </c>
      <c r="C32" s="450"/>
      <c r="D32" s="442"/>
      <c r="E32" s="487"/>
      <c r="F32" s="442"/>
      <c r="G32" s="443"/>
      <c r="H32" s="469"/>
      <c r="I32" s="466"/>
      <c r="K32" s="4">
        <v>23</v>
      </c>
      <c r="L32" s="450"/>
      <c r="M32" s="442"/>
      <c r="N32" s="472"/>
      <c r="O32" s="442"/>
      <c r="P32" s="443"/>
      <c r="Q32" s="469"/>
      <c r="R32" s="466"/>
      <c r="T32" s="4">
        <v>23</v>
      </c>
      <c r="U32" s="450"/>
      <c r="V32" s="446"/>
      <c r="W32" s="446"/>
      <c r="X32" s="446"/>
      <c r="Y32" s="517"/>
    </row>
    <row r="33" spans="1:25" x14ac:dyDescent="0.2">
      <c r="A33" s="191"/>
      <c r="B33" s="4">
        <v>24</v>
      </c>
      <c r="C33" s="476"/>
      <c r="D33" s="477"/>
      <c r="E33" s="487"/>
      <c r="F33" s="442"/>
      <c r="G33" s="478"/>
      <c r="H33" s="479"/>
      <c r="I33" s="480"/>
      <c r="K33" s="4">
        <v>24</v>
      </c>
      <c r="L33" s="476"/>
      <c r="M33" s="477"/>
      <c r="N33" s="472"/>
      <c r="O33" s="442"/>
      <c r="P33" s="478"/>
      <c r="Q33" s="479"/>
      <c r="R33" s="480"/>
      <c r="T33" s="4">
        <v>24</v>
      </c>
      <c r="U33" s="476"/>
      <c r="V33" s="520"/>
      <c r="W33" s="446"/>
      <c r="X33" s="446"/>
      <c r="Y33" s="517"/>
    </row>
    <row r="34" spans="1:25" x14ac:dyDescent="0.2">
      <c r="A34" s="191"/>
      <c r="B34" s="4">
        <v>25</v>
      </c>
      <c r="C34" s="476"/>
      <c r="D34" s="477"/>
      <c r="E34" s="487"/>
      <c r="F34" s="442"/>
      <c r="G34" s="478"/>
      <c r="H34" s="479"/>
      <c r="I34" s="480"/>
      <c r="K34" s="4">
        <v>25</v>
      </c>
      <c r="L34" s="476"/>
      <c r="M34" s="477"/>
      <c r="N34" s="472"/>
      <c r="O34" s="442"/>
      <c r="P34" s="478"/>
      <c r="Q34" s="479"/>
      <c r="R34" s="480"/>
      <c r="T34" s="4">
        <v>25</v>
      </c>
      <c r="U34" s="476"/>
      <c r="V34" s="446"/>
      <c r="W34" s="446"/>
      <c r="X34" s="446"/>
      <c r="Y34" s="517"/>
    </row>
    <row r="35" spans="1:25" x14ac:dyDescent="0.2">
      <c r="A35" s="191"/>
      <c r="B35" s="4">
        <v>26</v>
      </c>
      <c r="C35" s="465"/>
      <c r="D35" s="446"/>
      <c r="E35" s="482"/>
      <c r="F35" s="446"/>
      <c r="G35" s="446"/>
      <c r="H35" s="469"/>
      <c r="I35" s="483"/>
      <c r="K35" s="4">
        <v>26</v>
      </c>
      <c r="L35" s="465"/>
      <c r="M35" s="446"/>
      <c r="N35" s="482"/>
      <c r="O35" s="446"/>
      <c r="P35" s="446"/>
      <c r="Q35" s="469"/>
      <c r="R35" s="483"/>
      <c r="T35" s="4">
        <v>26</v>
      </c>
      <c r="U35" s="465"/>
      <c r="V35" s="446"/>
      <c r="W35" s="446"/>
      <c r="X35" s="446"/>
      <c r="Y35" s="517"/>
    </row>
    <row r="36" spans="1:25" x14ac:dyDescent="0.2">
      <c r="A36" s="191"/>
      <c r="B36" s="4">
        <v>27</v>
      </c>
      <c r="C36" s="450"/>
      <c r="D36" s="442"/>
      <c r="E36" s="487"/>
      <c r="F36" s="442"/>
      <c r="G36" s="443"/>
      <c r="H36" s="469"/>
      <c r="I36" s="466"/>
      <c r="K36" s="4">
        <v>27</v>
      </c>
      <c r="L36" s="450"/>
      <c r="M36" s="442"/>
      <c r="N36" s="472"/>
      <c r="O36" s="442"/>
      <c r="P36" s="443"/>
      <c r="Q36" s="469"/>
      <c r="R36" s="466"/>
      <c r="T36" s="4">
        <v>27</v>
      </c>
      <c r="U36" s="450"/>
      <c r="V36" s="446"/>
      <c r="W36" s="446"/>
      <c r="X36" s="446"/>
      <c r="Y36" s="517"/>
    </row>
    <row r="37" spans="1:25" x14ac:dyDescent="0.2">
      <c r="A37" s="191"/>
      <c r="B37" s="4">
        <v>28</v>
      </c>
      <c r="C37" s="476"/>
      <c r="D37" s="477"/>
      <c r="E37" s="488"/>
      <c r="F37" s="477"/>
      <c r="G37" s="478"/>
      <c r="H37" s="479"/>
      <c r="I37" s="480"/>
      <c r="K37" s="4">
        <v>28</v>
      </c>
      <c r="L37" s="476"/>
      <c r="M37" s="477"/>
      <c r="N37" s="441"/>
      <c r="O37" s="477"/>
      <c r="P37" s="478"/>
      <c r="Q37" s="479"/>
      <c r="R37" s="480"/>
      <c r="T37" s="4">
        <v>28</v>
      </c>
      <c r="U37" s="476"/>
      <c r="V37" s="520"/>
      <c r="W37" s="446"/>
      <c r="X37" s="446"/>
      <c r="Y37" s="517"/>
    </row>
    <row r="38" spans="1:25" x14ac:dyDescent="0.2">
      <c r="A38" s="191"/>
      <c r="B38" s="4">
        <v>29</v>
      </c>
      <c r="C38" s="476"/>
      <c r="D38" s="477"/>
      <c r="E38" s="472"/>
      <c r="F38" s="442"/>
      <c r="G38" s="478"/>
      <c r="H38" s="479"/>
      <c r="I38" s="480"/>
      <c r="K38" s="4">
        <v>29</v>
      </c>
      <c r="L38" s="476"/>
      <c r="M38" s="477"/>
      <c r="N38" s="472"/>
      <c r="O38" s="442"/>
      <c r="P38" s="478"/>
      <c r="Q38" s="479"/>
      <c r="R38" s="480"/>
      <c r="T38" s="4">
        <v>29</v>
      </c>
      <c r="U38" s="476"/>
      <c r="V38" s="446"/>
      <c r="W38" s="446"/>
      <c r="X38" s="446"/>
      <c r="Y38" s="517"/>
    </row>
    <row r="39" spans="1:25" x14ac:dyDescent="0.2">
      <c r="A39" s="191"/>
      <c r="B39" s="4">
        <v>30</v>
      </c>
      <c r="C39" s="465"/>
      <c r="D39" s="446"/>
      <c r="E39" s="482"/>
      <c r="F39" s="446"/>
      <c r="G39" s="446"/>
      <c r="H39" s="446"/>
      <c r="I39" s="483"/>
      <c r="K39" s="4">
        <v>30</v>
      </c>
      <c r="L39" s="465"/>
      <c r="M39" s="446"/>
      <c r="N39" s="482"/>
      <c r="O39" s="446"/>
      <c r="P39" s="446"/>
      <c r="Q39" s="446"/>
      <c r="R39" s="483"/>
      <c r="T39" s="4">
        <v>30</v>
      </c>
      <c r="U39" s="465"/>
      <c r="V39" s="446"/>
      <c r="W39" s="446"/>
      <c r="X39" s="446"/>
      <c r="Y39" s="517"/>
    </row>
    <row r="40" spans="1:25" x14ac:dyDescent="0.2">
      <c r="A40" s="191"/>
      <c r="B40" s="4">
        <v>31</v>
      </c>
      <c r="C40" s="481"/>
      <c r="D40" s="446"/>
      <c r="E40" s="489"/>
      <c r="F40" s="446"/>
      <c r="G40" s="446"/>
      <c r="H40" s="446"/>
      <c r="I40" s="483"/>
      <c r="K40" s="4">
        <v>31</v>
      </c>
      <c r="L40" s="481"/>
      <c r="M40" s="446"/>
      <c r="N40" s="489"/>
      <c r="O40" s="446"/>
      <c r="P40" s="446"/>
      <c r="Q40" s="446"/>
      <c r="R40" s="483"/>
      <c r="T40" s="4">
        <v>31</v>
      </c>
      <c r="U40" s="481"/>
      <c r="V40" s="446"/>
      <c r="W40" s="446"/>
      <c r="X40" s="446"/>
      <c r="Y40" s="517"/>
    </row>
    <row r="41" spans="1:25" x14ac:dyDescent="0.2">
      <c r="A41" s="191"/>
      <c r="B41" s="4">
        <v>32</v>
      </c>
      <c r="C41" s="465"/>
      <c r="D41" s="442"/>
      <c r="E41" s="472"/>
      <c r="F41" s="442"/>
      <c r="G41" s="443"/>
      <c r="H41" s="469"/>
      <c r="I41" s="466"/>
      <c r="K41" s="4">
        <v>32</v>
      </c>
      <c r="L41" s="465"/>
      <c r="M41" s="442"/>
      <c r="N41" s="472"/>
      <c r="O41" s="442"/>
      <c r="P41" s="443"/>
      <c r="Q41" s="469"/>
      <c r="R41" s="466"/>
      <c r="T41" s="4">
        <v>32</v>
      </c>
      <c r="U41" s="465"/>
      <c r="V41" s="446"/>
      <c r="W41" s="446"/>
      <c r="X41" s="446"/>
      <c r="Y41" s="517"/>
    </row>
    <row r="42" spans="1:25" x14ac:dyDescent="0.2">
      <c r="A42" s="191"/>
      <c r="B42" s="4">
        <v>33</v>
      </c>
      <c r="C42" s="467"/>
      <c r="D42" s="490"/>
      <c r="E42" s="472"/>
      <c r="F42" s="442"/>
      <c r="G42" s="443"/>
      <c r="H42" s="469"/>
      <c r="I42" s="466"/>
      <c r="K42" s="4">
        <v>33</v>
      </c>
      <c r="L42" s="467"/>
      <c r="M42" s="490"/>
      <c r="N42" s="472"/>
      <c r="O42" s="442"/>
      <c r="P42" s="443"/>
      <c r="Q42" s="469"/>
      <c r="R42" s="466"/>
      <c r="T42" s="4">
        <v>33</v>
      </c>
      <c r="U42" s="467"/>
      <c r="V42" s="446"/>
      <c r="W42" s="446"/>
      <c r="X42" s="446"/>
      <c r="Y42" s="517"/>
    </row>
    <row r="43" spans="1:25" x14ac:dyDescent="0.2">
      <c r="A43" s="191"/>
      <c r="B43" s="4">
        <v>34</v>
      </c>
      <c r="C43" s="467"/>
      <c r="D43" s="490"/>
      <c r="E43" s="472"/>
      <c r="F43" s="442"/>
      <c r="G43" s="443"/>
      <c r="H43" s="469"/>
      <c r="I43" s="466"/>
      <c r="K43" s="4">
        <v>34</v>
      </c>
      <c r="L43" s="467"/>
      <c r="M43" s="490"/>
      <c r="N43" s="472"/>
      <c r="O43" s="442"/>
      <c r="P43" s="443"/>
      <c r="Q43" s="469"/>
      <c r="R43" s="466"/>
      <c r="T43" s="4">
        <v>34</v>
      </c>
      <c r="U43" s="467"/>
      <c r="V43" s="446"/>
      <c r="W43" s="446"/>
      <c r="X43" s="446"/>
      <c r="Y43" s="517"/>
    </row>
    <row r="44" spans="1:25" x14ac:dyDescent="0.2">
      <c r="A44" s="191"/>
      <c r="B44" s="4">
        <v>35</v>
      </c>
      <c r="C44" s="476"/>
      <c r="D44" s="477"/>
      <c r="E44" s="489"/>
      <c r="F44" s="442"/>
      <c r="G44" s="443"/>
      <c r="H44" s="479"/>
      <c r="I44" s="480"/>
      <c r="K44" s="4">
        <v>35</v>
      </c>
      <c r="L44" s="476"/>
      <c r="M44" s="477"/>
      <c r="N44" s="489"/>
      <c r="O44" s="442"/>
      <c r="P44" s="443"/>
      <c r="Q44" s="479"/>
      <c r="R44" s="480"/>
      <c r="T44" s="4">
        <v>35</v>
      </c>
      <c r="U44" s="476"/>
      <c r="V44" s="520"/>
      <c r="W44" s="446"/>
      <c r="X44" s="446"/>
      <c r="Y44" s="517"/>
    </row>
    <row r="45" spans="1:25" x14ac:dyDescent="0.2">
      <c r="A45" s="191"/>
      <c r="B45" s="4">
        <v>36</v>
      </c>
      <c r="C45" s="439"/>
      <c r="D45" s="477"/>
      <c r="E45" s="489"/>
      <c r="F45" s="442"/>
      <c r="G45" s="443"/>
      <c r="H45" s="479"/>
      <c r="I45" s="480"/>
      <c r="K45" s="4">
        <v>36</v>
      </c>
      <c r="L45" s="439"/>
      <c r="M45" s="477"/>
      <c r="N45" s="489"/>
      <c r="O45" s="442"/>
      <c r="P45" s="443"/>
      <c r="Q45" s="479"/>
      <c r="R45" s="480"/>
      <c r="T45" s="4">
        <v>36</v>
      </c>
      <c r="U45" s="439"/>
      <c r="V45" s="446"/>
      <c r="W45" s="446"/>
      <c r="X45" s="446"/>
      <c r="Y45" s="517"/>
    </row>
    <row r="46" spans="1:25" x14ac:dyDescent="0.2">
      <c r="A46" s="191"/>
      <c r="B46" s="4">
        <v>37</v>
      </c>
      <c r="C46" s="465"/>
      <c r="D46" s="477"/>
      <c r="E46" s="489"/>
      <c r="F46" s="442"/>
      <c r="G46" s="443"/>
      <c r="H46" s="479"/>
      <c r="I46" s="491"/>
      <c r="K46" s="4">
        <v>37</v>
      </c>
      <c r="L46" s="465"/>
      <c r="M46" s="477"/>
      <c r="N46" s="489"/>
      <c r="O46" s="442"/>
      <c r="P46" s="443"/>
      <c r="Q46" s="479"/>
      <c r="R46" s="491"/>
      <c r="T46" s="4">
        <v>37</v>
      </c>
      <c r="U46" s="465"/>
      <c r="V46" s="446"/>
      <c r="W46" s="446"/>
      <c r="X46" s="446"/>
      <c r="Y46" s="517"/>
    </row>
    <row r="47" spans="1:25" x14ac:dyDescent="0.2">
      <c r="A47" s="191"/>
      <c r="B47" s="4">
        <v>38</v>
      </c>
      <c r="C47" s="450"/>
      <c r="D47" s="442"/>
      <c r="E47" s="472"/>
      <c r="F47" s="442"/>
      <c r="G47" s="443"/>
      <c r="H47" s="469"/>
      <c r="I47" s="466"/>
      <c r="K47" s="4">
        <v>38</v>
      </c>
      <c r="L47" s="450"/>
      <c r="M47" s="442"/>
      <c r="N47" s="472"/>
      <c r="O47" s="442"/>
      <c r="P47" s="443"/>
      <c r="Q47" s="469"/>
      <c r="R47" s="466"/>
      <c r="T47" s="4">
        <v>38</v>
      </c>
      <c r="U47" s="450"/>
      <c r="V47" s="446"/>
      <c r="W47" s="446"/>
      <c r="X47" s="446"/>
      <c r="Y47" s="517"/>
    </row>
    <row r="48" spans="1:25" x14ac:dyDescent="0.2">
      <c r="A48" s="191"/>
      <c r="B48" s="4">
        <v>39</v>
      </c>
      <c r="C48" s="450"/>
      <c r="D48" s="490"/>
      <c r="E48" s="472"/>
      <c r="F48" s="442"/>
      <c r="G48" s="443"/>
      <c r="H48" s="469"/>
      <c r="I48" s="466"/>
      <c r="K48" s="4">
        <v>39</v>
      </c>
      <c r="L48" s="450"/>
      <c r="M48" s="490"/>
      <c r="N48" s="472"/>
      <c r="O48" s="442"/>
      <c r="P48" s="443"/>
      <c r="Q48" s="469"/>
      <c r="R48" s="466"/>
      <c r="T48" s="4">
        <v>39</v>
      </c>
      <c r="U48" s="450"/>
      <c r="V48" s="446"/>
      <c r="W48" s="446"/>
      <c r="X48" s="446"/>
      <c r="Y48" s="517"/>
    </row>
    <row r="49" spans="1:25" x14ac:dyDescent="0.2">
      <c r="A49" s="191"/>
      <c r="B49" s="4">
        <v>40</v>
      </c>
      <c r="C49" s="476"/>
      <c r="D49" s="477"/>
      <c r="E49" s="489"/>
      <c r="F49" s="442"/>
      <c r="G49" s="443"/>
      <c r="H49" s="479"/>
      <c r="I49" s="480"/>
      <c r="K49" s="4">
        <v>40</v>
      </c>
      <c r="L49" s="476"/>
      <c r="M49" s="477"/>
      <c r="N49" s="489"/>
      <c r="O49" s="442"/>
      <c r="P49" s="443"/>
      <c r="Q49" s="479"/>
      <c r="R49" s="480"/>
      <c r="T49" s="4">
        <v>40</v>
      </c>
      <c r="U49" s="476"/>
      <c r="V49" s="520"/>
      <c r="W49" s="446"/>
      <c r="X49" s="446"/>
      <c r="Y49" s="517"/>
    </row>
    <row r="50" spans="1:25" x14ac:dyDescent="0.2">
      <c r="A50" s="191"/>
      <c r="B50" s="4">
        <v>41</v>
      </c>
      <c r="C50" s="476"/>
      <c r="D50" s="477"/>
      <c r="E50" s="489"/>
      <c r="F50" s="442"/>
      <c r="G50" s="443"/>
      <c r="H50" s="479"/>
      <c r="I50" s="480"/>
      <c r="K50" s="4">
        <v>41</v>
      </c>
      <c r="L50" s="476"/>
      <c r="M50" s="477"/>
      <c r="N50" s="489"/>
      <c r="O50" s="442"/>
      <c r="P50" s="443"/>
      <c r="Q50" s="479"/>
      <c r="R50" s="480"/>
      <c r="T50" s="4">
        <v>41</v>
      </c>
      <c r="U50" s="476"/>
      <c r="V50" s="446"/>
      <c r="W50" s="446"/>
      <c r="X50" s="446"/>
      <c r="Y50" s="517"/>
    </row>
    <row r="51" spans="1:25" x14ac:dyDescent="0.2">
      <c r="A51" s="191"/>
      <c r="B51" s="4">
        <v>42</v>
      </c>
      <c r="C51" s="465"/>
      <c r="D51" s="446"/>
      <c r="E51" s="489"/>
      <c r="F51" s="442"/>
      <c r="G51" s="443"/>
      <c r="H51" s="446"/>
      <c r="I51" s="483"/>
      <c r="K51" s="4">
        <v>42</v>
      </c>
      <c r="L51" s="465"/>
      <c r="M51" s="446"/>
      <c r="N51" s="489"/>
      <c r="O51" s="442"/>
      <c r="P51" s="443"/>
      <c r="Q51" s="446"/>
      <c r="R51" s="483"/>
      <c r="T51" s="4">
        <v>42</v>
      </c>
      <c r="U51" s="465"/>
      <c r="V51" s="446"/>
      <c r="W51" s="446"/>
      <c r="X51" s="446"/>
      <c r="Y51" s="517"/>
    </row>
    <row r="52" spans="1:25" x14ac:dyDescent="0.2">
      <c r="A52" s="191"/>
      <c r="B52" s="4">
        <v>43</v>
      </c>
      <c r="C52" s="450"/>
      <c r="D52" s="442"/>
      <c r="E52" s="472"/>
      <c r="F52" s="442"/>
      <c r="G52" s="452"/>
      <c r="H52" s="469"/>
      <c r="I52" s="466"/>
      <c r="K52" s="4">
        <v>43</v>
      </c>
      <c r="L52" s="450"/>
      <c r="M52" s="442"/>
      <c r="N52" s="472"/>
      <c r="O52" s="442"/>
      <c r="P52" s="452"/>
      <c r="Q52" s="469"/>
      <c r="R52" s="466"/>
      <c r="T52" s="4">
        <v>43</v>
      </c>
      <c r="U52" s="450"/>
      <c r="V52" s="446"/>
      <c r="W52" s="446"/>
      <c r="X52" s="446"/>
      <c r="Y52" s="517"/>
    </row>
    <row r="53" spans="1:25" x14ac:dyDescent="0.2">
      <c r="A53" s="191"/>
      <c r="B53" s="4">
        <v>44</v>
      </c>
      <c r="C53" s="476"/>
      <c r="D53" s="477"/>
      <c r="E53" s="489"/>
      <c r="F53" s="442"/>
      <c r="G53" s="443"/>
      <c r="H53" s="479"/>
      <c r="I53" s="480"/>
      <c r="K53" s="4">
        <v>44</v>
      </c>
      <c r="L53" s="476"/>
      <c r="M53" s="477"/>
      <c r="N53" s="489"/>
      <c r="O53" s="442"/>
      <c r="P53" s="443"/>
      <c r="Q53" s="479"/>
      <c r="R53" s="480"/>
      <c r="T53" s="4">
        <v>44</v>
      </c>
      <c r="U53" s="476"/>
      <c r="V53" s="520"/>
      <c r="W53" s="446"/>
      <c r="X53" s="446"/>
      <c r="Y53" s="517"/>
    </row>
    <row r="54" spans="1:25" x14ac:dyDescent="0.2">
      <c r="A54" s="191"/>
      <c r="B54" s="4">
        <v>45</v>
      </c>
      <c r="C54" s="476"/>
      <c r="D54" s="477"/>
      <c r="E54" s="489"/>
      <c r="F54" s="442"/>
      <c r="G54" s="443"/>
      <c r="H54" s="479"/>
      <c r="I54" s="480"/>
      <c r="K54" s="4">
        <v>45</v>
      </c>
      <c r="L54" s="476"/>
      <c r="M54" s="477"/>
      <c r="N54" s="489"/>
      <c r="O54" s="442"/>
      <c r="P54" s="443"/>
      <c r="Q54" s="479"/>
      <c r="R54" s="480"/>
      <c r="T54" s="4">
        <v>45</v>
      </c>
      <c r="U54" s="476"/>
      <c r="V54" s="446"/>
      <c r="W54" s="446"/>
      <c r="X54" s="446"/>
      <c r="Y54" s="517"/>
    </row>
    <row r="55" spans="1:25" x14ac:dyDescent="0.2">
      <c r="A55" s="191"/>
      <c r="B55" s="4">
        <v>46</v>
      </c>
      <c r="C55" s="465"/>
      <c r="D55" s="442"/>
      <c r="E55" s="489"/>
      <c r="F55" s="442"/>
      <c r="G55" s="443"/>
      <c r="H55" s="469"/>
      <c r="I55" s="466"/>
      <c r="K55" s="4">
        <v>46</v>
      </c>
      <c r="L55" s="465"/>
      <c r="M55" s="442"/>
      <c r="N55" s="489"/>
      <c r="O55" s="442"/>
      <c r="P55" s="443"/>
      <c r="Q55" s="469"/>
      <c r="R55" s="466"/>
      <c r="T55" s="4">
        <v>46</v>
      </c>
      <c r="U55" s="465"/>
      <c r="V55" s="446"/>
      <c r="W55" s="446"/>
      <c r="X55" s="446"/>
      <c r="Y55" s="517"/>
    </row>
    <row r="56" spans="1:25" s="195" customFormat="1" x14ac:dyDescent="0.2">
      <c r="A56" s="194"/>
      <c r="B56" s="4">
        <v>47</v>
      </c>
      <c r="C56" s="465"/>
      <c r="D56" s="442"/>
      <c r="E56" s="489"/>
      <c r="F56" s="442"/>
      <c r="G56" s="443"/>
      <c r="H56" s="469"/>
      <c r="I56" s="466"/>
      <c r="K56" s="4">
        <v>47</v>
      </c>
      <c r="L56" s="465"/>
      <c r="M56" s="442"/>
      <c r="N56" s="489"/>
      <c r="O56" s="442"/>
      <c r="P56" s="443"/>
      <c r="Q56" s="469"/>
      <c r="R56" s="466"/>
      <c r="T56" s="4">
        <v>47</v>
      </c>
      <c r="U56" s="465"/>
      <c r="V56" s="446"/>
      <c r="W56" s="446"/>
      <c r="X56" s="446"/>
      <c r="Y56" s="517"/>
    </row>
    <row r="57" spans="1:25" x14ac:dyDescent="0.2">
      <c r="A57" s="191"/>
      <c r="B57" s="4">
        <v>48</v>
      </c>
      <c r="C57" s="450"/>
      <c r="D57" s="442"/>
      <c r="E57" s="472"/>
      <c r="F57" s="442"/>
      <c r="G57" s="443"/>
      <c r="H57" s="469"/>
      <c r="I57" s="466"/>
      <c r="K57" s="4">
        <v>48</v>
      </c>
      <c r="L57" s="450"/>
      <c r="M57" s="442"/>
      <c r="N57" s="472"/>
      <c r="O57" s="442"/>
      <c r="P57" s="443"/>
      <c r="Q57" s="469"/>
      <c r="R57" s="466"/>
      <c r="T57" s="4">
        <v>48</v>
      </c>
      <c r="U57" s="450"/>
      <c r="V57" s="446"/>
      <c r="W57" s="446"/>
      <c r="X57" s="446"/>
      <c r="Y57" s="517"/>
    </row>
    <row r="58" spans="1:25" x14ac:dyDescent="0.2">
      <c r="A58" s="191"/>
      <c r="B58" s="4">
        <v>49</v>
      </c>
      <c r="C58" s="450"/>
      <c r="D58" s="442"/>
      <c r="E58" s="472"/>
      <c r="F58" s="442"/>
      <c r="G58" s="443"/>
      <c r="H58" s="469"/>
      <c r="I58" s="466"/>
      <c r="K58" s="4">
        <v>49</v>
      </c>
      <c r="L58" s="450"/>
      <c r="M58" s="442"/>
      <c r="N58" s="472"/>
      <c r="O58" s="442"/>
      <c r="P58" s="443"/>
      <c r="Q58" s="469"/>
      <c r="R58" s="466"/>
      <c r="T58" s="4">
        <v>49</v>
      </c>
      <c r="U58" s="450"/>
      <c r="V58" s="446"/>
      <c r="W58" s="446"/>
      <c r="X58" s="446"/>
      <c r="Y58" s="517"/>
    </row>
    <row r="59" spans="1:25" x14ac:dyDescent="0.2">
      <c r="A59" s="191"/>
      <c r="B59" s="4">
        <v>50</v>
      </c>
      <c r="C59" s="450"/>
      <c r="D59" s="442"/>
      <c r="E59" s="472"/>
      <c r="F59" s="442"/>
      <c r="G59" s="443"/>
      <c r="H59" s="469"/>
      <c r="I59" s="466"/>
      <c r="K59" s="4">
        <v>50</v>
      </c>
      <c r="L59" s="450"/>
      <c r="M59" s="442"/>
      <c r="N59" s="472"/>
      <c r="O59" s="442"/>
      <c r="P59" s="443"/>
      <c r="Q59" s="469"/>
      <c r="R59" s="466"/>
      <c r="T59" s="4">
        <v>50</v>
      </c>
      <c r="U59" s="450"/>
      <c r="V59" s="446"/>
      <c r="W59" s="446"/>
      <c r="X59" s="446"/>
      <c r="Y59" s="517"/>
    </row>
    <row r="60" spans="1:25" x14ac:dyDescent="0.2">
      <c r="A60" s="191"/>
      <c r="B60" s="4">
        <v>51</v>
      </c>
      <c r="C60" s="476"/>
      <c r="D60" s="477"/>
      <c r="E60" s="489"/>
      <c r="F60" s="492"/>
      <c r="G60" s="443"/>
      <c r="H60" s="479"/>
      <c r="I60" s="480"/>
      <c r="K60" s="4">
        <v>51</v>
      </c>
      <c r="L60" s="476"/>
      <c r="M60" s="477"/>
      <c r="N60" s="489"/>
      <c r="O60" s="492"/>
      <c r="P60" s="443"/>
      <c r="Q60" s="479"/>
      <c r="R60" s="480"/>
      <c r="T60" s="4">
        <v>51</v>
      </c>
      <c r="U60" s="476"/>
      <c r="V60" s="520"/>
      <c r="W60" s="446"/>
      <c r="X60" s="446"/>
      <c r="Y60" s="517"/>
    </row>
    <row r="61" spans="1:25" x14ac:dyDescent="0.2">
      <c r="A61" s="191"/>
      <c r="B61" s="4">
        <v>52</v>
      </c>
      <c r="C61" s="481"/>
      <c r="D61" s="446"/>
      <c r="E61" s="489"/>
      <c r="F61" s="492"/>
      <c r="G61" s="443"/>
      <c r="H61" s="446"/>
      <c r="I61" s="483"/>
      <c r="K61" s="4">
        <v>52</v>
      </c>
      <c r="L61" s="481"/>
      <c r="M61" s="446"/>
      <c r="N61" s="489"/>
      <c r="O61" s="492"/>
      <c r="P61" s="443"/>
      <c r="Q61" s="446"/>
      <c r="R61" s="483"/>
      <c r="T61" s="4">
        <v>52</v>
      </c>
      <c r="U61" s="481"/>
      <c r="V61" s="446"/>
      <c r="W61" s="446"/>
      <c r="X61" s="446"/>
      <c r="Y61" s="517"/>
    </row>
    <row r="62" spans="1:25" x14ac:dyDescent="0.2">
      <c r="A62" s="191"/>
      <c r="B62" s="4">
        <v>53</v>
      </c>
      <c r="C62" s="465"/>
      <c r="D62" s="442"/>
      <c r="E62" s="489"/>
      <c r="F62" s="442"/>
      <c r="G62" s="443"/>
      <c r="H62" s="469"/>
      <c r="I62" s="466"/>
      <c r="K62" s="4">
        <v>53</v>
      </c>
      <c r="L62" s="465"/>
      <c r="M62" s="442"/>
      <c r="N62" s="489"/>
      <c r="O62" s="442"/>
      <c r="P62" s="443"/>
      <c r="Q62" s="469"/>
      <c r="R62" s="466"/>
      <c r="T62" s="4">
        <v>53</v>
      </c>
      <c r="U62" s="465"/>
      <c r="V62" s="446"/>
      <c r="W62" s="446"/>
      <c r="X62" s="446"/>
      <c r="Y62" s="517"/>
    </row>
    <row r="63" spans="1:25" x14ac:dyDescent="0.2">
      <c r="A63" s="191"/>
      <c r="B63" s="4">
        <v>54</v>
      </c>
      <c r="C63" s="450"/>
      <c r="D63" s="442"/>
      <c r="E63" s="472"/>
      <c r="F63" s="442"/>
      <c r="G63" s="443"/>
      <c r="H63" s="475"/>
      <c r="I63" s="466"/>
      <c r="K63" s="4">
        <v>54</v>
      </c>
      <c r="L63" s="450"/>
      <c r="M63" s="442"/>
      <c r="N63" s="472"/>
      <c r="O63" s="442"/>
      <c r="P63" s="443"/>
      <c r="Q63" s="469"/>
      <c r="R63" s="466"/>
      <c r="T63" s="4">
        <v>54</v>
      </c>
      <c r="U63" s="450"/>
      <c r="V63" s="446"/>
      <c r="W63" s="446"/>
      <c r="X63" s="446"/>
      <c r="Y63" s="517"/>
    </row>
    <row r="64" spans="1:25" x14ac:dyDescent="0.2">
      <c r="A64" s="191"/>
      <c r="B64" s="4">
        <v>55</v>
      </c>
      <c r="C64" s="473"/>
      <c r="D64" s="474"/>
      <c r="E64" s="472"/>
      <c r="F64" s="442"/>
      <c r="G64" s="443"/>
      <c r="H64" s="469"/>
      <c r="I64" s="466"/>
      <c r="K64" s="4">
        <v>55</v>
      </c>
      <c r="L64" s="450"/>
      <c r="M64" s="442"/>
      <c r="N64" s="508"/>
      <c r="O64" s="442"/>
      <c r="P64" s="443"/>
      <c r="Q64" s="469"/>
      <c r="R64" s="466"/>
      <c r="T64" s="4">
        <v>55</v>
      </c>
      <c r="U64" s="473"/>
      <c r="V64" s="446"/>
      <c r="W64" s="446"/>
      <c r="X64" s="446"/>
      <c r="Y64" s="517"/>
    </row>
    <row r="65" spans="1:25" x14ac:dyDescent="0.2">
      <c r="A65" s="191"/>
      <c r="B65" s="4">
        <v>56</v>
      </c>
      <c r="C65" s="476"/>
      <c r="D65" s="442"/>
      <c r="E65" s="472"/>
      <c r="F65" s="442"/>
      <c r="G65" s="443"/>
      <c r="H65" s="479"/>
      <c r="I65" s="466"/>
      <c r="K65" s="4">
        <v>56</v>
      </c>
      <c r="L65" s="476"/>
      <c r="M65" s="442"/>
      <c r="N65" s="472"/>
      <c r="O65" s="442"/>
      <c r="P65" s="443"/>
      <c r="Q65" s="479"/>
      <c r="R65" s="466"/>
      <c r="T65" s="4">
        <v>56</v>
      </c>
      <c r="U65" s="476"/>
      <c r="V65" s="520"/>
      <c r="W65" s="446"/>
      <c r="X65" s="446"/>
      <c r="Y65" s="517"/>
    </row>
    <row r="66" spans="1:25" x14ac:dyDescent="0.2">
      <c r="A66" s="191"/>
      <c r="B66" s="4">
        <v>57</v>
      </c>
      <c r="C66" s="476"/>
      <c r="D66" s="477"/>
      <c r="E66" s="441"/>
      <c r="F66" s="477"/>
      <c r="G66" s="478"/>
      <c r="H66" s="479"/>
      <c r="I66" s="480"/>
      <c r="K66" s="4">
        <v>57</v>
      </c>
      <c r="L66" s="476"/>
      <c r="M66" s="477"/>
      <c r="N66" s="441"/>
      <c r="O66" s="477"/>
      <c r="P66" s="478"/>
      <c r="Q66" s="479"/>
      <c r="R66" s="480"/>
      <c r="T66" s="4">
        <v>57</v>
      </c>
      <c r="U66" s="476"/>
      <c r="V66" s="446"/>
      <c r="W66" s="446"/>
      <c r="X66" s="446"/>
      <c r="Y66" s="517"/>
    </row>
    <row r="67" spans="1:25" x14ac:dyDescent="0.2">
      <c r="A67" s="191"/>
      <c r="B67" s="4">
        <v>58</v>
      </c>
      <c r="C67" s="493"/>
      <c r="D67" s="477"/>
      <c r="E67" s="441"/>
      <c r="F67" s="477"/>
      <c r="G67" s="478"/>
      <c r="H67" s="479"/>
      <c r="I67" s="480"/>
      <c r="K67" s="4">
        <v>58</v>
      </c>
      <c r="L67" s="493"/>
      <c r="M67" s="477"/>
      <c r="N67" s="441"/>
      <c r="O67" s="477"/>
      <c r="P67" s="478"/>
      <c r="Q67" s="479"/>
      <c r="R67" s="480"/>
      <c r="T67" s="4">
        <v>58</v>
      </c>
      <c r="U67" s="493"/>
      <c r="V67" s="521"/>
      <c r="W67" s="446"/>
      <c r="X67" s="446"/>
      <c r="Y67" s="517"/>
    </row>
    <row r="68" spans="1:25" x14ac:dyDescent="0.2">
      <c r="B68" s="4">
        <v>59</v>
      </c>
      <c r="C68" s="439"/>
      <c r="D68" s="442"/>
      <c r="E68" s="472"/>
      <c r="F68" s="442"/>
      <c r="G68" s="443"/>
      <c r="H68" s="469"/>
      <c r="I68" s="466"/>
      <c r="K68" s="4">
        <v>59</v>
      </c>
      <c r="L68" s="439"/>
      <c r="M68" s="442"/>
      <c r="N68" s="472"/>
      <c r="O68" s="442"/>
      <c r="P68" s="443"/>
      <c r="Q68" s="469"/>
      <c r="R68" s="466"/>
      <c r="T68" s="4">
        <v>59</v>
      </c>
      <c r="U68" s="439"/>
      <c r="V68" s="446"/>
      <c r="W68" s="446"/>
      <c r="X68" s="446"/>
      <c r="Y68" s="517"/>
    </row>
    <row r="69" spans="1:25" x14ac:dyDescent="0.2">
      <c r="B69" s="4">
        <v>60</v>
      </c>
      <c r="C69" s="465"/>
      <c r="D69" s="442"/>
      <c r="E69" s="472"/>
      <c r="F69" s="442"/>
      <c r="G69" s="443"/>
      <c r="H69" s="469"/>
      <c r="I69" s="466"/>
      <c r="K69" s="4">
        <v>60</v>
      </c>
      <c r="L69" s="465"/>
      <c r="M69" s="442"/>
      <c r="N69" s="472"/>
      <c r="O69" s="442"/>
      <c r="P69" s="443"/>
      <c r="Q69" s="469"/>
      <c r="R69" s="466"/>
      <c r="T69" s="4">
        <v>60</v>
      </c>
      <c r="U69" s="465"/>
      <c r="V69" s="446"/>
      <c r="W69" s="446"/>
      <c r="X69" s="446"/>
      <c r="Y69" s="517"/>
    </row>
    <row r="70" spans="1:25" ht="15" x14ac:dyDescent="0.25">
      <c r="B70" s="4">
        <v>61</v>
      </c>
      <c r="C70" s="465"/>
      <c r="D70" s="442"/>
      <c r="E70" s="494"/>
      <c r="F70" s="442"/>
      <c r="G70" s="443"/>
      <c r="H70" s="469"/>
      <c r="I70" s="466"/>
      <c r="K70" s="4">
        <v>61</v>
      </c>
      <c r="L70" s="465"/>
      <c r="M70" s="442"/>
      <c r="N70" s="494"/>
      <c r="O70" s="442"/>
      <c r="P70" s="443"/>
      <c r="Q70" s="469"/>
      <c r="R70" s="466"/>
      <c r="T70" s="4">
        <v>61</v>
      </c>
      <c r="U70" s="465"/>
      <c r="V70" s="446"/>
      <c r="W70" s="446"/>
      <c r="X70" s="446"/>
      <c r="Y70" s="517"/>
    </row>
    <row r="71" spans="1:25" x14ac:dyDescent="0.2">
      <c r="B71" s="4">
        <v>62</v>
      </c>
      <c r="C71" s="465"/>
      <c r="D71" s="442"/>
      <c r="E71" s="472"/>
      <c r="F71" s="442"/>
      <c r="G71" s="443"/>
      <c r="H71" s="469"/>
      <c r="I71" s="466"/>
      <c r="K71" s="4">
        <v>62</v>
      </c>
      <c r="L71" s="465"/>
      <c r="M71" s="442"/>
      <c r="N71" s="472"/>
      <c r="O71" s="442"/>
      <c r="P71" s="443"/>
      <c r="Q71" s="469"/>
      <c r="R71" s="466"/>
      <c r="T71" s="4">
        <v>62</v>
      </c>
      <c r="U71" s="465"/>
      <c r="V71" s="446"/>
      <c r="W71" s="446"/>
      <c r="X71" s="446"/>
      <c r="Y71" s="517"/>
    </row>
    <row r="72" spans="1:25" x14ac:dyDescent="0.2">
      <c r="B72" s="4">
        <v>63</v>
      </c>
      <c r="C72" s="450"/>
      <c r="D72" s="442"/>
      <c r="E72" s="472"/>
      <c r="F72" s="442"/>
      <c r="G72" s="452"/>
      <c r="H72" s="469"/>
      <c r="I72" s="466"/>
      <c r="J72" s="196"/>
      <c r="K72" s="4">
        <v>63</v>
      </c>
      <c r="L72" s="450"/>
      <c r="M72" s="442"/>
      <c r="N72" s="472"/>
      <c r="O72" s="442"/>
      <c r="P72" s="452"/>
      <c r="Q72" s="469"/>
      <c r="R72" s="466"/>
      <c r="T72" s="4">
        <v>63</v>
      </c>
      <c r="U72" s="450"/>
      <c r="V72" s="446"/>
      <c r="W72" s="446"/>
      <c r="X72" s="446"/>
      <c r="Y72" s="517"/>
    </row>
    <row r="73" spans="1:25" x14ac:dyDescent="0.2">
      <c r="B73" s="4">
        <v>64</v>
      </c>
      <c r="C73" s="476"/>
      <c r="D73" s="442"/>
      <c r="E73" s="472"/>
      <c r="F73" s="442"/>
      <c r="G73" s="452"/>
      <c r="H73" s="469"/>
      <c r="I73" s="491"/>
      <c r="K73" s="4">
        <v>64</v>
      </c>
      <c r="L73" s="476"/>
      <c r="M73" s="442"/>
      <c r="N73" s="472"/>
      <c r="O73" s="442"/>
      <c r="P73" s="452"/>
      <c r="Q73" s="469"/>
      <c r="R73" s="491"/>
      <c r="T73" s="4">
        <v>64</v>
      </c>
      <c r="U73" s="476"/>
      <c r="V73" s="446"/>
      <c r="W73" s="520"/>
      <c r="X73" s="520"/>
      <c r="Y73" s="517"/>
    </row>
    <row r="74" spans="1:25" x14ac:dyDescent="0.2">
      <c r="B74" s="4">
        <v>65</v>
      </c>
      <c r="C74" s="450"/>
      <c r="D74" s="442"/>
      <c r="E74" s="472"/>
      <c r="F74" s="442"/>
      <c r="G74" s="452"/>
      <c r="H74" s="469"/>
      <c r="I74" s="466"/>
      <c r="K74" s="4">
        <v>65</v>
      </c>
      <c r="L74" s="450"/>
      <c r="M74" s="442"/>
      <c r="N74" s="472"/>
      <c r="O74" s="442"/>
      <c r="P74" s="452"/>
      <c r="Q74" s="469"/>
      <c r="R74" s="466"/>
      <c r="T74" s="4">
        <v>65</v>
      </c>
      <c r="U74" s="450"/>
      <c r="V74" s="446"/>
      <c r="W74" s="520"/>
      <c r="X74" s="520"/>
      <c r="Y74" s="517"/>
    </row>
    <row r="75" spans="1:25" x14ac:dyDescent="0.2">
      <c r="B75" s="4">
        <v>66</v>
      </c>
      <c r="C75" s="465"/>
      <c r="D75" s="442"/>
      <c r="E75" s="472"/>
      <c r="F75" s="442"/>
      <c r="G75" s="452"/>
      <c r="H75" s="469"/>
      <c r="I75" s="466"/>
      <c r="K75" s="4">
        <v>66</v>
      </c>
      <c r="L75" s="465"/>
      <c r="M75" s="442"/>
      <c r="N75" s="472"/>
      <c r="O75" s="442"/>
      <c r="P75" s="452"/>
      <c r="Q75" s="469"/>
      <c r="R75" s="466"/>
      <c r="T75" s="4">
        <v>66</v>
      </c>
      <c r="U75" s="465"/>
      <c r="V75" s="446"/>
      <c r="W75" s="520"/>
      <c r="X75" s="520"/>
      <c r="Y75" s="517"/>
    </row>
    <row r="76" spans="1:25" x14ac:dyDescent="0.2">
      <c r="B76" s="4">
        <v>67</v>
      </c>
      <c r="C76" s="450"/>
      <c r="D76" s="442"/>
      <c r="E76" s="472"/>
      <c r="F76" s="442"/>
      <c r="G76" s="443"/>
      <c r="H76" s="469"/>
      <c r="I76" s="466"/>
      <c r="K76" s="4">
        <v>67</v>
      </c>
      <c r="L76" s="450"/>
      <c r="M76" s="442"/>
      <c r="N76" s="472"/>
      <c r="O76" s="442"/>
      <c r="P76" s="443"/>
      <c r="Q76" s="469"/>
      <c r="R76" s="466"/>
      <c r="T76" s="4">
        <v>67</v>
      </c>
      <c r="U76" s="450"/>
      <c r="V76" s="446"/>
      <c r="W76" s="520"/>
      <c r="X76" s="520"/>
      <c r="Y76" s="517"/>
    </row>
    <row r="77" spans="1:25" x14ac:dyDescent="0.2">
      <c r="B77" s="4">
        <v>68</v>
      </c>
      <c r="C77" s="450"/>
      <c r="D77" s="490"/>
      <c r="E77" s="472"/>
      <c r="F77" s="442"/>
      <c r="G77" s="443"/>
      <c r="H77" s="469"/>
      <c r="I77" s="466"/>
      <c r="K77" s="4">
        <v>68</v>
      </c>
      <c r="L77" s="450"/>
      <c r="M77" s="490"/>
      <c r="N77" s="472"/>
      <c r="O77" s="442"/>
      <c r="P77" s="443"/>
      <c r="Q77" s="469"/>
      <c r="R77" s="466"/>
      <c r="T77" s="4">
        <v>68</v>
      </c>
      <c r="U77" s="450"/>
      <c r="V77" s="446"/>
      <c r="W77" s="520"/>
      <c r="X77" s="520"/>
      <c r="Y77" s="517"/>
    </row>
    <row r="78" spans="1:25" x14ac:dyDescent="0.2">
      <c r="B78" s="4">
        <v>69</v>
      </c>
      <c r="C78" s="476"/>
      <c r="D78" s="490"/>
      <c r="E78" s="489"/>
      <c r="F78" s="442"/>
      <c r="G78" s="443"/>
      <c r="H78" s="469"/>
      <c r="I78" s="491"/>
      <c r="K78" s="4">
        <v>69</v>
      </c>
      <c r="L78" s="476"/>
      <c r="M78" s="490"/>
      <c r="N78" s="489"/>
      <c r="O78" s="442"/>
      <c r="P78" s="443"/>
      <c r="Q78" s="469"/>
      <c r="R78" s="491"/>
      <c r="T78" s="4">
        <v>69</v>
      </c>
      <c r="U78" s="476"/>
      <c r="V78" s="446"/>
      <c r="W78" s="520"/>
      <c r="X78" s="520"/>
      <c r="Y78" s="517"/>
    </row>
    <row r="79" spans="1:25" x14ac:dyDescent="0.2">
      <c r="B79" s="4">
        <v>70</v>
      </c>
      <c r="C79" s="450"/>
      <c r="D79" s="442"/>
      <c r="E79" s="489"/>
      <c r="F79" s="442"/>
      <c r="G79" s="443"/>
      <c r="H79" s="469"/>
      <c r="I79" s="466"/>
      <c r="K79" s="4">
        <v>70</v>
      </c>
      <c r="L79" s="450"/>
      <c r="M79" s="442"/>
      <c r="N79" s="489"/>
      <c r="O79" s="442"/>
      <c r="P79" s="443"/>
      <c r="Q79" s="469"/>
      <c r="R79" s="466"/>
      <c r="T79" s="4">
        <v>70</v>
      </c>
      <c r="U79" s="450"/>
      <c r="V79" s="446"/>
      <c r="W79" s="520"/>
      <c r="X79" s="520"/>
      <c r="Y79" s="517"/>
    </row>
    <row r="80" spans="1:25" x14ac:dyDescent="0.2">
      <c r="B80" s="4">
        <v>71</v>
      </c>
      <c r="C80" s="465"/>
      <c r="D80" s="446"/>
      <c r="E80" s="489"/>
      <c r="F80" s="442"/>
      <c r="G80" s="443"/>
      <c r="H80" s="446"/>
      <c r="I80" s="483"/>
      <c r="K80" s="4">
        <v>71</v>
      </c>
      <c r="L80" s="465"/>
      <c r="M80" s="446"/>
      <c r="N80" s="489"/>
      <c r="O80" s="442"/>
      <c r="P80" s="443"/>
      <c r="Q80" s="446"/>
      <c r="R80" s="483"/>
      <c r="T80" s="4">
        <v>71</v>
      </c>
      <c r="U80" s="465"/>
      <c r="V80" s="446"/>
      <c r="W80" s="520"/>
      <c r="X80" s="520"/>
      <c r="Y80" s="517"/>
    </row>
    <row r="81" spans="2:25" x14ac:dyDescent="0.2">
      <c r="B81" s="4">
        <v>72</v>
      </c>
      <c r="C81" s="481"/>
      <c r="D81" s="446"/>
      <c r="E81" s="489"/>
      <c r="F81" s="442"/>
      <c r="G81" s="443"/>
      <c r="H81" s="469"/>
      <c r="I81" s="495"/>
      <c r="K81" s="4">
        <v>72</v>
      </c>
      <c r="L81" s="481"/>
      <c r="M81" s="446"/>
      <c r="N81" s="489"/>
      <c r="O81" s="442"/>
      <c r="P81" s="443"/>
      <c r="Q81" s="469"/>
      <c r="R81" s="495"/>
      <c r="T81" s="4">
        <v>72</v>
      </c>
      <c r="U81" s="481"/>
      <c r="V81" s="446"/>
      <c r="W81" s="520"/>
      <c r="X81" s="520"/>
      <c r="Y81" s="517"/>
    </row>
    <row r="82" spans="2:25" x14ac:dyDescent="0.2">
      <c r="B82" s="4">
        <v>73</v>
      </c>
      <c r="C82" s="481"/>
      <c r="D82" s="446"/>
      <c r="E82" s="472"/>
      <c r="F82" s="442"/>
      <c r="G82" s="452"/>
      <c r="H82" s="469"/>
      <c r="I82" s="466"/>
      <c r="K82" s="4">
        <v>73</v>
      </c>
      <c r="L82" s="481"/>
      <c r="M82" s="446"/>
      <c r="N82" s="472"/>
      <c r="O82" s="442"/>
      <c r="P82" s="452"/>
      <c r="Q82" s="469"/>
      <c r="R82" s="466"/>
      <c r="T82" s="4">
        <v>73</v>
      </c>
      <c r="U82" s="481"/>
      <c r="V82" s="446"/>
      <c r="W82" s="520"/>
      <c r="X82" s="520"/>
      <c r="Y82" s="517"/>
    </row>
    <row r="83" spans="2:25" x14ac:dyDescent="0.2">
      <c r="B83" s="4">
        <v>74</v>
      </c>
      <c r="C83" s="476"/>
      <c r="D83" s="442"/>
      <c r="E83" s="489"/>
      <c r="F83" s="442"/>
      <c r="G83" s="443"/>
      <c r="H83" s="469"/>
      <c r="I83" s="491"/>
      <c r="K83" s="4">
        <v>74</v>
      </c>
      <c r="L83" s="476"/>
      <c r="M83" s="442"/>
      <c r="N83" s="489"/>
      <c r="O83" s="442"/>
      <c r="P83" s="443"/>
      <c r="Q83" s="469"/>
      <c r="R83" s="491"/>
      <c r="T83" s="4">
        <v>74</v>
      </c>
      <c r="U83" s="476"/>
      <c r="V83" s="446"/>
      <c r="W83" s="520"/>
      <c r="X83" s="520"/>
      <c r="Y83" s="517"/>
    </row>
    <row r="84" spans="2:25" x14ac:dyDescent="0.2">
      <c r="B84" s="4">
        <v>75</v>
      </c>
      <c r="C84" s="450"/>
      <c r="D84" s="442"/>
      <c r="E84" s="489"/>
      <c r="F84" s="442"/>
      <c r="G84" s="443"/>
      <c r="H84" s="469"/>
      <c r="I84" s="466"/>
      <c r="K84" s="4">
        <v>75</v>
      </c>
      <c r="L84" s="450"/>
      <c r="M84" s="442"/>
      <c r="N84" s="489"/>
      <c r="O84" s="442"/>
      <c r="P84" s="443"/>
      <c r="Q84" s="469"/>
      <c r="R84" s="466"/>
      <c r="T84" s="4">
        <v>75</v>
      </c>
      <c r="U84" s="450"/>
      <c r="V84" s="446"/>
      <c r="W84" s="520"/>
      <c r="X84" s="520"/>
      <c r="Y84" s="517"/>
    </row>
    <row r="85" spans="2:25" x14ac:dyDescent="0.2">
      <c r="B85" s="4">
        <v>76</v>
      </c>
      <c r="C85" s="450"/>
      <c r="D85" s="442"/>
      <c r="E85" s="489"/>
      <c r="F85" s="442"/>
      <c r="G85" s="443"/>
      <c r="H85" s="469"/>
      <c r="I85" s="466"/>
      <c r="K85" s="4">
        <v>76</v>
      </c>
      <c r="L85" s="450"/>
      <c r="M85" s="442"/>
      <c r="N85" s="489"/>
      <c r="O85" s="442"/>
      <c r="P85" s="443"/>
      <c r="Q85" s="469"/>
      <c r="R85" s="466"/>
      <c r="T85" s="4">
        <v>76</v>
      </c>
      <c r="U85" s="450"/>
      <c r="V85" s="446"/>
      <c r="W85" s="520"/>
      <c r="X85" s="520"/>
      <c r="Y85" s="517"/>
    </row>
    <row r="86" spans="2:25" x14ac:dyDescent="0.2">
      <c r="B86" s="4">
        <v>77</v>
      </c>
      <c r="C86" s="450"/>
      <c r="D86" s="442"/>
      <c r="E86" s="489"/>
      <c r="F86" s="442"/>
      <c r="G86" s="443"/>
      <c r="H86" s="469"/>
      <c r="I86" s="466"/>
      <c r="K86" s="4">
        <v>77</v>
      </c>
      <c r="L86" s="450"/>
      <c r="M86" s="442"/>
      <c r="N86" s="489"/>
      <c r="O86" s="442"/>
      <c r="P86" s="443"/>
      <c r="Q86" s="469"/>
      <c r="R86" s="466"/>
      <c r="T86" s="4">
        <v>77</v>
      </c>
      <c r="U86" s="450"/>
      <c r="V86" s="446"/>
      <c r="W86" s="520"/>
      <c r="X86" s="520"/>
      <c r="Y86" s="517"/>
    </row>
    <row r="87" spans="2:25" x14ac:dyDescent="0.2">
      <c r="B87" s="4">
        <v>78</v>
      </c>
      <c r="C87" s="450"/>
      <c r="D87" s="442"/>
      <c r="E87" s="489"/>
      <c r="F87" s="442"/>
      <c r="G87" s="443"/>
      <c r="H87" s="469"/>
      <c r="I87" s="466"/>
      <c r="K87" s="4">
        <v>78</v>
      </c>
      <c r="L87" s="450"/>
      <c r="M87" s="442"/>
      <c r="N87" s="489"/>
      <c r="O87" s="442"/>
      <c r="P87" s="443"/>
      <c r="Q87" s="469"/>
      <c r="R87" s="466"/>
      <c r="T87" s="4">
        <v>78</v>
      </c>
      <c r="U87" s="450"/>
      <c r="V87" s="446"/>
      <c r="W87" s="520"/>
      <c r="X87" s="520"/>
      <c r="Y87" s="517"/>
    </row>
    <row r="88" spans="2:25" x14ac:dyDescent="0.2">
      <c r="B88" s="4">
        <v>79</v>
      </c>
      <c r="C88" s="476"/>
      <c r="D88" s="442"/>
      <c r="E88" s="489"/>
      <c r="F88" s="442"/>
      <c r="G88" s="443"/>
      <c r="H88" s="469"/>
      <c r="I88" s="491"/>
      <c r="K88" s="4">
        <v>79</v>
      </c>
      <c r="L88" s="476"/>
      <c r="M88" s="442"/>
      <c r="N88" s="489"/>
      <c r="O88" s="442"/>
      <c r="P88" s="443"/>
      <c r="Q88" s="469"/>
      <c r="R88" s="491"/>
      <c r="T88" s="4">
        <v>79</v>
      </c>
      <c r="U88" s="476"/>
      <c r="V88" s="446"/>
      <c r="W88" s="520"/>
      <c r="X88" s="520"/>
      <c r="Y88" s="517"/>
    </row>
    <row r="89" spans="2:25" x14ac:dyDescent="0.2">
      <c r="B89" s="4">
        <v>80</v>
      </c>
      <c r="C89" s="450"/>
      <c r="D89" s="442"/>
      <c r="E89" s="489"/>
      <c r="F89" s="442"/>
      <c r="G89" s="443"/>
      <c r="H89" s="469"/>
      <c r="I89" s="466"/>
      <c r="K89" s="4">
        <v>80</v>
      </c>
      <c r="L89" s="450"/>
      <c r="M89" s="442"/>
      <c r="N89" s="489"/>
      <c r="O89" s="442"/>
      <c r="P89" s="443"/>
      <c r="Q89" s="469"/>
      <c r="R89" s="466"/>
      <c r="T89" s="4">
        <v>80</v>
      </c>
      <c r="U89" s="450"/>
      <c r="V89" s="446"/>
      <c r="W89" s="520"/>
      <c r="X89" s="520"/>
      <c r="Y89" s="517"/>
    </row>
    <row r="90" spans="2:25" x14ac:dyDescent="0.2">
      <c r="B90" s="4">
        <v>81</v>
      </c>
      <c r="C90" s="465"/>
      <c r="D90" s="446"/>
      <c r="E90" s="489"/>
      <c r="F90" s="442"/>
      <c r="G90" s="443"/>
      <c r="H90" s="446"/>
      <c r="I90" s="483"/>
      <c r="K90" s="4">
        <v>81</v>
      </c>
      <c r="L90" s="465"/>
      <c r="M90" s="446"/>
      <c r="N90" s="489"/>
      <c r="O90" s="442"/>
      <c r="P90" s="443"/>
      <c r="Q90" s="446"/>
      <c r="R90" s="483"/>
      <c r="T90" s="4">
        <v>81</v>
      </c>
      <c r="U90" s="465"/>
      <c r="V90" s="446"/>
      <c r="W90" s="520"/>
      <c r="X90" s="520"/>
      <c r="Y90" s="517"/>
    </row>
    <row r="91" spans="2:25" x14ac:dyDescent="0.2">
      <c r="B91" s="4">
        <v>82</v>
      </c>
      <c r="C91" s="450"/>
      <c r="D91" s="442"/>
      <c r="E91" s="472"/>
      <c r="F91" s="442"/>
      <c r="G91" s="452"/>
      <c r="H91" s="469"/>
      <c r="I91" s="466"/>
      <c r="K91" s="4">
        <v>82</v>
      </c>
      <c r="L91" s="450"/>
      <c r="M91" s="442"/>
      <c r="N91" s="472"/>
      <c r="O91" s="442"/>
      <c r="P91" s="452"/>
      <c r="Q91" s="469"/>
      <c r="R91" s="466"/>
      <c r="T91" s="4">
        <v>82</v>
      </c>
      <c r="U91" s="450"/>
      <c r="V91" s="446"/>
      <c r="W91" s="520"/>
      <c r="X91" s="520"/>
      <c r="Y91" s="517"/>
    </row>
    <row r="92" spans="2:25" x14ac:dyDescent="0.2">
      <c r="B92" s="4">
        <v>83</v>
      </c>
      <c r="C92" s="450"/>
      <c r="D92" s="442"/>
      <c r="E92" s="472"/>
      <c r="F92" s="442"/>
      <c r="G92" s="452"/>
      <c r="H92" s="469"/>
      <c r="I92" s="466"/>
      <c r="K92" s="4">
        <v>83</v>
      </c>
      <c r="L92" s="450"/>
      <c r="M92" s="442"/>
      <c r="N92" s="472"/>
      <c r="O92" s="442"/>
      <c r="P92" s="452"/>
      <c r="Q92" s="469"/>
      <c r="R92" s="466"/>
      <c r="T92" s="4">
        <v>83</v>
      </c>
      <c r="U92" s="450"/>
      <c r="V92" s="446"/>
      <c r="W92" s="520"/>
      <c r="X92" s="520"/>
      <c r="Y92" s="517"/>
    </row>
    <row r="93" spans="2:25" x14ac:dyDescent="0.2">
      <c r="B93" s="4">
        <v>84</v>
      </c>
      <c r="C93" s="476"/>
      <c r="D93" s="442"/>
      <c r="E93" s="489"/>
      <c r="F93" s="442"/>
      <c r="G93" s="443"/>
      <c r="H93" s="469"/>
      <c r="I93" s="491"/>
      <c r="K93" s="4">
        <v>84</v>
      </c>
      <c r="L93" s="476"/>
      <c r="M93" s="442"/>
      <c r="N93" s="489"/>
      <c r="O93" s="442"/>
      <c r="P93" s="443"/>
      <c r="Q93" s="469"/>
      <c r="R93" s="491"/>
      <c r="T93" s="4">
        <v>84</v>
      </c>
      <c r="U93" s="476"/>
      <c r="V93" s="446"/>
      <c r="W93" s="520"/>
      <c r="X93" s="520"/>
      <c r="Y93" s="517"/>
    </row>
    <row r="94" spans="2:25" x14ac:dyDescent="0.2">
      <c r="B94" s="4">
        <v>85</v>
      </c>
      <c r="C94" s="450"/>
      <c r="D94" s="442"/>
      <c r="E94" s="489"/>
      <c r="F94" s="442"/>
      <c r="G94" s="443"/>
      <c r="H94" s="469"/>
      <c r="I94" s="466"/>
      <c r="K94" s="4">
        <v>85</v>
      </c>
      <c r="L94" s="450"/>
      <c r="M94" s="442"/>
      <c r="N94" s="489"/>
      <c r="O94" s="442"/>
      <c r="P94" s="443"/>
      <c r="Q94" s="469"/>
      <c r="R94" s="466"/>
      <c r="T94" s="4">
        <v>85</v>
      </c>
      <c r="U94" s="450"/>
      <c r="V94" s="446"/>
      <c r="W94" s="520"/>
      <c r="X94" s="520"/>
      <c r="Y94" s="517"/>
    </row>
    <row r="95" spans="2:25" x14ac:dyDescent="0.2">
      <c r="B95" s="4">
        <v>86</v>
      </c>
      <c r="C95" s="465"/>
      <c r="D95" s="442"/>
      <c r="E95" s="489"/>
      <c r="F95" s="442"/>
      <c r="G95" s="443"/>
      <c r="H95" s="469"/>
      <c r="I95" s="466"/>
      <c r="K95" s="4">
        <v>86</v>
      </c>
      <c r="L95" s="465"/>
      <c r="M95" s="442"/>
      <c r="N95" s="489"/>
      <c r="O95" s="442"/>
      <c r="P95" s="443"/>
      <c r="Q95" s="469"/>
      <c r="R95" s="466"/>
      <c r="T95" s="4">
        <v>86</v>
      </c>
      <c r="U95" s="465"/>
      <c r="V95" s="446"/>
      <c r="W95" s="520"/>
      <c r="X95" s="520"/>
      <c r="Y95" s="517"/>
    </row>
    <row r="96" spans="2:25" x14ac:dyDescent="0.2">
      <c r="B96" s="4">
        <v>87</v>
      </c>
      <c r="C96" s="481"/>
      <c r="D96" s="446"/>
      <c r="E96" s="472"/>
      <c r="F96" s="442"/>
      <c r="G96" s="443"/>
      <c r="H96" s="469"/>
      <c r="I96" s="495"/>
      <c r="K96" s="4">
        <v>87</v>
      </c>
      <c r="L96" s="481"/>
      <c r="M96" s="446"/>
      <c r="N96" s="472"/>
      <c r="O96" s="442"/>
      <c r="P96" s="443"/>
      <c r="Q96" s="469"/>
      <c r="R96" s="495"/>
      <c r="T96" s="4">
        <v>87</v>
      </c>
      <c r="U96" s="481"/>
      <c r="V96" s="446"/>
      <c r="W96" s="520"/>
      <c r="X96" s="520"/>
      <c r="Y96" s="517"/>
    </row>
    <row r="97" spans="1:25" x14ac:dyDescent="0.2">
      <c r="B97" s="4">
        <v>88</v>
      </c>
      <c r="C97" s="481"/>
      <c r="D97" s="446"/>
      <c r="E97" s="489"/>
      <c r="F97" s="442"/>
      <c r="G97" s="443"/>
      <c r="H97" s="479"/>
      <c r="I97" s="480"/>
      <c r="K97" s="4">
        <v>88</v>
      </c>
      <c r="L97" s="481"/>
      <c r="M97" s="446"/>
      <c r="N97" s="489"/>
      <c r="O97" s="442"/>
      <c r="P97" s="443"/>
      <c r="Q97" s="479"/>
      <c r="R97" s="480"/>
      <c r="T97" s="4">
        <v>88</v>
      </c>
      <c r="U97" s="481"/>
      <c r="V97" s="446"/>
      <c r="W97" s="520"/>
      <c r="X97" s="520"/>
      <c r="Y97" s="517"/>
    </row>
    <row r="98" spans="1:25" x14ac:dyDescent="0.2">
      <c r="B98" s="4">
        <v>89</v>
      </c>
      <c r="C98" s="481"/>
      <c r="D98" s="446"/>
      <c r="E98" s="489"/>
      <c r="F98" s="442"/>
      <c r="G98" s="443"/>
      <c r="H98" s="446"/>
      <c r="I98" s="483"/>
      <c r="K98" s="4">
        <v>89</v>
      </c>
      <c r="L98" s="481"/>
      <c r="M98" s="446"/>
      <c r="N98" s="489"/>
      <c r="O98" s="442"/>
      <c r="P98" s="443"/>
      <c r="Q98" s="446"/>
      <c r="R98" s="483"/>
      <c r="T98" s="4">
        <v>89</v>
      </c>
      <c r="U98" s="481"/>
      <c r="V98" s="446"/>
      <c r="W98" s="520"/>
      <c r="X98" s="520"/>
      <c r="Y98" s="517"/>
    </row>
    <row r="99" spans="1:25" x14ac:dyDescent="0.2">
      <c r="B99" s="4">
        <v>90</v>
      </c>
      <c r="C99" s="465"/>
      <c r="D99" s="446"/>
      <c r="E99" s="489"/>
      <c r="F99" s="442"/>
      <c r="G99" s="443"/>
      <c r="H99" s="446"/>
      <c r="I99" s="483"/>
      <c r="K99" s="4">
        <v>90</v>
      </c>
      <c r="L99" s="465"/>
      <c r="M99" s="446"/>
      <c r="N99" s="489"/>
      <c r="O99" s="442"/>
      <c r="P99" s="443"/>
      <c r="Q99" s="446"/>
      <c r="R99" s="483"/>
      <c r="T99" s="4">
        <v>90</v>
      </c>
      <c r="U99" s="465"/>
      <c r="V99" s="446"/>
      <c r="W99" s="520"/>
      <c r="X99" s="520"/>
      <c r="Y99" s="517"/>
    </row>
    <row r="100" spans="1:25" x14ac:dyDescent="0.2">
      <c r="B100" s="4">
        <v>91</v>
      </c>
      <c r="C100" s="450"/>
      <c r="D100" s="442"/>
      <c r="E100" s="472"/>
      <c r="F100" s="442"/>
      <c r="G100" s="452"/>
      <c r="H100" s="469"/>
      <c r="I100" s="466"/>
      <c r="K100" s="4">
        <v>91</v>
      </c>
      <c r="L100" s="450"/>
      <c r="M100" s="442"/>
      <c r="N100" s="472"/>
      <c r="O100" s="442"/>
      <c r="P100" s="452"/>
      <c r="Q100" s="469"/>
      <c r="R100" s="466"/>
      <c r="T100" s="4">
        <v>91</v>
      </c>
      <c r="U100" s="450"/>
      <c r="V100" s="446"/>
      <c r="W100" s="520"/>
      <c r="X100" s="520"/>
      <c r="Y100" s="517"/>
    </row>
    <row r="101" spans="1:25" ht="13.5" thickBot="1" x14ac:dyDescent="0.25">
      <c r="B101" s="4">
        <v>92</v>
      </c>
      <c r="C101" s="496"/>
      <c r="D101" s="497"/>
      <c r="E101" s="498"/>
      <c r="F101" s="499"/>
      <c r="G101" s="500"/>
      <c r="H101" s="497"/>
      <c r="I101" s="501"/>
      <c r="K101" s="4">
        <v>92</v>
      </c>
      <c r="L101" s="496"/>
      <c r="M101" s="497"/>
      <c r="N101" s="498"/>
      <c r="O101" s="499"/>
      <c r="P101" s="500"/>
      <c r="Q101" s="497"/>
      <c r="R101" s="501"/>
      <c r="T101" s="4">
        <v>92</v>
      </c>
      <c r="U101" s="496"/>
      <c r="V101" s="497"/>
      <c r="W101" s="522"/>
      <c r="X101" s="522"/>
      <c r="Y101" s="523"/>
    </row>
    <row r="102" spans="1:25" ht="13.5" thickBot="1" x14ac:dyDescent="0.25">
      <c r="B102" s="4">
        <v>93</v>
      </c>
      <c r="C102" s="275"/>
      <c r="D102" s="275"/>
      <c r="E102" s="276"/>
      <c r="F102" s="5"/>
      <c r="G102" s="24"/>
      <c r="H102" s="275"/>
      <c r="I102" s="277"/>
      <c r="K102" s="4">
        <v>93</v>
      </c>
      <c r="L102" s="275"/>
      <c r="M102" s="275"/>
      <c r="N102" s="276"/>
      <c r="O102" s="5"/>
      <c r="P102" s="24"/>
      <c r="Q102" s="275"/>
      <c r="R102" s="277"/>
      <c r="T102" s="4">
        <v>93</v>
      </c>
      <c r="U102" s="275"/>
      <c r="V102" s="275"/>
      <c r="W102" s="297"/>
      <c r="X102" s="297"/>
      <c r="Y102" s="298"/>
    </row>
    <row r="103" spans="1:25" ht="13.5" thickBot="1" x14ac:dyDescent="0.25">
      <c r="A103" s="270"/>
      <c r="B103" s="4">
        <v>94</v>
      </c>
      <c r="C103" s="28" t="s">
        <v>150</v>
      </c>
      <c r="D103" s="23"/>
      <c r="E103" s="459"/>
      <c r="F103" s="460"/>
      <c r="G103" s="29"/>
      <c r="H103" s="26"/>
      <c r="I103" s="274">
        <v>423726271.66595399</v>
      </c>
      <c r="J103" s="270"/>
      <c r="K103" s="4">
        <v>94</v>
      </c>
      <c r="L103" s="28" t="s">
        <v>150</v>
      </c>
      <c r="M103" s="23"/>
      <c r="N103" s="459"/>
      <c r="O103" s="460"/>
      <c r="P103" s="29"/>
      <c r="Q103" s="26"/>
      <c r="R103" s="274">
        <v>291781926.08497357</v>
      </c>
      <c r="T103" s="4">
        <v>94</v>
      </c>
      <c r="U103" s="28" t="s">
        <v>150</v>
      </c>
      <c r="V103" s="275"/>
      <c r="W103" s="296">
        <v>131944345.58098042</v>
      </c>
      <c r="X103" s="297"/>
      <c r="Y103" s="197">
        <v>0.45220191446181351</v>
      </c>
    </row>
    <row r="104" spans="1:25" x14ac:dyDescent="0.2">
      <c r="A104" s="270"/>
      <c r="B104" s="4">
        <v>95</v>
      </c>
      <c r="C104" s="28" t="s">
        <v>149</v>
      </c>
      <c r="D104" s="23"/>
      <c r="E104" s="27"/>
      <c r="F104" s="23"/>
      <c r="G104" s="25"/>
      <c r="H104" s="26">
        <v>132117546.70839059</v>
      </c>
      <c r="I104" s="274"/>
      <c r="J104" s="270"/>
      <c r="K104" s="4">
        <v>95</v>
      </c>
      <c r="L104" s="28" t="s">
        <v>149</v>
      </c>
      <c r="M104" s="23"/>
      <c r="N104" s="27"/>
      <c r="O104" s="23"/>
      <c r="P104" s="25"/>
      <c r="Q104" s="26">
        <v>133136062.67660853</v>
      </c>
      <c r="R104" s="274"/>
      <c r="T104" s="4">
        <v>95</v>
      </c>
      <c r="U104" s="28" t="s">
        <v>149</v>
      </c>
      <c r="V104" s="296">
        <v>-1018515.9682179391</v>
      </c>
      <c r="W104" s="275"/>
      <c r="X104" s="275"/>
      <c r="Y104" s="197">
        <v>-7.6501884443732184E-3</v>
      </c>
    </row>
    <row r="105" spans="1:25" ht="13.5" thickBot="1" x14ac:dyDescent="0.25">
      <c r="A105" s="270"/>
      <c r="B105" s="4">
        <v>96</v>
      </c>
      <c r="C105" s="28" t="s">
        <v>151</v>
      </c>
      <c r="D105" s="5"/>
      <c r="E105" s="31"/>
      <c r="F105" s="5"/>
      <c r="G105" s="24"/>
      <c r="H105" s="30"/>
      <c r="I105" s="278">
        <v>555843818.37434459</v>
      </c>
      <c r="J105" s="270"/>
      <c r="K105" s="4">
        <v>96</v>
      </c>
      <c r="L105" s="28" t="s">
        <v>151</v>
      </c>
      <c r="M105" s="5"/>
      <c r="N105" s="31"/>
      <c r="O105" s="5"/>
      <c r="P105" s="24"/>
      <c r="Q105" s="30"/>
      <c r="R105" s="390">
        <v>424917988.76158214</v>
      </c>
      <c r="T105" s="4">
        <v>96</v>
      </c>
      <c r="U105" s="28" t="s">
        <v>151</v>
      </c>
      <c r="V105" s="275"/>
      <c r="W105" s="275"/>
      <c r="X105" s="296">
        <v>-130925829.61276245</v>
      </c>
      <c r="Y105" s="299">
        <v>-0.30812023278737632</v>
      </c>
    </row>
    <row r="106" spans="1:25" x14ac:dyDescent="0.2">
      <c r="B106" s="4">
        <v>97</v>
      </c>
      <c r="C106" s="432"/>
      <c r="D106" s="433"/>
      <c r="E106" s="434"/>
      <c r="F106" s="435"/>
      <c r="G106" s="436"/>
      <c r="H106" s="437"/>
      <c r="I106" s="438"/>
      <c r="K106" s="4">
        <v>97</v>
      </c>
      <c r="L106" s="432"/>
      <c r="M106" s="509"/>
      <c r="N106" s="434"/>
      <c r="O106" s="435"/>
      <c r="P106" s="436"/>
      <c r="Q106" s="437"/>
      <c r="R106" s="438"/>
      <c r="T106" s="4">
        <v>97</v>
      </c>
      <c r="U106" s="432"/>
      <c r="V106" s="433"/>
      <c r="W106" s="514"/>
      <c r="X106" s="514"/>
      <c r="Y106" s="515"/>
    </row>
    <row r="107" spans="1:25" x14ac:dyDescent="0.2">
      <c r="B107" s="4">
        <v>98</v>
      </c>
      <c r="C107" s="439"/>
      <c r="D107" s="440"/>
      <c r="E107" s="441"/>
      <c r="F107" s="442"/>
      <c r="G107" s="443"/>
      <c r="H107" s="444"/>
      <c r="I107" s="445"/>
      <c r="K107" s="4">
        <v>98</v>
      </c>
      <c r="L107" s="439"/>
      <c r="M107" s="510"/>
      <c r="N107" s="451"/>
      <c r="O107" s="442"/>
      <c r="P107" s="443"/>
      <c r="Q107" s="444"/>
      <c r="R107" s="445"/>
      <c r="T107" s="4">
        <v>98</v>
      </c>
      <c r="U107" s="439"/>
      <c r="V107" s="446"/>
      <c r="W107" s="446"/>
      <c r="X107" s="446"/>
      <c r="Y107" s="483"/>
    </row>
    <row r="108" spans="1:25" x14ac:dyDescent="0.2">
      <c r="B108" s="4">
        <v>99</v>
      </c>
      <c r="C108" s="439"/>
      <c r="D108" s="446"/>
      <c r="E108" s="447"/>
      <c r="F108" s="446"/>
      <c r="G108" s="446"/>
      <c r="H108" s="448"/>
      <c r="I108" s="449"/>
      <c r="K108" s="4">
        <v>99</v>
      </c>
      <c r="L108" s="439"/>
      <c r="M108" s="446"/>
      <c r="N108" s="447"/>
      <c r="O108" s="446"/>
      <c r="P108" s="446"/>
      <c r="Q108" s="448"/>
      <c r="R108" s="449"/>
      <c r="T108" s="4">
        <v>99</v>
      </c>
      <c r="U108" s="439"/>
      <c r="V108" s="446"/>
      <c r="W108" s="446"/>
      <c r="X108" s="446"/>
      <c r="Y108" s="483"/>
    </row>
    <row r="109" spans="1:25" x14ac:dyDescent="0.2">
      <c r="B109" s="4">
        <v>100</v>
      </c>
      <c r="C109" s="450"/>
      <c r="D109" s="442"/>
      <c r="E109" s="451"/>
      <c r="F109" s="442"/>
      <c r="G109" s="452"/>
      <c r="H109" s="448"/>
      <c r="I109" s="449"/>
      <c r="K109" s="4">
        <v>100</v>
      </c>
      <c r="L109" s="450"/>
      <c r="M109" s="442"/>
      <c r="N109" s="451"/>
      <c r="O109" s="442"/>
      <c r="P109" s="452"/>
      <c r="Q109" s="448"/>
      <c r="R109" s="449"/>
      <c r="T109" s="4">
        <v>100</v>
      </c>
      <c r="U109" s="450"/>
      <c r="V109" s="516"/>
      <c r="W109" s="446"/>
      <c r="X109" s="446"/>
      <c r="Y109" s="517"/>
    </row>
    <row r="110" spans="1:25" x14ac:dyDescent="0.2">
      <c r="B110" s="4">
        <v>101</v>
      </c>
      <c r="C110" s="450"/>
      <c r="D110" s="442"/>
      <c r="E110" s="451"/>
      <c r="F110" s="442"/>
      <c r="G110" s="452"/>
      <c r="H110" s="453"/>
      <c r="I110" s="454"/>
      <c r="K110" s="4">
        <v>101</v>
      </c>
      <c r="L110" s="450"/>
      <c r="M110" s="442"/>
      <c r="N110" s="451"/>
      <c r="O110" s="442"/>
      <c r="P110" s="452"/>
      <c r="Q110" s="453"/>
      <c r="R110" s="454"/>
      <c r="T110" s="4">
        <v>101</v>
      </c>
      <c r="U110" s="450"/>
      <c r="V110" s="446"/>
      <c r="W110" s="516"/>
      <c r="X110" s="516"/>
      <c r="Y110" s="517"/>
    </row>
    <row r="111" spans="1:25" ht="13.5" thickBot="1" x14ac:dyDescent="0.25">
      <c r="B111" s="283">
        <v>102</v>
      </c>
      <c r="C111" s="455"/>
      <c r="D111" s="456"/>
      <c r="E111" s="456"/>
      <c r="F111" s="456"/>
      <c r="G111" s="457"/>
      <c r="H111" s="456"/>
      <c r="I111" s="458"/>
      <c r="K111" s="4">
        <v>102</v>
      </c>
      <c r="L111" s="511"/>
      <c r="M111" s="448"/>
      <c r="N111" s="448"/>
      <c r="O111" s="448"/>
      <c r="P111" s="452"/>
      <c r="Q111" s="448"/>
      <c r="R111" s="449"/>
      <c r="T111" s="295">
        <v>102</v>
      </c>
      <c r="U111" s="455"/>
      <c r="V111" s="497"/>
      <c r="W111" s="497"/>
      <c r="X111" s="518"/>
      <c r="Y111" s="519"/>
    </row>
    <row r="112" spans="1:25" x14ac:dyDescent="0.2">
      <c r="K112" s="272"/>
      <c r="L112" s="481"/>
      <c r="M112" s="446"/>
      <c r="N112" s="446"/>
      <c r="O112" s="446"/>
      <c r="P112" s="446"/>
      <c r="Q112" s="446"/>
      <c r="R112" s="483"/>
      <c r="V112" s="199"/>
      <c r="W112" s="199"/>
      <c r="X112" s="199"/>
      <c r="Y112" s="199"/>
    </row>
    <row r="113" spans="2:25" ht="14.25" x14ac:dyDescent="0.2">
      <c r="B113" s="271"/>
      <c r="K113" s="273">
        <v>1</v>
      </c>
      <c r="L113" s="481"/>
      <c r="M113" s="446"/>
      <c r="N113" s="446"/>
      <c r="O113" s="446"/>
      <c r="P113" s="446"/>
      <c r="Q113" s="446"/>
      <c r="R113" s="483"/>
      <c r="V113" s="199"/>
      <c r="W113" s="199"/>
      <c r="X113" s="199"/>
      <c r="Y113" s="199"/>
    </row>
    <row r="114" spans="2:25" ht="15" thickBot="1" x14ac:dyDescent="0.25">
      <c r="B114" s="271"/>
      <c r="K114" s="389">
        <v>2</v>
      </c>
      <c r="L114" s="512"/>
      <c r="M114" s="497"/>
      <c r="N114" s="497"/>
      <c r="O114" s="497"/>
      <c r="P114" s="497"/>
      <c r="Q114" s="497"/>
      <c r="R114" s="513"/>
      <c r="V114" s="199"/>
      <c r="W114" s="199"/>
      <c r="X114" s="199"/>
      <c r="Y114" s="199"/>
    </row>
  </sheetData>
  <mergeCells count="10">
    <mergeCell ref="T2:Y2"/>
    <mergeCell ref="T4:Y4"/>
    <mergeCell ref="T7:Y7"/>
    <mergeCell ref="T6:Y6"/>
    <mergeCell ref="B2:I2"/>
    <mergeCell ref="K2:R2"/>
    <mergeCell ref="B4:I4"/>
    <mergeCell ref="K4:R4"/>
    <mergeCell ref="B6:I6"/>
    <mergeCell ref="K6:R6"/>
  </mergeCells>
  <printOptions horizontalCentered="1" gridLines="1"/>
  <pageMargins left="0.25" right="0.25" top="0.75" bottom="0.75" header="0.3" footer="0.3"/>
  <pageSetup scale="46" fitToWidth="3" orientation="portrait" r:id="rId1"/>
  <headerFooter>
    <oddFooter>&amp;L&amp;F
&amp;A&amp;RPage &amp;P of &amp;N</oddFooter>
  </headerFooter>
  <colBreaks count="1" manualBreakCount="1">
    <brk id="9" max="113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zoomScale="90" zoomScaleNormal="90" zoomScaleSheetLayoutView="8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M11" sqref="M11"/>
    </sheetView>
  </sheetViews>
  <sheetFormatPr defaultColWidth="8.85546875" defaultRowHeight="15" x14ac:dyDescent="0.25"/>
  <cols>
    <col min="1" max="1" width="2.42578125" style="303" customWidth="1"/>
    <col min="2" max="2" width="3.85546875" style="303" customWidth="1"/>
    <col min="3" max="3" width="1" style="303" customWidth="1"/>
    <col min="4" max="4" width="68.85546875" style="303" customWidth="1"/>
    <col min="5" max="5" width="14.85546875" style="303" customWidth="1"/>
    <col min="6" max="6" width="15" style="303" customWidth="1"/>
    <col min="7" max="7" width="14.140625" style="303" customWidth="1"/>
    <col min="8" max="8" width="13.5703125" style="303" customWidth="1"/>
    <col min="9" max="9" width="13.42578125" style="303" customWidth="1"/>
    <col min="10" max="10" width="13.140625" style="303" customWidth="1"/>
    <col min="11" max="12" width="14.85546875" style="303" customWidth="1"/>
    <col min="13" max="13" width="14.42578125" style="303" customWidth="1"/>
    <col min="14" max="14" width="12.42578125" style="303" customWidth="1"/>
    <col min="15" max="15" width="11.85546875" style="303" bestFit="1" customWidth="1"/>
    <col min="16" max="17" width="12.5703125" style="303" customWidth="1"/>
    <col min="18" max="16384" width="8.85546875" style="303"/>
  </cols>
  <sheetData>
    <row r="1" spans="1:13" x14ac:dyDescent="0.25">
      <c r="A1" s="301" t="s">
        <v>7</v>
      </c>
      <c r="B1" s="302"/>
      <c r="C1" s="302"/>
      <c r="D1" s="302"/>
      <c r="E1" s="302"/>
      <c r="F1" s="302"/>
      <c r="G1" s="301"/>
      <c r="H1" s="302"/>
      <c r="I1" s="302"/>
      <c r="J1" s="302"/>
      <c r="K1" s="302"/>
      <c r="L1" s="302"/>
      <c r="M1" s="302"/>
    </row>
    <row r="2" spans="1:13" x14ac:dyDescent="0.25">
      <c r="A2" s="301" t="s">
        <v>297</v>
      </c>
      <c r="B2" s="302"/>
      <c r="C2" s="302"/>
      <c r="D2" s="302"/>
      <c r="E2" s="302"/>
      <c r="F2" s="302"/>
      <c r="G2" s="301"/>
      <c r="H2" s="302"/>
      <c r="I2" s="302"/>
      <c r="J2" s="302"/>
      <c r="K2" s="302"/>
      <c r="L2" s="302"/>
      <c r="M2" s="302"/>
    </row>
    <row r="3" spans="1:13" x14ac:dyDescent="0.25">
      <c r="A3" s="301" t="s">
        <v>295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</row>
    <row r="4" spans="1:13" x14ac:dyDescent="0.25">
      <c r="A4" s="301" t="s">
        <v>296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</row>
    <row r="5" spans="1:13" x14ac:dyDescent="0.25">
      <c r="A5" s="301"/>
      <c r="B5" s="301"/>
      <c r="C5" s="301"/>
      <c r="D5" s="304"/>
      <c r="E5" s="301"/>
      <c r="F5" s="301"/>
      <c r="G5" s="301"/>
      <c r="H5" s="301"/>
      <c r="I5" s="301"/>
      <c r="J5" s="301"/>
      <c r="K5" s="301"/>
      <c r="L5" s="301"/>
      <c r="M5" s="301"/>
    </row>
    <row r="6" spans="1:13" ht="23.25" customHeight="1" x14ac:dyDescent="0.25">
      <c r="B6" s="305"/>
      <c r="D6" s="306" t="s">
        <v>34</v>
      </c>
      <c r="E6" s="306" t="s">
        <v>35</v>
      </c>
      <c r="F6" s="306" t="s">
        <v>36</v>
      </c>
      <c r="G6" s="306" t="s">
        <v>55</v>
      </c>
      <c r="H6" s="306" t="s">
        <v>81</v>
      </c>
      <c r="I6" s="306" t="s">
        <v>82</v>
      </c>
      <c r="J6" s="307" t="s">
        <v>83</v>
      </c>
      <c r="K6" s="306" t="s">
        <v>37</v>
      </c>
      <c r="L6" s="306" t="s">
        <v>57</v>
      </c>
      <c r="M6" s="306" t="s">
        <v>58</v>
      </c>
    </row>
    <row r="7" spans="1:13" ht="45" x14ac:dyDescent="0.25">
      <c r="B7" s="303">
        <v>1</v>
      </c>
      <c r="D7" s="308" t="s">
        <v>18</v>
      </c>
      <c r="E7" s="309" t="s">
        <v>84</v>
      </c>
      <c r="F7" s="309" t="s">
        <v>5</v>
      </c>
      <c r="G7" s="310" t="s">
        <v>85</v>
      </c>
      <c r="H7" s="311" t="s">
        <v>86</v>
      </c>
      <c r="I7" s="311" t="s">
        <v>87</v>
      </c>
      <c r="J7" s="311" t="s">
        <v>88</v>
      </c>
      <c r="K7" s="311" t="s">
        <v>89</v>
      </c>
      <c r="L7" s="311" t="s">
        <v>90</v>
      </c>
      <c r="M7" s="312" t="s">
        <v>91</v>
      </c>
    </row>
    <row r="8" spans="1:13" x14ac:dyDescent="0.25">
      <c r="B8" s="303">
        <f>B7+1</f>
        <v>2</v>
      </c>
      <c r="D8" s="313" t="s">
        <v>92</v>
      </c>
      <c r="E8" s="314" t="s">
        <v>93</v>
      </c>
      <c r="F8" s="315">
        <f>SUM(G8:M8)</f>
        <v>1154247841.2448502</v>
      </c>
      <c r="G8" s="398">
        <v>609257701.15931797</v>
      </c>
      <c r="H8" s="397">
        <v>234176518.05324447</v>
      </c>
      <c r="I8" s="397">
        <v>86328991.912539333</v>
      </c>
      <c r="J8" s="397">
        <v>90957971.20362018</v>
      </c>
      <c r="K8" s="397">
        <v>9748488.4229263533</v>
      </c>
      <c r="L8" s="397">
        <v>123778170.49320194</v>
      </c>
      <c r="M8" s="316">
        <v>0</v>
      </c>
    </row>
    <row r="9" spans="1:13" x14ac:dyDescent="0.25">
      <c r="B9" s="303">
        <f t="shared" ref="B9:B21" si="0">B8+1</f>
        <v>3</v>
      </c>
      <c r="D9" s="313" t="s">
        <v>22</v>
      </c>
      <c r="E9" s="317"/>
      <c r="F9" s="315"/>
      <c r="G9" s="318">
        <f t="shared" ref="G9:L9" si="1">G8/$F8</f>
        <v>0.52783958469633074</v>
      </c>
      <c r="H9" s="319">
        <f t="shared" si="1"/>
        <v>0.20288235306611996</v>
      </c>
      <c r="I9" s="319">
        <f t="shared" si="1"/>
        <v>7.4792422240473042E-2</v>
      </c>
      <c r="J9" s="319">
        <f t="shared" si="1"/>
        <v>7.8802808160786761E-2</v>
      </c>
      <c r="K9" s="319">
        <f t="shared" si="1"/>
        <v>8.4457497554534383E-3</v>
      </c>
      <c r="L9" s="319">
        <f t="shared" si="1"/>
        <v>0.10723708208083615</v>
      </c>
      <c r="M9" s="320">
        <f>M8/$F8</f>
        <v>0</v>
      </c>
    </row>
    <row r="10" spans="1:13" x14ac:dyDescent="0.25">
      <c r="B10" s="303">
        <f t="shared" si="0"/>
        <v>4</v>
      </c>
      <c r="D10" s="313"/>
      <c r="E10" s="317"/>
      <c r="F10" s="315"/>
      <c r="G10" s="321"/>
      <c r="H10" s="322"/>
      <c r="I10" s="322"/>
      <c r="J10" s="322"/>
      <c r="K10" s="322"/>
      <c r="L10" s="322"/>
      <c r="M10" s="316"/>
    </row>
    <row r="11" spans="1:13" x14ac:dyDescent="0.25">
      <c r="B11" s="303">
        <f t="shared" si="0"/>
        <v>5</v>
      </c>
      <c r="D11" s="313" t="s">
        <v>94</v>
      </c>
      <c r="E11" s="314" t="s">
        <v>93</v>
      </c>
      <c r="F11" s="315">
        <f>SUM(G11:M11)</f>
        <v>958153193.17249894</v>
      </c>
      <c r="G11" s="398">
        <v>609257701.15931797</v>
      </c>
      <c r="H11" s="397">
        <v>234140158.08963937</v>
      </c>
      <c r="I11" s="397">
        <v>65836657.463465482</v>
      </c>
      <c r="J11" s="397">
        <v>16184434.068649085</v>
      </c>
      <c r="K11" s="397">
        <v>9397200.2729263529</v>
      </c>
      <c r="L11" s="397">
        <v>23337042.118500698</v>
      </c>
      <c r="M11" s="316"/>
    </row>
    <row r="12" spans="1:13" x14ac:dyDescent="0.25">
      <c r="B12" s="303">
        <f t="shared" si="0"/>
        <v>6</v>
      </c>
      <c r="D12" s="313" t="s">
        <v>22</v>
      </c>
      <c r="E12" s="317"/>
      <c r="F12" s="315"/>
      <c r="G12" s="318">
        <f t="shared" ref="G12:M12" si="2">G11/$F11</f>
        <v>0.63586669177820254</v>
      </c>
      <c r="H12" s="319">
        <f t="shared" si="2"/>
        <v>0.24436609903097872</v>
      </c>
      <c r="I12" s="319">
        <f t="shared" si="2"/>
        <v>6.8712036793904127E-2</v>
      </c>
      <c r="J12" s="319">
        <f t="shared" si="2"/>
        <v>1.6891280208607893E-2</v>
      </c>
      <c r="K12" s="319">
        <f t="shared" si="2"/>
        <v>9.8076177587131923E-3</v>
      </c>
      <c r="L12" s="319">
        <f t="shared" si="2"/>
        <v>2.43562744295935E-2</v>
      </c>
      <c r="M12" s="320">
        <f t="shared" si="2"/>
        <v>0</v>
      </c>
    </row>
    <row r="13" spans="1:13" x14ac:dyDescent="0.25">
      <c r="B13" s="303">
        <f t="shared" si="0"/>
        <v>7</v>
      </c>
      <c r="D13" s="313"/>
      <c r="E13" s="317"/>
      <c r="F13" s="315"/>
      <c r="G13" s="321"/>
      <c r="H13" s="322"/>
      <c r="I13" s="322"/>
      <c r="J13" s="322"/>
      <c r="K13" s="322"/>
      <c r="L13" s="322"/>
      <c r="M13" s="316"/>
    </row>
    <row r="14" spans="1:13" x14ac:dyDescent="0.25">
      <c r="B14" s="303">
        <f t="shared" si="0"/>
        <v>8</v>
      </c>
      <c r="D14" s="313" t="s">
        <v>95</v>
      </c>
      <c r="E14" s="314" t="s">
        <v>93</v>
      </c>
      <c r="F14" s="315">
        <f t="shared" ref="F14:F17" si="3">SUM(G14:M14)</f>
        <v>714940068.40642238</v>
      </c>
      <c r="G14" s="398">
        <v>416959240.84287125</v>
      </c>
      <c r="H14" s="397">
        <v>150005665.8101829</v>
      </c>
      <c r="I14" s="397">
        <v>46624345.978723206</v>
      </c>
      <c r="J14" s="397">
        <v>40387167.118164286</v>
      </c>
      <c r="K14" s="397">
        <v>6041409.6491122711</v>
      </c>
      <c r="L14" s="397">
        <v>54922239.007368609</v>
      </c>
      <c r="M14" s="316">
        <v>0</v>
      </c>
    </row>
    <row r="15" spans="1:13" x14ac:dyDescent="0.25">
      <c r="B15" s="303">
        <f t="shared" si="0"/>
        <v>9</v>
      </c>
      <c r="D15" s="313" t="s">
        <v>22</v>
      </c>
      <c r="E15" s="317"/>
      <c r="F15" s="315"/>
      <c r="G15" s="318">
        <f t="shared" ref="G15:M15" si="4">G14/$F14</f>
        <v>0.5832086621921464</v>
      </c>
      <c r="H15" s="319">
        <f t="shared" si="4"/>
        <v>0.20981572084012656</v>
      </c>
      <c r="I15" s="319">
        <f t="shared" si="4"/>
        <v>6.5214341787623295E-2</v>
      </c>
      <c r="J15" s="319">
        <f t="shared" si="4"/>
        <v>5.6490283455767051E-2</v>
      </c>
      <c r="K15" s="319">
        <f t="shared" si="4"/>
        <v>8.4502322867123277E-3</v>
      </c>
      <c r="L15" s="319">
        <f t="shared" si="4"/>
        <v>7.682075943762455E-2</v>
      </c>
      <c r="M15" s="320">
        <f t="shared" si="4"/>
        <v>0</v>
      </c>
    </row>
    <row r="16" spans="1:13" x14ac:dyDescent="0.25">
      <c r="B16" s="303">
        <f t="shared" si="0"/>
        <v>10</v>
      </c>
      <c r="D16" s="313"/>
      <c r="E16" s="317"/>
      <c r="F16" s="315"/>
      <c r="G16" s="321"/>
      <c r="H16" s="322"/>
      <c r="I16" s="322"/>
      <c r="J16" s="322"/>
      <c r="K16" s="322"/>
      <c r="L16" s="322"/>
      <c r="M16" s="316"/>
    </row>
    <row r="17" spans="2:14" x14ac:dyDescent="0.25">
      <c r="B17" s="303">
        <f t="shared" si="0"/>
        <v>11</v>
      </c>
      <c r="D17" s="313" t="s">
        <v>96</v>
      </c>
      <c r="E17" s="314" t="s">
        <v>93</v>
      </c>
      <c r="F17" s="315">
        <f t="shared" si="3"/>
        <v>630894514.61931407</v>
      </c>
      <c r="G17" s="398">
        <v>416959240.84287125</v>
      </c>
      <c r="H17" s="397">
        <v>149984387.15726954</v>
      </c>
      <c r="I17" s="397">
        <v>37219825.256529301</v>
      </c>
      <c r="J17" s="397">
        <v>8244527.6517143622</v>
      </c>
      <c r="K17" s="397">
        <v>5842124.407445604</v>
      </c>
      <c r="L17" s="397">
        <v>12644409.30348403</v>
      </c>
      <c r="M17" s="316"/>
    </row>
    <row r="18" spans="2:14" x14ac:dyDescent="0.25">
      <c r="B18" s="303">
        <f t="shared" si="0"/>
        <v>12</v>
      </c>
      <c r="D18" s="313" t="s">
        <v>22</v>
      </c>
      <c r="E18" s="317"/>
      <c r="F18" s="315"/>
      <c r="G18" s="318">
        <f t="shared" ref="G18:M18" si="5">G17/$F17</f>
        <v>0.66090167402147604</v>
      </c>
      <c r="H18" s="319">
        <f t="shared" si="5"/>
        <v>0.23773290729555813</v>
      </c>
      <c r="I18" s="319">
        <f t="shared" si="5"/>
        <v>5.8995322346379872E-2</v>
      </c>
      <c r="J18" s="319">
        <f t="shared" si="5"/>
        <v>1.306799704335544E-2</v>
      </c>
      <c r="K18" s="319">
        <f t="shared" si="5"/>
        <v>9.2600653073846746E-3</v>
      </c>
      <c r="L18" s="319">
        <f t="shared" si="5"/>
        <v>2.0042033985845874E-2</v>
      </c>
      <c r="M18" s="320">
        <f t="shared" si="5"/>
        <v>0</v>
      </c>
    </row>
    <row r="19" spans="2:14" x14ac:dyDescent="0.25">
      <c r="B19" s="303">
        <f t="shared" si="0"/>
        <v>13</v>
      </c>
      <c r="D19" s="313"/>
      <c r="E19" s="317"/>
      <c r="F19" s="315"/>
      <c r="G19" s="321"/>
      <c r="H19" s="322"/>
      <c r="I19" s="322"/>
      <c r="J19" s="322"/>
      <c r="K19" s="322"/>
      <c r="L19" s="322"/>
      <c r="M19" s="316"/>
    </row>
    <row r="20" spans="2:14" x14ac:dyDescent="0.25">
      <c r="B20" s="303">
        <f t="shared" si="0"/>
        <v>14</v>
      </c>
      <c r="D20" s="313" t="s">
        <v>97</v>
      </c>
      <c r="E20" s="314" t="s">
        <v>93</v>
      </c>
      <c r="F20" s="315">
        <f>SUM(G20:M20)</f>
        <v>9901108</v>
      </c>
      <c r="G20" s="397">
        <v>7067584.6358423801</v>
      </c>
      <c r="H20" s="397">
        <v>2519090.6701576198</v>
      </c>
      <c r="I20" s="397">
        <v>301358.96499999997</v>
      </c>
      <c r="J20" s="397">
        <v>6781.239999999998</v>
      </c>
      <c r="K20" s="397">
        <v>6292.4889999999996</v>
      </c>
      <c r="L20" s="397">
        <v>0</v>
      </c>
      <c r="M20" s="316"/>
    </row>
    <row r="21" spans="2:14" x14ac:dyDescent="0.25">
      <c r="B21" s="303">
        <f t="shared" si="0"/>
        <v>15</v>
      </c>
      <c r="D21" s="323" t="s">
        <v>22</v>
      </c>
      <c r="E21" s="324"/>
      <c r="F21" s="325"/>
      <c r="G21" s="326">
        <f t="shared" ref="G21:M21" si="6">G20/$F20</f>
        <v>0.71381754808071785</v>
      </c>
      <c r="H21" s="327">
        <f t="shared" si="6"/>
        <v>0.25442512799149547</v>
      </c>
      <c r="I21" s="327">
        <f t="shared" si="6"/>
        <v>3.0436893022477884E-2</v>
      </c>
      <c r="J21" s="327">
        <f t="shared" si="6"/>
        <v>6.8489708424552057E-4</v>
      </c>
      <c r="K21" s="327">
        <f t="shared" si="6"/>
        <v>6.355338210632587E-4</v>
      </c>
      <c r="L21" s="327">
        <f t="shared" si="6"/>
        <v>0</v>
      </c>
      <c r="M21" s="328">
        <f t="shared" si="6"/>
        <v>0</v>
      </c>
    </row>
    <row r="22" spans="2:14" x14ac:dyDescent="0.25">
      <c r="G22" s="329"/>
      <c r="H22" s="329"/>
      <c r="I22" s="329"/>
      <c r="J22" s="329"/>
      <c r="K22" s="329"/>
      <c r="L22" s="329"/>
      <c r="M22" s="329"/>
      <c r="N22" s="329"/>
    </row>
    <row r="23" spans="2:14" x14ac:dyDescent="0.25">
      <c r="B23" s="303">
        <f>B21+1</f>
        <v>16</v>
      </c>
      <c r="D23" s="330" t="s">
        <v>98</v>
      </c>
    </row>
    <row r="24" spans="2:14" x14ac:dyDescent="0.25">
      <c r="B24" s="303">
        <f>B23+1</f>
        <v>17</v>
      </c>
      <c r="D24" s="331" t="s">
        <v>18</v>
      </c>
      <c r="E24" s="331" t="s">
        <v>99</v>
      </c>
      <c r="F24" s="309" t="s">
        <v>5</v>
      </c>
      <c r="G24" s="332" t="s">
        <v>94</v>
      </c>
      <c r="H24" s="332" t="s">
        <v>100</v>
      </c>
      <c r="I24" s="332" t="s">
        <v>101</v>
      </c>
      <c r="J24" s="333" t="s">
        <v>102</v>
      </c>
    </row>
    <row r="25" spans="2:14" x14ac:dyDescent="0.25">
      <c r="B25" s="303">
        <f t="shared" ref="B25:B29" si="7">B24+1</f>
        <v>18</v>
      </c>
      <c r="D25" s="334" t="s">
        <v>103</v>
      </c>
      <c r="E25" s="334" t="s">
        <v>104</v>
      </c>
      <c r="F25" s="335">
        <f>SUM(G25:J25)</f>
        <v>1</v>
      </c>
      <c r="G25" s="336">
        <v>0.2822600508093141</v>
      </c>
      <c r="H25" s="336">
        <v>0.39769589905210218</v>
      </c>
      <c r="I25" s="336">
        <v>0.32004405013858367</v>
      </c>
      <c r="J25" s="337">
        <f>1-SUM(G25:I25)</f>
        <v>0</v>
      </c>
    </row>
    <row r="26" spans="2:14" x14ac:dyDescent="0.25">
      <c r="B26" s="303">
        <f t="shared" si="7"/>
        <v>19</v>
      </c>
      <c r="D26" s="338" t="s">
        <v>105</v>
      </c>
      <c r="E26" s="338" t="s">
        <v>106</v>
      </c>
      <c r="F26" s="339">
        <f t="shared" ref="F26:F29" si="8">SUM(G26:J26)</f>
        <v>1</v>
      </c>
      <c r="G26" s="340"/>
      <c r="H26" s="341">
        <v>0.11076705406115377</v>
      </c>
      <c r="I26" s="341">
        <v>0.6792329459388462</v>
      </c>
      <c r="J26" s="342">
        <f t="shared" ref="J26" si="9">1-SUM(G26:I26)</f>
        <v>0.21000000000000008</v>
      </c>
    </row>
    <row r="27" spans="2:14" x14ac:dyDescent="0.25">
      <c r="B27" s="303">
        <f t="shared" si="7"/>
        <v>20</v>
      </c>
      <c r="D27" s="338" t="s">
        <v>107</v>
      </c>
      <c r="E27" s="338" t="s">
        <v>108</v>
      </c>
      <c r="F27" s="339">
        <f t="shared" si="8"/>
        <v>1</v>
      </c>
      <c r="G27" s="340"/>
      <c r="H27" s="341">
        <v>0.11076705406115377</v>
      </c>
      <c r="I27" s="341">
        <v>0.6792329459388462</v>
      </c>
      <c r="J27" s="342">
        <f t="shared" ref="J27:J29" si="10">1-SUM(G27:I27)</f>
        <v>0.21000000000000008</v>
      </c>
    </row>
    <row r="28" spans="2:14" x14ac:dyDescent="0.25">
      <c r="B28" s="303">
        <f t="shared" si="7"/>
        <v>21</v>
      </c>
      <c r="D28" s="338" t="s">
        <v>109</v>
      </c>
      <c r="E28" s="338" t="s">
        <v>110</v>
      </c>
      <c r="F28" s="339">
        <f t="shared" si="8"/>
        <v>1</v>
      </c>
      <c r="G28" s="340"/>
      <c r="H28" s="340"/>
      <c r="I28" s="343">
        <v>1</v>
      </c>
      <c r="J28" s="342">
        <f t="shared" si="10"/>
        <v>0</v>
      </c>
    </row>
    <row r="29" spans="2:14" x14ac:dyDescent="0.25">
      <c r="B29" s="303">
        <f t="shared" si="7"/>
        <v>22</v>
      </c>
      <c r="D29" s="344" t="s">
        <v>111</v>
      </c>
      <c r="E29" s="344" t="s">
        <v>112</v>
      </c>
      <c r="F29" s="345">
        <f t="shared" si="8"/>
        <v>1</v>
      </c>
      <c r="G29" s="346"/>
      <c r="H29" s="347">
        <v>1</v>
      </c>
      <c r="I29" s="347"/>
      <c r="J29" s="348">
        <f t="shared" si="10"/>
        <v>0</v>
      </c>
    </row>
    <row r="30" spans="2:14" x14ac:dyDescent="0.25">
      <c r="D30" s="340"/>
      <c r="E30" s="340"/>
      <c r="F30" s="341"/>
      <c r="G30" s="340"/>
      <c r="H30" s="340"/>
      <c r="I30" s="340"/>
      <c r="J30" s="340"/>
    </row>
    <row r="31" spans="2:14" x14ac:dyDescent="0.25">
      <c r="B31" s="303">
        <f>B29+1</f>
        <v>23</v>
      </c>
      <c r="D31" s="349" t="s">
        <v>113</v>
      </c>
      <c r="E31" s="340"/>
    </row>
    <row r="32" spans="2:14" x14ac:dyDescent="0.25">
      <c r="B32" s="303">
        <f>B31+1</f>
        <v>24</v>
      </c>
      <c r="D32" s="331" t="s">
        <v>18</v>
      </c>
      <c r="E32" s="331" t="s">
        <v>99</v>
      </c>
      <c r="F32" s="309" t="s">
        <v>5</v>
      </c>
      <c r="G32" s="350" t="s">
        <v>94</v>
      </c>
      <c r="H32" s="350" t="s">
        <v>100</v>
      </c>
      <c r="I32" s="350" t="s">
        <v>101</v>
      </c>
      <c r="J32" s="351" t="s">
        <v>102</v>
      </c>
    </row>
    <row r="33" spans="2:13" x14ac:dyDescent="0.25">
      <c r="B33" s="303">
        <f t="shared" ref="B33:B38" si="11">B32+1</f>
        <v>25</v>
      </c>
      <c r="D33" s="317" t="s">
        <v>103</v>
      </c>
      <c r="E33" s="317" t="s">
        <v>104</v>
      </c>
      <c r="F33" s="396">
        <v>107113626.63890575</v>
      </c>
      <c r="G33" s="352">
        <f>$F33*G25</f>
        <v>30233897.697467435</v>
      </c>
      <c r="H33" s="352">
        <f t="shared" ref="H33:J33" si="12">$F33*H25</f>
        <v>42598650.046890825</v>
      </c>
      <c r="I33" s="352">
        <f t="shared" si="12"/>
        <v>34281078.894547485</v>
      </c>
      <c r="J33" s="353">
        <f t="shared" si="12"/>
        <v>0</v>
      </c>
    </row>
    <row r="34" spans="2:13" x14ac:dyDescent="0.25">
      <c r="B34" s="303">
        <f t="shared" si="11"/>
        <v>26</v>
      </c>
      <c r="D34" s="338" t="s">
        <v>105</v>
      </c>
      <c r="E34" s="338" t="s">
        <v>106</v>
      </c>
      <c r="F34" s="396">
        <v>6884113.6725660004</v>
      </c>
      <c r="G34" s="354">
        <f t="shared" ref="G34:J37" si="13">$F34*G26</f>
        <v>0</v>
      </c>
      <c r="H34" s="354">
        <f t="shared" si="13"/>
        <v>762532.99133224599</v>
      </c>
      <c r="I34" s="354">
        <f t="shared" si="13"/>
        <v>4675916.8099948941</v>
      </c>
      <c r="J34" s="355">
        <f>$F34*J26</f>
        <v>1445663.8712388605</v>
      </c>
    </row>
    <row r="35" spans="2:13" x14ac:dyDescent="0.25">
      <c r="B35" s="303">
        <f t="shared" si="11"/>
        <v>27</v>
      </c>
      <c r="D35" s="338" t="s">
        <v>107</v>
      </c>
      <c r="E35" s="338" t="s">
        <v>108</v>
      </c>
      <c r="F35" s="396">
        <v>521597.32605000003</v>
      </c>
      <c r="G35" s="354">
        <f t="shared" si="13"/>
        <v>0</v>
      </c>
      <c r="H35" s="354">
        <f>$F35*H27</f>
        <v>57775.799212733604</v>
      </c>
      <c r="I35" s="354">
        <f t="shared" si="13"/>
        <v>354286.0883667664</v>
      </c>
      <c r="J35" s="355">
        <f>$F35*J27</f>
        <v>109535.43847050004</v>
      </c>
    </row>
    <row r="36" spans="2:13" x14ac:dyDescent="0.25">
      <c r="B36" s="303">
        <f t="shared" si="11"/>
        <v>28</v>
      </c>
      <c r="D36" s="338" t="s">
        <v>109</v>
      </c>
      <c r="E36" s="338" t="s">
        <v>110</v>
      </c>
      <c r="F36" s="396">
        <v>1389343.687039</v>
      </c>
      <c r="G36" s="354">
        <f t="shared" si="13"/>
        <v>0</v>
      </c>
      <c r="H36" s="354">
        <f t="shared" si="13"/>
        <v>0</v>
      </c>
      <c r="I36" s="354">
        <f t="shared" si="13"/>
        <v>1389343.687039</v>
      </c>
      <c r="J36" s="355">
        <f>$F36*J28</f>
        <v>0</v>
      </c>
    </row>
    <row r="37" spans="2:13" x14ac:dyDescent="0.25">
      <c r="B37" s="303">
        <f t="shared" si="11"/>
        <v>29</v>
      </c>
      <c r="D37" s="344" t="s">
        <v>114</v>
      </c>
      <c r="E37" s="344" t="s">
        <v>112</v>
      </c>
      <c r="F37" s="396">
        <v>6371973.0993599985</v>
      </c>
      <c r="G37" s="354">
        <f t="shared" si="13"/>
        <v>0</v>
      </c>
      <c r="H37" s="354">
        <f t="shared" si="13"/>
        <v>6371973.0993599985</v>
      </c>
      <c r="I37" s="354">
        <f t="shared" si="13"/>
        <v>0</v>
      </c>
      <c r="J37" s="355">
        <f t="shared" si="13"/>
        <v>0</v>
      </c>
    </row>
    <row r="38" spans="2:13" x14ac:dyDescent="0.25">
      <c r="B38" s="303">
        <f t="shared" si="11"/>
        <v>30</v>
      </c>
      <c r="D38" s="356" t="s">
        <v>5</v>
      </c>
      <c r="E38" s="356"/>
      <c r="F38" s="357">
        <f>SUM(F33:F37)</f>
        <v>122280654.42392075</v>
      </c>
      <c r="G38" s="358">
        <f>SUM(G33:G37)</f>
        <v>30233897.697467435</v>
      </c>
      <c r="H38" s="358">
        <f t="shared" ref="H38:J38" si="14">SUM(H33:H37)</f>
        <v>49790931.936795801</v>
      </c>
      <c r="I38" s="358">
        <f t="shared" si="14"/>
        <v>40700625.479948148</v>
      </c>
      <c r="J38" s="359">
        <f t="shared" si="14"/>
        <v>1555199.3097093606</v>
      </c>
    </row>
    <row r="39" spans="2:13" x14ac:dyDescent="0.25">
      <c r="D39" s="340"/>
      <c r="E39" s="340"/>
    </row>
    <row r="40" spans="2:13" ht="45" x14ac:dyDescent="0.25">
      <c r="B40" s="303">
        <f>B38+1</f>
        <v>31</v>
      </c>
      <c r="D40" s="360" t="s">
        <v>18</v>
      </c>
      <c r="E40" s="361"/>
      <c r="F40" s="309" t="s">
        <v>5</v>
      </c>
      <c r="G40" s="310" t="s">
        <v>85</v>
      </c>
      <c r="H40" s="311" t="s">
        <v>86</v>
      </c>
      <c r="I40" s="311" t="s">
        <v>87</v>
      </c>
      <c r="J40" s="311" t="s">
        <v>88</v>
      </c>
      <c r="K40" s="311" t="s">
        <v>89</v>
      </c>
      <c r="L40" s="311" t="s">
        <v>90</v>
      </c>
      <c r="M40" s="312" t="s">
        <v>91</v>
      </c>
    </row>
    <row r="41" spans="2:13" x14ac:dyDescent="0.25">
      <c r="B41" s="303">
        <f>B40+1</f>
        <v>32</v>
      </c>
      <c r="D41" s="313"/>
      <c r="E41" s="340"/>
      <c r="F41" s="317"/>
      <c r="G41" s="340"/>
      <c r="H41" s="340"/>
      <c r="I41" s="340"/>
      <c r="J41" s="340"/>
      <c r="K41" s="340"/>
      <c r="L41" s="340"/>
      <c r="M41" s="362"/>
    </row>
    <row r="42" spans="2:13" x14ac:dyDescent="0.25">
      <c r="B42" s="303">
        <f t="shared" ref="B42:B47" si="15">B41+1</f>
        <v>33</v>
      </c>
      <c r="D42" s="313" t="s">
        <v>94</v>
      </c>
      <c r="E42" s="340"/>
      <c r="F42" s="363">
        <f>G38</f>
        <v>30233897.697467435</v>
      </c>
      <c r="G42" s="364">
        <f>$F42*G12</f>
        <v>19224728.508449234</v>
      </c>
      <c r="H42" s="364">
        <f t="shared" ref="H42:M42" si="16">$F42*H12</f>
        <v>7388139.6388318073</v>
      </c>
      <c r="I42" s="364">
        <f t="shared" si="16"/>
        <v>2077432.6910115157</v>
      </c>
      <c r="J42" s="364">
        <f t="shared" si="16"/>
        <v>510689.23780630744</v>
      </c>
      <c r="K42" s="364">
        <f t="shared" si="16"/>
        <v>296522.51197279949</v>
      </c>
      <c r="L42" s="364">
        <f t="shared" si="16"/>
        <v>736385.10939577187</v>
      </c>
      <c r="M42" s="365">
        <f t="shared" si="16"/>
        <v>0</v>
      </c>
    </row>
    <row r="43" spans="2:13" x14ac:dyDescent="0.25">
      <c r="B43" s="303">
        <f t="shared" si="15"/>
        <v>34</v>
      </c>
      <c r="D43" s="313" t="s">
        <v>100</v>
      </c>
      <c r="E43" s="340"/>
      <c r="F43" s="363">
        <f>H38</f>
        <v>49790931.936795801</v>
      </c>
      <c r="G43" s="364">
        <f t="shared" ref="G43:M43" si="17">$F43*G18</f>
        <v>32906910.268117718</v>
      </c>
      <c r="H43" s="364">
        <f t="shared" si="17"/>
        <v>11836943.006289721</v>
      </c>
      <c r="I43" s="364">
        <f t="shared" si="17"/>
        <v>2937432.0795379286</v>
      </c>
      <c r="J43" s="364">
        <f t="shared" si="17"/>
        <v>650667.75133595953</v>
      </c>
      <c r="K43" s="364">
        <f t="shared" si="17"/>
        <v>461067.2814502744</v>
      </c>
      <c r="L43" s="364">
        <f t="shared" si="17"/>
        <v>997911.55006420019</v>
      </c>
      <c r="M43" s="365">
        <f t="shared" si="17"/>
        <v>0</v>
      </c>
    </row>
    <row r="44" spans="2:13" x14ac:dyDescent="0.25">
      <c r="B44" s="303">
        <f t="shared" si="15"/>
        <v>35</v>
      </c>
      <c r="D44" s="313" t="s">
        <v>101</v>
      </c>
      <c r="E44" s="340"/>
      <c r="F44" s="363">
        <f>I38</f>
        <v>40700625.479948148</v>
      </c>
      <c r="G44" s="364">
        <f t="shared" ref="G44:M44" si="18">$F44*G21</f>
        <v>29052820.685448177</v>
      </c>
      <c r="H44" s="364">
        <f t="shared" si="18"/>
        <v>10355261.847069729</v>
      </c>
      <c r="I44" s="364">
        <f t="shared" si="18"/>
        <v>1238800.5836811194</v>
      </c>
      <c r="J44" s="364">
        <f t="shared" si="18"/>
        <v>27875.739718185429</v>
      </c>
      <c r="K44" s="364">
        <f t="shared" si="18"/>
        <v>25866.624030936073</v>
      </c>
      <c r="L44" s="364">
        <f t="shared" si="18"/>
        <v>0</v>
      </c>
      <c r="M44" s="365">
        <f t="shared" si="18"/>
        <v>0</v>
      </c>
    </row>
    <row r="45" spans="2:13" x14ac:dyDescent="0.25">
      <c r="B45" s="303">
        <f t="shared" si="15"/>
        <v>36</v>
      </c>
      <c r="D45" s="313" t="s">
        <v>102</v>
      </c>
      <c r="E45" s="340"/>
      <c r="F45" s="363">
        <f>J38</f>
        <v>1555199.3097093606</v>
      </c>
      <c r="G45" s="364">
        <f t="shared" ref="G45:L45" si="19">$F45*G9</f>
        <v>820895.75775700912</v>
      </c>
      <c r="H45" s="364">
        <f t="shared" si="19"/>
        <v>315522.49544064054</v>
      </c>
      <c r="I45" s="364">
        <f t="shared" si="19"/>
        <v>116317.1234398747</v>
      </c>
      <c r="J45" s="364">
        <f t="shared" si="19"/>
        <v>122554.07285481473</v>
      </c>
      <c r="K45" s="364">
        <f t="shared" si="19"/>
        <v>13134.824189659188</v>
      </c>
      <c r="L45" s="364">
        <f t="shared" si="19"/>
        <v>166775.03602736242</v>
      </c>
      <c r="M45" s="365">
        <f>$F45*M9</f>
        <v>0</v>
      </c>
    </row>
    <row r="46" spans="2:13" x14ac:dyDescent="0.25">
      <c r="B46" s="303">
        <f t="shared" si="15"/>
        <v>37</v>
      </c>
      <c r="D46" s="313"/>
      <c r="E46" s="340"/>
      <c r="F46" s="363"/>
      <c r="G46" s="364"/>
      <c r="H46" s="364"/>
      <c r="I46" s="364"/>
      <c r="J46" s="364"/>
      <c r="K46" s="364"/>
      <c r="L46" s="364"/>
      <c r="M46" s="365"/>
    </row>
    <row r="47" spans="2:13" x14ac:dyDescent="0.25">
      <c r="B47" s="303">
        <f t="shared" si="15"/>
        <v>38</v>
      </c>
      <c r="D47" s="366" t="s">
        <v>5</v>
      </c>
      <c r="E47" s="367"/>
      <c r="F47" s="368">
        <f>SUM(F42:F45)</f>
        <v>122280654.42392074</v>
      </c>
      <c r="G47" s="369">
        <f t="shared" ref="G47:M47" si="20">SUM(G42:G45)</f>
        <v>82005355.21977213</v>
      </c>
      <c r="H47" s="369">
        <f t="shared" si="20"/>
        <v>29895866.987631898</v>
      </c>
      <c r="I47" s="369">
        <f t="shared" si="20"/>
        <v>6369982.4776704386</v>
      </c>
      <c r="J47" s="369">
        <f t="shared" si="20"/>
        <v>1311786.8017152674</v>
      </c>
      <c r="K47" s="369">
        <f t="shared" si="20"/>
        <v>796591.24164366908</v>
      </c>
      <c r="L47" s="369">
        <f t="shared" si="20"/>
        <v>1901071.6954873344</v>
      </c>
      <c r="M47" s="370">
        <f t="shared" si="20"/>
        <v>0</v>
      </c>
    </row>
    <row r="48" spans="2:13" x14ac:dyDescent="0.25">
      <c r="D48" s="371"/>
      <c r="E48" s="340"/>
      <c r="F48" s="372"/>
      <c r="G48" s="372"/>
      <c r="H48" s="372"/>
      <c r="I48" s="372"/>
      <c r="J48" s="372"/>
      <c r="K48" s="372"/>
      <c r="L48" s="372"/>
      <c r="M48" s="372"/>
    </row>
    <row r="49" spans="2:13" x14ac:dyDescent="0.25">
      <c r="B49" s="303">
        <f>B47+1</f>
        <v>39</v>
      </c>
      <c r="D49" s="366" t="s">
        <v>94</v>
      </c>
      <c r="E49" s="367"/>
      <c r="F49" s="373">
        <f>SUM(G49:M49)</f>
        <v>958153193.17249894</v>
      </c>
      <c r="G49" s="373">
        <f>G11</f>
        <v>609257701.15931797</v>
      </c>
      <c r="H49" s="373">
        <f t="shared" ref="H49:M49" si="21">H11</f>
        <v>234140158.08963937</v>
      </c>
      <c r="I49" s="373">
        <f t="shared" si="21"/>
        <v>65836657.463465482</v>
      </c>
      <c r="J49" s="373">
        <f t="shared" si="21"/>
        <v>16184434.068649085</v>
      </c>
      <c r="K49" s="373">
        <f t="shared" si="21"/>
        <v>9397200.2729263529</v>
      </c>
      <c r="L49" s="373">
        <f t="shared" si="21"/>
        <v>23337042.118500698</v>
      </c>
      <c r="M49" s="374">
        <f t="shared" si="21"/>
        <v>0</v>
      </c>
    </row>
    <row r="50" spans="2:13" x14ac:dyDescent="0.25">
      <c r="D50" s="375"/>
      <c r="E50" s="340"/>
      <c r="F50" s="372"/>
      <c r="G50" s="372"/>
      <c r="H50" s="372"/>
      <c r="I50" s="372"/>
      <c r="J50" s="372"/>
      <c r="K50" s="372"/>
      <c r="L50" s="372"/>
      <c r="M50" s="372"/>
    </row>
    <row r="51" spans="2:13" x14ac:dyDescent="0.25">
      <c r="B51" s="303">
        <f>B49+1</f>
        <v>40</v>
      </c>
      <c r="D51" s="376" t="s">
        <v>115</v>
      </c>
      <c r="E51" s="340"/>
      <c r="F51" s="372"/>
      <c r="G51" s="372"/>
      <c r="H51" s="372"/>
      <c r="I51" s="372"/>
      <c r="J51" s="372"/>
      <c r="K51" s="372"/>
      <c r="L51" s="372"/>
      <c r="M51" s="372"/>
    </row>
    <row r="52" spans="2:13" x14ac:dyDescent="0.25">
      <c r="B52" s="303">
        <f>B51+1</f>
        <v>41</v>
      </c>
      <c r="D52" s="377" t="s">
        <v>116</v>
      </c>
      <c r="E52" s="378"/>
      <c r="F52" s="379"/>
      <c r="G52" s="380">
        <f>ROUND(SUM(G42:G44)/G49,5)</f>
        <v>0.13325000000000001</v>
      </c>
      <c r="H52" s="380">
        <f>ROUND(SUM(H42:H44)/H49,5)</f>
        <v>0.12634000000000001</v>
      </c>
      <c r="I52" s="380">
        <f t="shared" ref="I52:J52" si="22">ROUND(SUM(I42:I44)/I49,5)</f>
        <v>9.4990000000000005E-2</v>
      </c>
      <c r="J52" s="380">
        <f t="shared" si="22"/>
        <v>7.3480000000000004E-2</v>
      </c>
      <c r="K52" s="380">
        <f>ROUND(SUM(K42:K44)/K49,5)</f>
        <v>8.337E-2</v>
      </c>
      <c r="L52" s="380">
        <f>ROUND(SUM(L42:L44)/L49,5)</f>
        <v>7.4319999999999997E-2</v>
      </c>
      <c r="M52" s="381"/>
    </row>
    <row r="53" spans="2:13" x14ac:dyDescent="0.25">
      <c r="B53" s="303">
        <f t="shared" ref="B53:B54" si="23">B52+1</f>
        <v>42</v>
      </c>
      <c r="D53" s="382" t="s">
        <v>117</v>
      </c>
      <c r="E53" s="340"/>
      <c r="F53" s="383"/>
      <c r="G53" s="384">
        <f>ROUND($F$45/$F$8,5)</f>
        <v>1.3500000000000001E-3</v>
      </c>
      <c r="H53" s="384">
        <f t="shared" ref="H53:L53" si="24">ROUND($F$45/$F$8,5)</f>
        <v>1.3500000000000001E-3</v>
      </c>
      <c r="I53" s="384">
        <f t="shared" si="24"/>
        <v>1.3500000000000001E-3</v>
      </c>
      <c r="J53" s="384">
        <f t="shared" si="24"/>
        <v>1.3500000000000001E-3</v>
      </c>
      <c r="K53" s="384">
        <f t="shared" si="24"/>
        <v>1.3500000000000001E-3</v>
      </c>
      <c r="L53" s="384">
        <f t="shared" si="24"/>
        <v>1.3500000000000001E-3</v>
      </c>
      <c r="M53" s="385"/>
    </row>
    <row r="54" spans="2:13" x14ac:dyDescent="0.25">
      <c r="B54" s="303">
        <f t="shared" si="23"/>
        <v>43</v>
      </c>
      <c r="D54" s="366" t="s">
        <v>5</v>
      </c>
      <c r="E54" s="367"/>
      <c r="F54" s="386"/>
      <c r="G54" s="387">
        <f>SUM(G52:G53)</f>
        <v>0.1346</v>
      </c>
      <c r="H54" s="387">
        <f t="shared" ref="H54:M54" si="25">SUM(H52:H53)</f>
        <v>0.12769</v>
      </c>
      <c r="I54" s="387">
        <f t="shared" si="25"/>
        <v>9.6340000000000009E-2</v>
      </c>
      <c r="J54" s="387">
        <f t="shared" si="25"/>
        <v>7.4830000000000008E-2</v>
      </c>
      <c r="K54" s="387">
        <f t="shared" si="25"/>
        <v>8.4720000000000004E-2</v>
      </c>
      <c r="L54" s="387">
        <f t="shared" si="25"/>
        <v>7.5670000000000001E-2</v>
      </c>
      <c r="M54" s="388">
        <f t="shared" si="25"/>
        <v>0</v>
      </c>
    </row>
    <row r="55" spans="2:13" x14ac:dyDescent="0.25">
      <c r="D55" s="340"/>
      <c r="E55" s="340"/>
    </row>
    <row r="56" spans="2:13" x14ac:dyDescent="0.25">
      <c r="E56" s="340"/>
    </row>
    <row r="57" spans="2:13" x14ac:dyDescent="0.25">
      <c r="D57" s="300" t="s">
        <v>298</v>
      </c>
      <c r="E57" s="340"/>
    </row>
    <row r="58" spans="2:13" x14ac:dyDescent="0.25">
      <c r="D58" s="340"/>
      <c r="E58" s="340"/>
    </row>
    <row r="59" spans="2:13" x14ac:dyDescent="0.25">
      <c r="D59" s="340"/>
      <c r="E59" s="340"/>
    </row>
    <row r="60" spans="2:13" x14ac:dyDescent="0.25">
      <c r="D60" s="340"/>
      <c r="E60" s="340"/>
    </row>
    <row r="61" spans="2:13" x14ac:dyDescent="0.25">
      <c r="D61" s="340"/>
      <c r="E61" s="340"/>
    </row>
    <row r="62" spans="2:13" x14ac:dyDescent="0.25">
      <c r="D62" s="340"/>
      <c r="E62" s="340"/>
    </row>
    <row r="63" spans="2:13" x14ac:dyDescent="0.25">
      <c r="D63" s="340"/>
      <c r="E63" s="340"/>
    </row>
  </sheetData>
  <printOptions horizontalCentered="1"/>
  <pageMargins left="0.5" right="0.5" top="0.75" bottom="0.75" header="0.5" footer="0.3"/>
  <pageSetup scale="57" orientation="landscape" r:id="rId1"/>
  <headerFooter>
    <oddHeader xml:space="preserve">&amp;R
</oddHeader>
    <oddFooter>&amp;L&amp;F
&amp;A&amp;RPage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90" zoomScaleNormal="90" workbookViewId="0">
      <selection activeCell="A24" sqref="A24"/>
    </sheetView>
  </sheetViews>
  <sheetFormatPr defaultColWidth="9.140625" defaultRowHeight="12.75" x14ac:dyDescent="0.2"/>
  <cols>
    <col min="1" max="1" width="6" style="32" customWidth="1"/>
    <col min="2" max="2" width="64.7109375" style="32" customWidth="1"/>
    <col min="3" max="3" width="3.42578125" style="32" customWidth="1"/>
    <col min="4" max="4" width="8.140625" style="32" customWidth="1"/>
    <col min="5" max="5" width="12" style="32" customWidth="1"/>
    <col min="6" max="16384" width="9.140625" style="32"/>
  </cols>
  <sheetData>
    <row r="1" spans="1:9" x14ac:dyDescent="0.2">
      <c r="E1" s="33"/>
    </row>
    <row r="2" spans="1:9" x14ac:dyDescent="0.2">
      <c r="A2" s="36"/>
      <c r="B2" s="34"/>
      <c r="C2" s="34"/>
      <c r="D2" s="34"/>
      <c r="E2" s="37"/>
    </row>
    <row r="3" spans="1:9" x14ac:dyDescent="0.2">
      <c r="A3" s="36"/>
      <c r="B3" s="36"/>
      <c r="C3" s="36"/>
      <c r="D3" s="36"/>
      <c r="E3" s="37"/>
    </row>
    <row r="4" spans="1:9" x14ac:dyDescent="0.2">
      <c r="A4" s="36"/>
      <c r="B4" s="36"/>
      <c r="C4" s="36"/>
      <c r="D4" s="36"/>
      <c r="E4" s="37"/>
    </row>
    <row r="5" spans="1:9" x14ac:dyDescent="0.2">
      <c r="B5" s="429" t="s">
        <v>234</v>
      </c>
      <c r="C5" s="429"/>
      <c r="D5" s="429"/>
      <c r="E5" s="429"/>
      <c r="F5" s="34"/>
      <c r="G5" s="34"/>
      <c r="H5" s="34"/>
      <c r="I5" s="34"/>
    </row>
    <row r="6" spans="1:9" x14ac:dyDescent="0.2">
      <c r="A6" s="38"/>
      <c r="B6" s="430" t="s">
        <v>244</v>
      </c>
      <c r="C6" s="430"/>
      <c r="D6" s="430"/>
      <c r="E6" s="430"/>
      <c r="F6" s="34"/>
      <c r="G6" s="34"/>
      <c r="H6" s="34"/>
      <c r="I6" s="34"/>
    </row>
    <row r="7" spans="1:9" x14ac:dyDescent="0.2">
      <c r="A7" s="39"/>
      <c r="B7" s="431" t="s">
        <v>245</v>
      </c>
      <c r="C7" s="431"/>
      <c r="D7" s="431"/>
      <c r="E7" s="431"/>
      <c r="F7" s="34"/>
      <c r="G7" s="34"/>
      <c r="H7" s="34"/>
      <c r="I7" s="34"/>
    </row>
    <row r="8" spans="1:9" x14ac:dyDescent="0.2">
      <c r="A8" s="39"/>
      <c r="B8" s="431" t="s">
        <v>246</v>
      </c>
      <c r="C8" s="431"/>
      <c r="D8" s="431"/>
      <c r="E8" s="431"/>
      <c r="F8" s="34"/>
      <c r="G8" s="34"/>
      <c r="H8" s="34"/>
      <c r="I8" s="34"/>
    </row>
    <row r="9" spans="1:9" x14ac:dyDescent="0.2">
      <c r="A9" s="36"/>
      <c r="B9" s="36"/>
      <c r="C9" s="36"/>
      <c r="D9" s="36"/>
      <c r="E9" s="36"/>
      <c r="F9" s="34"/>
      <c r="G9" s="34"/>
      <c r="H9" s="34"/>
      <c r="I9" s="34"/>
    </row>
    <row r="10" spans="1:9" x14ac:dyDescent="0.2">
      <c r="A10" s="40" t="s">
        <v>235</v>
      </c>
      <c r="B10" s="36"/>
      <c r="C10" s="36"/>
      <c r="D10" s="36"/>
      <c r="E10" s="36"/>
      <c r="F10" s="34"/>
      <c r="G10" s="34"/>
      <c r="H10" s="34"/>
      <c r="I10" s="34"/>
    </row>
    <row r="11" spans="1:9" x14ac:dyDescent="0.2">
      <c r="A11" s="41" t="s">
        <v>236</v>
      </c>
      <c r="B11" s="42" t="s">
        <v>237</v>
      </c>
      <c r="C11" s="43"/>
      <c r="D11" s="43"/>
      <c r="E11" s="44" t="s">
        <v>238</v>
      </c>
      <c r="F11" s="34"/>
      <c r="G11" s="34"/>
      <c r="H11" s="34"/>
      <c r="I11" s="34"/>
    </row>
    <row r="12" spans="1:9" x14ac:dyDescent="0.2">
      <c r="A12" s="34"/>
      <c r="B12" s="34"/>
      <c r="C12" s="34"/>
      <c r="D12" s="34"/>
      <c r="E12" s="45"/>
      <c r="F12" s="34"/>
      <c r="G12" s="34"/>
      <c r="H12" s="34"/>
      <c r="I12" s="34"/>
    </row>
    <row r="13" spans="1:9" x14ac:dyDescent="0.2">
      <c r="A13" s="45">
        <v>1</v>
      </c>
      <c r="B13" s="46" t="s">
        <v>239</v>
      </c>
      <c r="C13" s="34"/>
      <c r="D13" s="34"/>
      <c r="E13" s="47">
        <v>5.1240000000000001E-3</v>
      </c>
      <c r="F13" s="34"/>
      <c r="G13" s="34"/>
      <c r="H13" s="34"/>
      <c r="I13" s="34"/>
    </row>
    <row r="14" spans="1:9" x14ac:dyDescent="0.2">
      <c r="A14" s="45">
        <f>A13+1</f>
        <v>2</v>
      </c>
      <c r="B14" s="46" t="s">
        <v>240</v>
      </c>
      <c r="C14" s="34"/>
      <c r="D14" s="34"/>
      <c r="E14" s="47">
        <v>4.0000000000000001E-3</v>
      </c>
      <c r="F14" s="34"/>
      <c r="G14" s="34"/>
      <c r="H14" s="34"/>
      <c r="I14" s="34"/>
    </row>
    <row r="15" spans="1:9" x14ac:dyDescent="0.2">
      <c r="A15" s="45">
        <f t="shared" ref="A15:A21" si="0">A14+1</f>
        <v>3</v>
      </c>
      <c r="B15" s="46" t="str">
        <f>"STATE UTILITY TAX - NET OF BAD DEBTS ( "&amp;D15*100&amp;"% - ( LINE 1 * "&amp;D15*100&amp;"%) )"</f>
        <v>STATE UTILITY TAX - NET OF BAD DEBTS ( 3.852% - ( LINE 1 * 3.852%) )</v>
      </c>
      <c r="C15" s="34"/>
      <c r="D15" s="48">
        <v>3.8519999999999999E-2</v>
      </c>
      <c r="E15" s="49">
        <f>ROUND(D15-(D15*E13),6)</f>
        <v>3.8323000000000003E-2</v>
      </c>
      <c r="F15" s="34"/>
      <c r="G15" s="34"/>
      <c r="H15" s="34"/>
      <c r="I15" s="34"/>
    </row>
    <row r="16" spans="1:9" x14ac:dyDescent="0.2">
      <c r="A16" s="45">
        <f t="shared" si="0"/>
        <v>4</v>
      </c>
      <c r="B16" s="46"/>
      <c r="C16" s="34"/>
      <c r="D16" s="34"/>
      <c r="E16" s="50"/>
      <c r="F16" s="34"/>
      <c r="G16" s="34"/>
      <c r="H16" s="34"/>
      <c r="I16" s="34"/>
    </row>
    <row r="17" spans="1:9" x14ac:dyDescent="0.2">
      <c r="A17" s="45">
        <f t="shared" si="0"/>
        <v>5</v>
      </c>
      <c r="B17" s="46" t="s">
        <v>241</v>
      </c>
      <c r="C17" s="34"/>
      <c r="D17" s="34"/>
      <c r="E17" s="51">
        <f>ROUND(SUM(E13:E15),6)</f>
        <v>4.7447000000000003E-2</v>
      </c>
      <c r="F17" s="34"/>
      <c r="G17" s="34"/>
      <c r="H17" s="34"/>
      <c r="I17" s="34"/>
    </row>
    <row r="18" spans="1:9" x14ac:dyDescent="0.2">
      <c r="A18" s="45">
        <f t="shared" si="0"/>
        <v>6</v>
      </c>
      <c r="B18" s="34"/>
      <c r="C18" s="34"/>
      <c r="D18" s="34"/>
      <c r="E18" s="51"/>
      <c r="F18" s="34"/>
      <c r="G18" s="34"/>
      <c r="H18" s="34"/>
      <c r="I18" s="34"/>
    </row>
    <row r="19" spans="1:9" x14ac:dyDescent="0.2">
      <c r="A19" s="45">
        <f t="shared" si="0"/>
        <v>7</v>
      </c>
      <c r="B19" s="34" t="s">
        <v>242</v>
      </c>
      <c r="C19" s="34"/>
      <c r="D19" s="34"/>
      <c r="E19" s="51">
        <f>ROUND(1-E17,6)</f>
        <v>0.95255299999999998</v>
      </c>
      <c r="F19" s="34"/>
      <c r="G19" s="34"/>
      <c r="H19" s="34"/>
      <c r="I19" s="34"/>
    </row>
    <row r="20" spans="1:9" x14ac:dyDescent="0.2">
      <c r="A20" s="45">
        <f t="shared" si="0"/>
        <v>8</v>
      </c>
      <c r="B20" s="46" t="s">
        <v>247</v>
      </c>
      <c r="C20" s="34"/>
      <c r="D20" s="52">
        <v>0.21</v>
      </c>
      <c r="E20" s="51">
        <f>ROUND((E19)*D20,6)</f>
        <v>0.20003599999999999</v>
      </c>
      <c r="F20" s="34"/>
      <c r="G20" s="34"/>
      <c r="H20" s="34"/>
      <c r="I20" s="34"/>
    </row>
    <row r="21" spans="1:9" x14ac:dyDescent="0.2">
      <c r="A21" s="45">
        <f t="shared" si="0"/>
        <v>9</v>
      </c>
      <c r="B21" s="46" t="s">
        <v>243</v>
      </c>
      <c r="C21" s="34"/>
      <c r="D21" s="34"/>
      <c r="E21" s="53">
        <f>ROUND(1-E20-E17,6)</f>
        <v>0.75251699999999999</v>
      </c>
      <c r="F21" s="34"/>
      <c r="G21" s="34"/>
      <c r="H21" s="34"/>
      <c r="I21" s="34"/>
    </row>
    <row r="22" spans="1:9" x14ac:dyDescent="0.2">
      <c r="A22" s="45"/>
      <c r="B22" s="34"/>
      <c r="C22" s="34"/>
      <c r="D22" s="34"/>
      <c r="E22" s="45"/>
      <c r="F22" s="34"/>
      <c r="G22" s="34"/>
      <c r="H22" s="34"/>
      <c r="I22" s="34"/>
    </row>
    <row r="23" spans="1:9" x14ac:dyDescent="0.2">
      <c r="A23" s="45"/>
      <c r="F23" s="34"/>
      <c r="G23" s="34"/>
      <c r="H23" s="34"/>
      <c r="I23" s="34"/>
    </row>
    <row r="24" spans="1:9" x14ac:dyDescent="0.2">
      <c r="A24" s="186" t="s">
        <v>308</v>
      </c>
      <c r="F24" s="34"/>
      <c r="G24" s="34"/>
      <c r="H24" s="34"/>
      <c r="I24" s="34"/>
    </row>
    <row r="25" spans="1:9" x14ac:dyDescent="0.2">
      <c r="E25" s="35"/>
      <c r="F25" s="34"/>
      <c r="G25" s="34"/>
      <c r="H25" s="34"/>
      <c r="I25" s="34"/>
    </row>
    <row r="26" spans="1:9" x14ac:dyDescent="0.2">
      <c r="F26" s="34"/>
      <c r="G26" s="34"/>
      <c r="H26" s="34"/>
      <c r="I26" s="34"/>
    </row>
    <row r="27" spans="1:9" x14ac:dyDescent="0.2">
      <c r="B27" s="32" t="s">
        <v>24</v>
      </c>
      <c r="E27" s="187">
        <f>1/E19</f>
        <v>1.0498103517599546</v>
      </c>
      <c r="F27" s="34"/>
      <c r="G27" s="34"/>
      <c r="H27" s="34"/>
      <c r="I27" s="34"/>
    </row>
    <row r="28" spans="1:9" x14ac:dyDescent="0.2">
      <c r="F28" s="34"/>
      <c r="G28" s="34"/>
      <c r="H28" s="34"/>
      <c r="I28" s="34"/>
    </row>
  </sheetData>
  <mergeCells count="4">
    <mergeCell ref="B5:E5"/>
    <mergeCell ref="B6:E6"/>
    <mergeCell ref="B7:E7"/>
    <mergeCell ref="B8:E8"/>
  </mergeCells>
  <printOptions horizontalCentered="1"/>
  <pageMargins left="0.68" right="0.56000000000000005" top="1" bottom="1" header="0.5" footer="0.5"/>
  <pageSetup orientation="portrait" r:id="rId1"/>
  <headerFooter alignWithMargins="0">
    <oddFooter>&amp;L&amp;F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="90" zoomScaleNormal="90" workbookViewId="0">
      <pane xSplit="2" ySplit="7" topLeftCell="C29" activePane="bottomRight" state="frozen"/>
      <selection activeCell="K46" sqref="K46"/>
      <selection pane="topRight" activeCell="K46" sqref="K46"/>
      <selection pane="bottomLeft" activeCell="K46" sqref="K46"/>
      <selection pane="bottomRight" activeCell="E56" sqref="E56"/>
    </sheetView>
  </sheetViews>
  <sheetFormatPr defaultColWidth="9.140625" defaultRowHeight="12.75" x14ac:dyDescent="0.2"/>
  <cols>
    <col min="1" max="1" width="4.85546875" style="202" customWidth="1"/>
    <col min="2" max="2" width="58" style="202" customWidth="1"/>
    <col min="3" max="3" width="16.7109375" style="202" bestFit="1" customWidth="1"/>
    <col min="4" max="4" width="13.42578125" style="202" bestFit="1" customWidth="1"/>
    <col min="5" max="5" width="12.5703125" style="202" bestFit="1" customWidth="1"/>
    <col min="6" max="6" width="10.85546875" style="202" bestFit="1" customWidth="1"/>
    <col min="7" max="7" width="12.5703125" style="202" bestFit="1" customWidth="1"/>
    <col min="8" max="9" width="11.5703125" style="202" bestFit="1" customWidth="1"/>
    <col min="10" max="10" width="10.7109375" style="202" bestFit="1" customWidth="1"/>
    <col min="11" max="11" width="11.42578125" style="202" customWidth="1"/>
    <col min="12" max="16384" width="9.140625" style="202"/>
  </cols>
  <sheetData>
    <row r="1" spans="1:11" ht="12.75" customHeight="1" x14ac:dyDescent="0.2">
      <c r="A1" s="200" t="s">
        <v>7</v>
      </c>
      <c r="B1" s="200"/>
      <c r="C1" s="200"/>
      <c r="D1" s="200"/>
      <c r="E1" s="200"/>
      <c r="F1" s="200"/>
      <c r="G1" s="200"/>
      <c r="H1" s="200"/>
      <c r="I1" s="200"/>
      <c r="J1" s="201"/>
      <c r="K1" s="201"/>
    </row>
    <row r="2" spans="1:11" ht="12.75" customHeight="1" x14ac:dyDescent="0.2">
      <c r="A2" s="203" t="s">
        <v>184</v>
      </c>
      <c r="B2" s="204"/>
      <c r="C2" s="204"/>
      <c r="D2" s="204"/>
      <c r="E2" s="204"/>
      <c r="F2" s="204"/>
      <c r="G2" s="204"/>
      <c r="H2" s="204"/>
      <c r="I2" s="204"/>
      <c r="J2" s="201"/>
      <c r="K2" s="201"/>
    </row>
    <row r="3" spans="1:11" ht="12.75" customHeight="1" x14ac:dyDescent="0.2">
      <c r="A3" s="200" t="s">
        <v>273</v>
      </c>
      <c r="B3" s="200"/>
      <c r="C3" s="200"/>
      <c r="D3" s="200"/>
      <c r="E3" s="200"/>
      <c r="F3" s="200"/>
      <c r="G3" s="200"/>
      <c r="H3" s="200"/>
      <c r="I3" s="200"/>
      <c r="J3" s="201"/>
      <c r="K3" s="201"/>
    </row>
    <row r="4" spans="1:11" ht="12.75" customHeight="1" x14ac:dyDescent="0.2">
      <c r="A4" s="200" t="s">
        <v>274</v>
      </c>
      <c r="B4" s="200"/>
      <c r="C4" s="200"/>
      <c r="D4" s="200"/>
      <c r="E4" s="200"/>
      <c r="F4" s="200"/>
      <c r="G4" s="200"/>
      <c r="H4" s="200"/>
      <c r="I4" s="200"/>
      <c r="J4" s="201"/>
      <c r="K4" s="201"/>
    </row>
    <row r="5" spans="1:11" ht="12.75" customHeight="1" x14ac:dyDescent="0.2"/>
    <row r="6" spans="1:11" ht="12.75" customHeight="1" x14ac:dyDescent="0.2">
      <c r="A6" s="205" t="s">
        <v>8</v>
      </c>
      <c r="B6" s="206"/>
      <c r="C6" s="206"/>
      <c r="D6" s="207"/>
      <c r="E6" s="208" t="s">
        <v>9</v>
      </c>
      <c r="F6" s="209"/>
      <c r="G6" s="208" t="s">
        <v>10</v>
      </c>
      <c r="H6" s="209"/>
      <c r="I6" s="208" t="s">
        <v>39</v>
      </c>
      <c r="J6" s="210"/>
      <c r="K6" s="209"/>
    </row>
    <row r="7" spans="1:11" ht="12.75" customHeight="1" x14ac:dyDescent="0.2">
      <c r="A7" s="211" t="s">
        <v>135</v>
      </c>
      <c r="B7" s="211" t="s">
        <v>18</v>
      </c>
      <c r="C7" s="211" t="s">
        <v>136</v>
      </c>
      <c r="D7" s="212" t="s">
        <v>5</v>
      </c>
      <c r="E7" s="213">
        <v>23</v>
      </c>
      <c r="F7" s="214">
        <v>16</v>
      </c>
      <c r="G7" s="213">
        <v>31</v>
      </c>
      <c r="H7" s="213">
        <v>41</v>
      </c>
      <c r="I7" s="215">
        <v>85</v>
      </c>
      <c r="J7" s="213">
        <v>86</v>
      </c>
      <c r="K7" s="214">
        <v>87</v>
      </c>
    </row>
    <row r="8" spans="1:11" ht="12.75" customHeight="1" x14ac:dyDescent="0.2">
      <c r="B8" s="216" t="s">
        <v>2</v>
      </c>
      <c r="C8" s="216" t="s">
        <v>3</v>
      </c>
      <c r="D8" s="217" t="s">
        <v>137</v>
      </c>
      <c r="E8" s="218" t="s">
        <v>4</v>
      </c>
      <c r="F8" s="218" t="s">
        <v>12</v>
      </c>
      <c r="G8" s="216" t="s">
        <v>16</v>
      </c>
      <c r="H8" s="216" t="s">
        <v>13</v>
      </c>
      <c r="I8" s="217" t="s">
        <v>138</v>
      </c>
      <c r="J8" s="218" t="s">
        <v>139</v>
      </c>
      <c r="K8" s="218" t="s">
        <v>140</v>
      </c>
    </row>
    <row r="9" spans="1:11" ht="12.75" customHeight="1" x14ac:dyDescent="0.2">
      <c r="B9" s="219" t="s">
        <v>227</v>
      </c>
      <c r="C9" s="220"/>
      <c r="D9" s="216"/>
      <c r="E9" s="216"/>
      <c r="F9" s="216"/>
      <c r="G9" s="216"/>
      <c r="H9" s="216"/>
      <c r="I9" s="216"/>
      <c r="J9" s="216"/>
      <c r="K9" s="216"/>
    </row>
    <row r="10" spans="1:11" ht="12.75" customHeight="1" x14ac:dyDescent="0.2">
      <c r="A10" s="216">
        <v>1</v>
      </c>
      <c r="B10" s="221" t="s">
        <v>278</v>
      </c>
      <c r="C10" s="222" t="s">
        <v>134</v>
      </c>
      <c r="D10" s="223">
        <f>SUM(E10:K10)</f>
        <v>4502364</v>
      </c>
      <c r="E10" s="224">
        <f>'Therm Forecast'!N21</f>
        <v>0</v>
      </c>
      <c r="F10" s="224">
        <f>'Therm Forecast'!N22</f>
        <v>0</v>
      </c>
      <c r="G10" s="224">
        <f>'Therm Forecast'!N23</f>
        <v>0</v>
      </c>
      <c r="H10" s="224">
        <f>'Therm Forecast'!N24</f>
        <v>4376244</v>
      </c>
      <c r="I10" s="224">
        <f>'Therm Forecast'!N25</f>
        <v>91452</v>
      </c>
      <c r="J10" s="224">
        <f>'Therm Forecast'!N26</f>
        <v>34668</v>
      </c>
      <c r="K10" s="224">
        <f>'Therm Forecast'!N27</f>
        <v>0</v>
      </c>
    </row>
    <row r="11" spans="1:11" ht="12.75" customHeight="1" x14ac:dyDescent="0.2">
      <c r="A11" s="216">
        <f>A10+1</f>
        <v>2</v>
      </c>
      <c r="B11" s="221" t="str">
        <f>"Projected Volume "&amp;'Therm Forecast'!N6&amp;" (therms)"</f>
        <v>Projected Volume Nov. 2022 - Oct. 2023 (therms)</v>
      </c>
      <c r="C11" s="222" t="s">
        <v>134</v>
      </c>
      <c r="D11" s="225">
        <f>SUM(E11:K11)</f>
        <v>931343561</v>
      </c>
      <c r="E11" s="226">
        <f>'Therm Forecast'!$N$8</f>
        <v>592785009</v>
      </c>
      <c r="F11" s="226">
        <f>'Therm Forecast'!$N$9</f>
        <v>7068</v>
      </c>
      <c r="G11" s="226">
        <f>'Therm Forecast'!$N$10</f>
        <v>239317160</v>
      </c>
      <c r="H11" s="226">
        <f>'Therm Forecast'!$N$11</f>
        <v>65277168</v>
      </c>
      <c r="I11" s="226">
        <f>'Therm Forecast'!$N$12</f>
        <v>12864575</v>
      </c>
      <c r="J11" s="226">
        <f>'Therm Forecast'!$N$13</f>
        <v>5457791</v>
      </c>
      <c r="K11" s="226">
        <f>'Therm Forecast'!$N$14</f>
        <v>15634790</v>
      </c>
    </row>
    <row r="12" spans="1:11" ht="12.75" customHeight="1" x14ac:dyDescent="0.2">
      <c r="A12" s="216">
        <f t="shared" ref="A12:A57" si="0">A11+1</f>
        <v>3</v>
      </c>
      <c r="B12" s="221"/>
      <c r="C12" s="222"/>
      <c r="D12" s="225"/>
      <c r="E12" s="227"/>
      <c r="F12" s="227"/>
      <c r="G12" s="227"/>
      <c r="H12" s="227"/>
      <c r="I12" s="227"/>
      <c r="J12" s="227"/>
      <c r="K12" s="227"/>
    </row>
    <row r="13" spans="1:11" ht="12.75" customHeight="1" x14ac:dyDescent="0.2">
      <c r="A13" s="216">
        <f t="shared" si="0"/>
        <v>4</v>
      </c>
      <c r="B13" s="221" t="s">
        <v>275</v>
      </c>
      <c r="C13" s="222" t="s">
        <v>134</v>
      </c>
      <c r="D13" s="228"/>
      <c r="E13" s="228">
        <f>'Gas Resource Allocation Study'!G52</f>
        <v>0.13325000000000001</v>
      </c>
      <c r="F13" s="228">
        <f>'Gas Resource Allocation Study'!G52</f>
        <v>0.13325000000000001</v>
      </c>
      <c r="G13" s="228">
        <f>'Gas Resource Allocation Study'!H52</f>
        <v>0.12634000000000001</v>
      </c>
      <c r="H13" s="228">
        <f>'Gas Resource Allocation Study'!I52</f>
        <v>9.4990000000000005E-2</v>
      </c>
      <c r="I13" s="228">
        <f>'Gas Resource Allocation Study'!J52</f>
        <v>7.3480000000000004E-2</v>
      </c>
      <c r="J13" s="228">
        <f>'Gas Resource Allocation Study'!K52</f>
        <v>8.337E-2</v>
      </c>
      <c r="K13" s="228">
        <f>'Gas Resource Allocation Study'!L52</f>
        <v>7.4319999999999997E-2</v>
      </c>
    </row>
    <row r="14" spans="1:11" ht="12.75" customHeight="1" x14ac:dyDescent="0.2">
      <c r="A14" s="216">
        <f t="shared" si="0"/>
        <v>5</v>
      </c>
      <c r="B14" s="221" t="s">
        <v>279</v>
      </c>
      <c r="C14" s="229" t="s">
        <v>229</v>
      </c>
      <c r="D14" s="230">
        <f>SUM(E14:K14)</f>
        <v>117987835.04244</v>
      </c>
      <c r="E14" s="230">
        <f t="shared" ref="E14:K14" si="1">E11*E13</f>
        <v>78988602.449249998</v>
      </c>
      <c r="F14" s="230">
        <f t="shared" si="1"/>
        <v>941.81100000000004</v>
      </c>
      <c r="G14" s="230">
        <f t="shared" si="1"/>
        <v>30235329.994400002</v>
      </c>
      <c r="H14" s="230">
        <f t="shared" si="1"/>
        <v>6200678.1883200007</v>
      </c>
      <c r="I14" s="230">
        <f t="shared" si="1"/>
        <v>945288.97100000002</v>
      </c>
      <c r="J14" s="230">
        <f t="shared" si="1"/>
        <v>455016.03567000001</v>
      </c>
      <c r="K14" s="230">
        <f t="shared" si="1"/>
        <v>1161977.5928</v>
      </c>
    </row>
    <row r="15" spans="1:11" ht="12.75" customHeight="1" x14ac:dyDescent="0.2">
      <c r="A15" s="216">
        <f t="shared" si="0"/>
        <v>6</v>
      </c>
      <c r="B15" s="221"/>
      <c r="C15" s="222"/>
      <c r="F15" s="231"/>
    </row>
    <row r="16" spans="1:11" ht="12.75" customHeight="1" x14ac:dyDescent="0.2">
      <c r="A16" s="216">
        <f t="shared" si="0"/>
        <v>7</v>
      </c>
      <c r="B16" s="221" t="s">
        <v>226</v>
      </c>
      <c r="C16" s="222" t="s">
        <v>252</v>
      </c>
      <c r="D16" s="409">
        <v>132117546.70839059</v>
      </c>
      <c r="E16" s="230">
        <f>$D16*(E14/$D14)</f>
        <v>88447935.075387657</v>
      </c>
      <c r="F16" s="230">
        <f t="shared" ref="F16:K16" si="2">$D16*(F14/$D14)</f>
        <v>1054.5982027572497</v>
      </c>
      <c r="G16" s="230">
        <f t="shared" si="2"/>
        <v>33856182.049123019</v>
      </c>
      <c r="H16" s="230">
        <f t="shared" si="2"/>
        <v>6943244.5291872267</v>
      </c>
      <c r="I16" s="230">
        <f t="shared" si="2"/>
        <v>1058492.6804877515</v>
      </c>
      <c r="J16" s="230">
        <f t="shared" si="2"/>
        <v>509506.78367879603</v>
      </c>
      <c r="K16" s="230">
        <f t="shared" si="2"/>
        <v>1301130.9923233802</v>
      </c>
    </row>
    <row r="17" spans="1:11" ht="12.75" customHeight="1" x14ac:dyDescent="0.2">
      <c r="A17" s="216">
        <f t="shared" si="0"/>
        <v>8</v>
      </c>
      <c r="B17" s="221" t="s">
        <v>52</v>
      </c>
      <c r="C17" s="222" t="s">
        <v>230</v>
      </c>
      <c r="D17" s="232">
        <f>SUM(E17:K17)</f>
        <v>1</v>
      </c>
      <c r="E17" s="232">
        <f t="shared" ref="E17:K17" si="3">E16/$D$16</f>
        <v>0.66946395296462502</v>
      </c>
      <c r="F17" s="232">
        <f t="shared" si="3"/>
        <v>7.9822720678045536E-6</v>
      </c>
      <c r="G17" s="232">
        <f t="shared" si="3"/>
        <v>0.25625802849526319</v>
      </c>
      <c r="H17" s="232">
        <f t="shared" si="3"/>
        <v>5.2553538134585048E-2</v>
      </c>
      <c r="I17" s="232">
        <f t="shared" si="3"/>
        <v>8.0117494372193652E-3</v>
      </c>
      <c r="J17" s="232">
        <f t="shared" si="3"/>
        <v>3.8564656729766387E-3</v>
      </c>
      <c r="K17" s="232">
        <f t="shared" si="3"/>
        <v>9.8482830232628545E-3</v>
      </c>
    </row>
    <row r="18" spans="1:11" ht="12.75" customHeight="1" x14ac:dyDescent="0.2">
      <c r="A18" s="216">
        <f t="shared" si="0"/>
        <v>9</v>
      </c>
      <c r="B18" s="221"/>
      <c r="C18" s="222"/>
    </row>
    <row r="19" spans="1:11" ht="12.75" customHeight="1" x14ac:dyDescent="0.2">
      <c r="A19" s="216">
        <f t="shared" si="0"/>
        <v>10</v>
      </c>
      <c r="B19" s="221" t="s">
        <v>281</v>
      </c>
      <c r="C19" s="222" t="s">
        <v>251</v>
      </c>
      <c r="E19" s="410">
        <v>0</v>
      </c>
      <c r="F19" s="410">
        <v>0</v>
      </c>
      <c r="G19" s="410">
        <v>0</v>
      </c>
      <c r="H19" s="410">
        <v>1</v>
      </c>
      <c r="I19" s="410">
        <v>1</v>
      </c>
      <c r="J19" s="410">
        <v>1</v>
      </c>
      <c r="K19" s="410">
        <v>1</v>
      </c>
    </row>
    <row r="20" spans="1:11" ht="12.75" customHeight="1" x14ac:dyDescent="0.2">
      <c r="A20" s="216">
        <f t="shared" si="0"/>
        <v>11</v>
      </c>
      <c r="B20" s="221" t="s">
        <v>282</v>
      </c>
      <c r="C20" s="233"/>
      <c r="E20" s="234">
        <v>0</v>
      </c>
      <c r="F20" s="234">
        <v>0</v>
      </c>
      <c r="G20" s="234">
        <v>0</v>
      </c>
      <c r="H20" s="234">
        <v>1</v>
      </c>
      <c r="I20" s="234">
        <v>1</v>
      </c>
      <c r="J20" s="234">
        <v>1</v>
      </c>
      <c r="K20" s="234">
        <v>1</v>
      </c>
    </row>
    <row r="21" spans="1:11" ht="12.75" customHeight="1" x14ac:dyDescent="0.2">
      <c r="A21" s="216">
        <f t="shared" si="0"/>
        <v>12</v>
      </c>
      <c r="B21" s="221" t="s">
        <v>280</v>
      </c>
      <c r="C21" s="229" t="s">
        <v>253</v>
      </c>
      <c r="D21" s="230">
        <f>SUM(E21:K21)</f>
        <v>4502364</v>
      </c>
      <c r="E21" s="230">
        <f>E20*E10</f>
        <v>0</v>
      </c>
      <c r="F21" s="230">
        <f t="shared" ref="F21:G21" si="4">F20*F10</f>
        <v>0</v>
      </c>
      <c r="G21" s="230">
        <f t="shared" si="4"/>
        <v>0</v>
      </c>
      <c r="H21" s="230">
        <f>H20*H10</f>
        <v>4376244</v>
      </c>
      <c r="I21" s="230">
        <f t="shared" ref="I21:K21" si="5">I20*I10</f>
        <v>91452</v>
      </c>
      <c r="J21" s="230">
        <f t="shared" si="5"/>
        <v>34668</v>
      </c>
      <c r="K21" s="230">
        <f t="shared" si="5"/>
        <v>0</v>
      </c>
    </row>
    <row r="22" spans="1:11" ht="12.75" customHeight="1" x14ac:dyDescent="0.2">
      <c r="A22" s="216">
        <f t="shared" si="0"/>
        <v>13</v>
      </c>
      <c r="B22" s="221"/>
      <c r="C22" s="222"/>
    </row>
    <row r="23" spans="1:11" ht="12.75" customHeight="1" x14ac:dyDescent="0.2">
      <c r="A23" s="216">
        <f t="shared" si="0"/>
        <v>14</v>
      </c>
      <c r="B23" s="221" t="s">
        <v>133</v>
      </c>
      <c r="C23" s="229" t="s">
        <v>254</v>
      </c>
      <c r="D23" s="230">
        <f>SUM(E23:K23)</f>
        <v>127615182.70839059</v>
      </c>
      <c r="E23" s="230">
        <f>E16-E21</f>
        <v>88447935.075387657</v>
      </c>
      <c r="F23" s="230">
        <f t="shared" ref="F23:K23" si="6">F16-F21</f>
        <v>1054.5982027572497</v>
      </c>
      <c r="G23" s="230">
        <f t="shared" si="6"/>
        <v>33856182.049123019</v>
      </c>
      <c r="H23" s="230">
        <f t="shared" si="6"/>
        <v>2567000.5291872267</v>
      </c>
      <c r="I23" s="230">
        <f t="shared" si="6"/>
        <v>967040.6804877515</v>
      </c>
      <c r="J23" s="230">
        <f t="shared" si="6"/>
        <v>474838.78367879603</v>
      </c>
      <c r="K23" s="230">
        <f t="shared" si="6"/>
        <v>1301130.9923233802</v>
      </c>
    </row>
    <row r="24" spans="1:11" ht="12.75" customHeight="1" x14ac:dyDescent="0.2">
      <c r="A24" s="216">
        <f t="shared" si="0"/>
        <v>15</v>
      </c>
      <c r="B24" s="221"/>
    </row>
    <row r="25" spans="1:11" ht="12.75" customHeight="1" x14ac:dyDescent="0.2">
      <c r="A25" s="216">
        <f t="shared" si="0"/>
        <v>16</v>
      </c>
      <c r="B25" s="221" t="s">
        <v>218</v>
      </c>
      <c r="C25" s="229" t="s">
        <v>255</v>
      </c>
      <c r="E25" s="235">
        <f>ROUND(E23/E11,5)</f>
        <v>0.14921000000000001</v>
      </c>
      <c r="F25" s="235">
        <f t="shared" ref="F25:K25" si="7">ROUND(F23/F11,5)</f>
        <v>0.14921000000000001</v>
      </c>
      <c r="G25" s="235">
        <f t="shared" si="7"/>
        <v>0.14147000000000001</v>
      </c>
      <c r="H25" s="235">
        <f t="shared" si="7"/>
        <v>3.9320000000000001E-2</v>
      </c>
      <c r="I25" s="235">
        <f t="shared" si="7"/>
        <v>7.5170000000000001E-2</v>
      </c>
      <c r="J25" s="235">
        <f t="shared" si="7"/>
        <v>8.6999999999999994E-2</v>
      </c>
      <c r="K25" s="235">
        <f t="shared" si="7"/>
        <v>8.3220000000000002E-2</v>
      </c>
    </row>
    <row r="26" spans="1:11" ht="12.75" customHeight="1" x14ac:dyDescent="0.2">
      <c r="A26" s="216">
        <f t="shared" si="0"/>
        <v>17</v>
      </c>
      <c r="B26" s="236" t="s">
        <v>219</v>
      </c>
      <c r="C26" s="229" t="s">
        <v>256</v>
      </c>
      <c r="F26" s="231">
        <f>ROUND(F25*19,2)</f>
        <v>2.83</v>
      </c>
    </row>
    <row r="27" spans="1:11" ht="12.75" customHeight="1" x14ac:dyDescent="0.2">
      <c r="A27" s="216">
        <f t="shared" si="0"/>
        <v>18</v>
      </c>
      <c r="B27" s="236"/>
      <c r="C27" s="229"/>
      <c r="F27" s="231"/>
    </row>
    <row r="28" spans="1:11" ht="12.75" customHeight="1" x14ac:dyDescent="0.2">
      <c r="A28" s="216">
        <f t="shared" si="0"/>
        <v>19</v>
      </c>
      <c r="B28" s="221" t="s">
        <v>283</v>
      </c>
      <c r="C28" s="229" t="s">
        <v>251</v>
      </c>
      <c r="E28" s="408">
        <v>0.14330000000000001</v>
      </c>
      <c r="F28" s="408">
        <v>0.14330000000000001</v>
      </c>
      <c r="G28" s="408">
        <v>0.13586999999999999</v>
      </c>
      <c r="H28" s="408">
        <v>3.4020000000000002E-2</v>
      </c>
      <c r="I28" s="408">
        <v>7.0489999999999997E-2</v>
      </c>
      <c r="J28" s="408">
        <v>8.3669999999999994E-2</v>
      </c>
      <c r="K28" s="408">
        <v>7.9930000000000001E-2</v>
      </c>
    </row>
    <row r="29" spans="1:11" ht="12.75" customHeight="1" x14ac:dyDescent="0.2">
      <c r="A29" s="216">
        <f t="shared" si="0"/>
        <v>20</v>
      </c>
      <c r="B29" s="236" t="s">
        <v>284</v>
      </c>
      <c r="C29" s="229" t="s">
        <v>257</v>
      </c>
      <c r="E29" s="235">
        <f>E25-E28</f>
        <v>5.9099999999999986E-3</v>
      </c>
      <c r="F29" s="235">
        <f t="shared" ref="F29:K29" si="8">F25-F28</f>
        <v>5.9099999999999986E-3</v>
      </c>
      <c r="G29" s="235">
        <f t="shared" si="8"/>
        <v>5.6000000000000216E-3</v>
      </c>
      <c r="H29" s="235">
        <f t="shared" si="8"/>
        <v>5.2999999999999992E-3</v>
      </c>
      <c r="I29" s="235">
        <f t="shared" si="8"/>
        <v>4.6800000000000036E-3</v>
      </c>
      <c r="J29" s="235">
        <f t="shared" si="8"/>
        <v>3.3299999999999996E-3</v>
      </c>
      <c r="K29" s="235">
        <f t="shared" si="8"/>
        <v>3.2900000000000013E-3</v>
      </c>
    </row>
    <row r="30" spans="1:11" ht="12.75" customHeight="1" x14ac:dyDescent="0.2">
      <c r="A30" s="216">
        <f t="shared" si="0"/>
        <v>21</v>
      </c>
      <c r="B30" s="236" t="s">
        <v>285</v>
      </c>
      <c r="C30" s="229" t="s">
        <v>258</v>
      </c>
      <c r="E30" s="237">
        <f>E29/E28</f>
        <v>4.1242149337055119E-2</v>
      </c>
      <c r="F30" s="237">
        <f t="shared" ref="F30:K30" si="9">F29/F28</f>
        <v>4.1242149337055119E-2</v>
      </c>
      <c r="G30" s="237">
        <f t="shared" si="9"/>
        <v>4.121586810922221E-2</v>
      </c>
      <c r="H30" s="237">
        <f t="shared" si="9"/>
        <v>0.15579071134626687</v>
      </c>
      <c r="I30" s="237">
        <f t="shared" si="9"/>
        <v>6.6392396084551053E-2</v>
      </c>
      <c r="J30" s="237">
        <f t="shared" si="9"/>
        <v>3.9799211186805301E-2</v>
      </c>
      <c r="K30" s="237">
        <f t="shared" si="9"/>
        <v>4.1161015888902808E-2</v>
      </c>
    </row>
    <row r="31" spans="1:11" ht="12.75" customHeight="1" x14ac:dyDescent="0.2">
      <c r="A31" s="216">
        <f t="shared" si="0"/>
        <v>22</v>
      </c>
      <c r="C31" s="222"/>
      <c r="F31" s="231"/>
    </row>
    <row r="32" spans="1:11" ht="12.75" customHeight="1" x14ac:dyDescent="0.2">
      <c r="A32" s="216">
        <f t="shared" si="0"/>
        <v>23</v>
      </c>
      <c r="C32" s="222"/>
      <c r="F32" s="231"/>
    </row>
    <row r="33" spans="1:12" ht="12.75" customHeight="1" x14ac:dyDescent="0.2">
      <c r="A33" s="216">
        <f t="shared" si="0"/>
        <v>24</v>
      </c>
      <c r="B33" s="219" t="s">
        <v>228</v>
      </c>
      <c r="C33" s="229"/>
    </row>
    <row r="34" spans="1:12" ht="12.75" customHeight="1" x14ac:dyDescent="0.2">
      <c r="A34" s="216">
        <f t="shared" si="0"/>
        <v>25</v>
      </c>
      <c r="B34" s="221" t="str">
        <f>+B11</f>
        <v>Projected Volume Nov. 2022 - Oct. 2023 (therms)</v>
      </c>
      <c r="C34" s="229" t="s">
        <v>231</v>
      </c>
      <c r="D34" s="225">
        <f>SUM(E34:K34)</f>
        <v>931343561</v>
      </c>
      <c r="E34" s="225">
        <f t="shared" ref="E34:K34" si="10">E11</f>
        <v>592785009</v>
      </c>
      <c r="F34" s="225">
        <f t="shared" si="10"/>
        <v>7068</v>
      </c>
      <c r="G34" s="225">
        <f t="shared" si="10"/>
        <v>239317160</v>
      </c>
      <c r="H34" s="225">
        <f t="shared" si="10"/>
        <v>65277168</v>
      </c>
      <c r="I34" s="225">
        <f t="shared" si="10"/>
        <v>12864575</v>
      </c>
      <c r="J34" s="225">
        <f t="shared" si="10"/>
        <v>5457791</v>
      </c>
      <c r="K34" s="225">
        <f t="shared" si="10"/>
        <v>15634790</v>
      </c>
    </row>
    <row r="35" spans="1:12" ht="12.75" customHeight="1" x14ac:dyDescent="0.2">
      <c r="A35" s="216">
        <f t="shared" si="0"/>
        <v>26</v>
      </c>
      <c r="B35" s="221" t="s">
        <v>31</v>
      </c>
      <c r="C35" s="222" t="s">
        <v>134</v>
      </c>
      <c r="D35" s="409">
        <v>423726271.66595399</v>
      </c>
      <c r="E35" s="230"/>
      <c r="F35" s="230"/>
      <c r="G35" s="230"/>
      <c r="H35" s="230"/>
      <c r="I35" s="230"/>
      <c r="J35" s="230"/>
      <c r="K35" s="230"/>
    </row>
    <row r="36" spans="1:12" ht="12.75" customHeight="1" x14ac:dyDescent="0.2">
      <c r="A36" s="216">
        <f t="shared" si="0"/>
        <v>27</v>
      </c>
      <c r="B36" s="221" t="s">
        <v>220</v>
      </c>
      <c r="C36" s="229" t="s">
        <v>259</v>
      </c>
      <c r="D36" s="238">
        <f>ROUND(D35/D34,5)</f>
        <v>0.45495999999999998</v>
      </c>
      <c r="E36" s="238">
        <f t="shared" ref="E36:K36" si="11">$D$36</f>
        <v>0.45495999999999998</v>
      </c>
      <c r="F36" s="238">
        <f t="shared" si="11"/>
        <v>0.45495999999999998</v>
      </c>
      <c r="G36" s="238">
        <f t="shared" si="11"/>
        <v>0.45495999999999998</v>
      </c>
      <c r="H36" s="238">
        <f t="shared" si="11"/>
        <v>0.45495999999999998</v>
      </c>
      <c r="I36" s="238">
        <f t="shared" si="11"/>
        <v>0.45495999999999998</v>
      </c>
      <c r="J36" s="238">
        <f t="shared" si="11"/>
        <v>0.45495999999999998</v>
      </c>
      <c r="K36" s="238">
        <f t="shared" si="11"/>
        <v>0.45495999999999998</v>
      </c>
    </row>
    <row r="37" spans="1:12" ht="12.75" customHeight="1" x14ac:dyDescent="0.2">
      <c r="A37" s="216">
        <f t="shared" si="0"/>
        <v>28</v>
      </c>
      <c r="B37" s="236" t="s">
        <v>219</v>
      </c>
      <c r="C37" s="229" t="s">
        <v>260</v>
      </c>
      <c r="F37" s="239">
        <f>ROUND(F36*19,2)</f>
        <v>8.64</v>
      </c>
    </row>
    <row r="38" spans="1:12" ht="12.75" customHeight="1" x14ac:dyDescent="0.2">
      <c r="A38" s="216">
        <f t="shared" si="0"/>
        <v>29</v>
      </c>
      <c r="L38" s="240"/>
    </row>
    <row r="39" spans="1:12" ht="12.75" customHeight="1" x14ac:dyDescent="0.2">
      <c r="A39" s="216">
        <f t="shared" si="0"/>
        <v>30</v>
      </c>
      <c r="B39" s="221" t="s">
        <v>286</v>
      </c>
      <c r="C39" s="229" t="s">
        <v>251</v>
      </c>
      <c r="E39" s="408">
        <v>0.29903999999999997</v>
      </c>
      <c r="F39" s="408">
        <v>0.29903999999999997</v>
      </c>
      <c r="G39" s="408">
        <v>0.29903999999999997</v>
      </c>
      <c r="H39" s="408">
        <v>0.29903999999999997</v>
      </c>
      <c r="I39" s="408">
        <v>0.29903999999999997</v>
      </c>
      <c r="J39" s="408">
        <v>0.29903999999999997</v>
      </c>
      <c r="K39" s="408">
        <v>0.29903999999999997</v>
      </c>
    </row>
    <row r="40" spans="1:12" ht="12.75" customHeight="1" x14ac:dyDescent="0.2">
      <c r="A40" s="216">
        <f t="shared" si="0"/>
        <v>31</v>
      </c>
      <c r="B40" s="236" t="s">
        <v>287</v>
      </c>
      <c r="C40" s="229" t="s">
        <v>261</v>
      </c>
      <c r="E40" s="235">
        <f>E36-E39</f>
        <v>0.15592</v>
      </c>
      <c r="F40" s="235">
        <f t="shared" ref="F40" si="12">F36-F39</f>
        <v>0.15592</v>
      </c>
      <c r="G40" s="235">
        <f t="shared" ref="G40" si="13">G36-G39</f>
        <v>0.15592</v>
      </c>
      <c r="H40" s="235">
        <f t="shared" ref="H40" si="14">H36-H39</f>
        <v>0.15592</v>
      </c>
      <c r="I40" s="235">
        <f t="shared" ref="I40" si="15">I36-I39</f>
        <v>0.15592</v>
      </c>
      <c r="J40" s="235">
        <f t="shared" ref="J40" si="16">J36-J39</f>
        <v>0.15592</v>
      </c>
      <c r="K40" s="235">
        <f t="shared" ref="K40" si="17">K36-K39</f>
        <v>0.15592</v>
      </c>
      <c r="L40" s="240"/>
    </row>
    <row r="41" spans="1:12" ht="12.75" customHeight="1" x14ac:dyDescent="0.2">
      <c r="A41" s="216">
        <f t="shared" si="0"/>
        <v>32</v>
      </c>
      <c r="B41" s="236" t="s">
        <v>288</v>
      </c>
      <c r="C41" s="229" t="s">
        <v>262</v>
      </c>
      <c r="E41" s="237">
        <f>E40/E39</f>
        <v>0.52140181915462824</v>
      </c>
      <c r="F41" s="237">
        <f t="shared" ref="F41" si="18">F40/F39</f>
        <v>0.52140181915462824</v>
      </c>
      <c r="G41" s="237">
        <f t="shared" ref="G41" si="19">G40/G39</f>
        <v>0.52140181915462824</v>
      </c>
      <c r="H41" s="237">
        <f t="shared" ref="H41" si="20">H40/H39</f>
        <v>0.52140181915462824</v>
      </c>
      <c r="I41" s="237">
        <f t="shared" ref="I41" si="21">I40/I39</f>
        <v>0.52140181915462824</v>
      </c>
      <c r="J41" s="237">
        <f t="shared" ref="J41" si="22">J40/J39</f>
        <v>0.52140181915462824</v>
      </c>
      <c r="K41" s="237">
        <f t="shared" ref="K41" si="23">K40/K39</f>
        <v>0.52140181915462824</v>
      </c>
      <c r="L41" s="240"/>
    </row>
    <row r="42" spans="1:12" ht="12.75" customHeight="1" x14ac:dyDescent="0.2">
      <c r="A42" s="216">
        <f t="shared" si="0"/>
        <v>33</v>
      </c>
      <c r="L42" s="240"/>
    </row>
    <row r="43" spans="1:12" ht="12.75" customHeight="1" x14ac:dyDescent="0.2">
      <c r="A43" s="216">
        <f t="shared" si="0"/>
        <v>34</v>
      </c>
    </row>
    <row r="44" spans="1:12" ht="12.75" customHeight="1" x14ac:dyDescent="0.2">
      <c r="A44" s="216">
        <f t="shared" si="0"/>
        <v>35</v>
      </c>
      <c r="B44" s="241" t="s">
        <v>277</v>
      </c>
      <c r="C44" s="229"/>
      <c r="E44" s="232"/>
      <c r="F44" s="232"/>
      <c r="G44" s="232"/>
      <c r="H44" s="232"/>
      <c r="I44" s="232"/>
      <c r="J44" s="232"/>
      <c r="K44" s="232"/>
    </row>
    <row r="45" spans="1:12" ht="12.75" customHeight="1" x14ac:dyDescent="0.2">
      <c r="A45" s="216">
        <f t="shared" si="0"/>
        <v>36</v>
      </c>
      <c r="B45" s="221" t="s">
        <v>289</v>
      </c>
      <c r="C45" s="222" t="s">
        <v>134</v>
      </c>
      <c r="D45" s="242">
        <f>'Conversion Factor'!E27-1</f>
        <v>4.981035175995463E-2</v>
      </c>
    </row>
    <row r="46" spans="1:12" ht="12.75" customHeight="1" x14ac:dyDescent="0.2">
      <c r="A46" s="216">
        <f t="shared" si="0"/>
        <v>37</v>
      </c>
      <c r="B46" s="221" t="s">
        <v>276</v>
      </c>
      <c r="C46" s="229" t="s">
        <v>263</v>
      </c>
      <c r="E46" s="243">
        <f t="shared" ref="E46:K46" si="24">E20</f>
        <v>0</v>
      </c>
      <c r="F46" s="243">
        <f t="shared" si="24"/>
        <v>0</v>
      </c>
      <c r="G46" s="243">
        <f t="shared" si="24"/>
        <v>0</v>
      </c>
      <c r="H46" s="243">
        <f t="shared" si="24"/>
        <v>1</v>
      </c>
      <c r="I46" s="243">
        <f t="shared" si="24"/>
        <v>1</v>
      </c>
      <c r="J46" s="243">
        <f t="shared" si="24"/>
        <v>1</v>
      </c>
      <c r="K46" s="243">
        <f t="shared" si="24"/>
        <v>1</v>
      </c>
      <c r="L46" s="244"/>
    </row>
    <row r="47" spans="1:12" ht="12.75" customHeight="1" x14ac:dyDescent="0.2">
      <c r="A47" s="216">
        <f t="shared" si="0"/>
        <v>38</v>
      </c>
      <c r="B47" s="245" t="s">
        <v>222</v>
      </c>
      <c r="C47" s="229" t="s">
        <v>264</v>
      </c>
      <c r="E47" s="246">
        <f t="shared" ref="E47:K47" si="25">ROUND(E46*(1+$D$45),2)</f>
        <v>0</v>
      </c>
      <c r="F47" s="246">
        <f t="shared" si="25"/>
        <v>0</v>
      </c>
      <c r="G47" s="246">
        <f t="shared" si="25"/>
        <v>0</v>
      </c>
      <c r="H47" s="246">
        <f t="shared" si="25"/>
        <v>1.05</v>
      </c>
      <c r="I47" s="246">
        <f t="shared" si="25"/>
        <v>1.05</v>
      </c>
      <c r="J47" s="246">
        <f t="shared" si="25"/>
        <v>1.05</v>
      </c>
      <c r="K47" s="246">
        <f t="shared" si="25"/>
        <v>1.05</v>
      </c>
      <c r="L47" s="244"/>
    </row>
    <row r="48" spans="1:12" ht="12.75" customHeight="1" x14ac:dyDescent="0.2">
      <c r="A48" s="216">
        <f t="shared" si="0"/>
        <v>39</v>
      </c>
      <c r="L48" s="244"/>
    </row>
    <row r="49" spans="1:12" ht="12.75" customHeight="1" x14ac:dyDescent="0.2">
      <c r="A49" s="216">
        <f t="shared" si="0"/>
        <v>40</v>
      </c>
      <c r="B49" s="221" t="s">
        <v>218</v>
      </c>
      <c r="C49" s="229" t="s">
        <v>248</v>
      </c>
      <c r="E49" s="247">
        <f t="shared" ref="E49:K49" si="26">E25</f>
        <v>0.14921000000000001</v>
      </c>
      <c r="F49" s="247">
        <f t="shared" si="26"/>
        <v>0.14921000000000001</v>
      </c>
      <c r="G49" s="247">
        <f t="shared" si="26"/>
        <v>0.14147000000000001</v>
      </c>
      <c r="H49" s="247">
        <f t="shared" si="26"/>
        <v>3.9320000000000001E-2</v>
      </c>
      <c r="I49" s="247">
        <f t="shared" si="26"/>
        <v>7.5170000000000001E-2</v>
      </c>
      <c r="J49" s="247">
        <f t="shared" si="26"/>
        <v>8.6999999999999994E-2</v>
      </c>
      <c r="K49" s="247">
        <f t="shared" si="26"/>
        <v>8.3220000000000002E-2</v>
      </c>
      <c r="L49" s="244"/>
    </row>
    <row r="50" spans="1:12" ht="12.75" customHeight="1" x14ac:dyDescent="0.2">
      <c r="A50" s="216">
        <f t="shared" si="0"/>
        <v>41</v>
      </c>
      <c r="B50" s="236" t="s">
        <v>221</v>
      </c>
      <c r="C50" s="229" t="s">
        <v>265</v>
      </c>
      <c r="F50" s="248">
        <f>F26</f>
        <v>2.83</v>
      </c>
      <c r="L50" s="244"/>
    </row>
    <row r="51" spans="1:12" ht="12.75" customHeight="1" x14ac:dyDescent="0.2">
      <c r="A51" s="216">
        <f t="shared" si="0"/>
        <v>42</v>
      </c>
      <c r="B51" s="221" t="s">
        <v>220</v>
      </c>
      <c r="C51" s="229" t="s">
        <v>266</v>
      </c>
      <c r="E51" s="247">
        <f t="shared" ref="E51:K51" si="27">E36</f>
        <v>0.45495999999999998</v>
      </c>
      <c r="F51" s="247">
        <f t="shared" si="27"/>
        <v>0.45495999999999998</v>
      </c>
      <c r="G51" s="247">
        <f t="shared" si="27"/>
        <v>0.45495999999999998</v>
      </c>
      <c r="H51" s="247">
        <f t="shared" si="27"/>
        <v>0.45495999999999998</v>
      </c>
      <c r="I51" s="247">
        <f t="shared" si="27"/>
        <v>0.45495999999999998</v>
      </c>
      <c r="J51" s="247">
        <f t="shared" si="27"/>
        <v>0.45495999999999998</v>
      </c>
      <c r="K51" s="247">
        <f t="shared" si="27"/>
        <v>0.45495999999999998</v>
      </c>
      <c r="L51" s="244"/>
    </row>
    <row r="52" spans="1:12" ht="12.75" customHeight="1" x14ac:dyDescent="0.2">
      <c r="A52" s="216">
        <f t="shared" si="0"/>
        <v>43</v>
      </c>
      <c r="B52" s="236" t="s">
        <v>221</v>
      </c>
      <c r="C52" s="229" t="s">
        <v>267</v>
      </c>
      <c r="F52" s="248">
        <f>F37</f>
        <v>8.64</v>
      </c>
      <c r="L52" s="244"/>
    </row>
    <row r="53" spans="1:12" ht="12.75" customHeight="1" x14ac:dyDescent="0.2">
      <c r="A53" s="216">
        <f t="shared" si="0"/>
        <v>44</v>
      </c>
      <c r="B53" s="221" t="s">
        <v>223</v>
      </c>
      <c r="C53" s="229" t="s">
        <v>268</v>
      </c>
      <c r="E53" s="249">
        <f t="shared" ref="E53:K53" si="28">E49+E51</f>
        <v>0.60416999999999998</v>
      </c>
      <c r="F53" s="249">
        <f t="shared" si="28"/>
        <v>0.60416999999999998</v>
      </c>
      <c r="G53" s="249">
        <f t="shared" si="28"/>
        <v>0.59643000000000002</v>
      </c>
      <c r="H53" s="249">
        <f t="shared" si="28"/>
        <v>0.49428</v>
      </c>
      <c r="I53" s="249">
        <f t="shared" si="28"/>
        <v>0.53012999999999999</v>
      </c>
      <c r="J53" s="249">
        <f t="shared" si="28"/>
        <v>0.54196</v>
      </c>
      <c r="K53" s="249">
        <f t="shared" si="28"/>
        <v>0.53817999999999999</v>
      </c>
      <c r="L53" s="244"/>
    </row>
    <row r="54" spans="1:12" ht="12.75" customHeight="1" x14ac:dyDescent="0.2">
      <c r="A54" s="216">
        <f t="shared" si="0"/>
        <v>45</v>
      </c>
      <c r="B54" s="236" t="s">
        <v>221</v>
      </c>
      <c r="C54" s="229" t="s">
        <v>269</v>
      </c>
      <c r="F54" s="248">
        <f>SUM(F50,F52)</f>
        <v>11.47</v>
      </c>
      <c r="L54" s="244"/>
    </row>
    <row r="55" spans="1:12" ht="12.75" customHeight="1" x14ac:dyDescent="0.2">
      <c r="A55" s="216">
        <f t="shared" si="0"/>
        <v>46</v>
      </c>
      <c r="B55" s="221"/>
      <c r="L55" s="244"/>
    </row>
    <row r="56" spans="1:12" ht="12.75" customHeight="1" x14ac:dyDescent="0.2">
      <c r="A56" s="216">
        <f t="shared" si="0"/>
        <v>47</v>
      </c>
      <c r="B56" s="245" t="s">
        <v>224</v>
      </c>
      <c r="C56" s="229" t="s">
        <v>270</v>
      </c>
      <c r="E56" s="250">
        <f t="shared" ref="E56:K56" si="29">ROUND(E53*(1+$D$45),5)</f>
        <v>0.63426000000000005</v>
      </c>
      <c r="F56" s="250">
        <f t="shared" si="29"/>
        <v>0.63426000000000005</v>
      </c>
      <c r="G56" s="250">
        <f t="shared" si="29"/>
        <v>0.62614000000000003</v>
      </c>
      <c r="H56" s="250">
        <f t="shared" si="29"/>
        <v>0.51890000000000003</v>
      </c>
      <c r="I56" s="250">
        <f t="shared" si="29"/>
        <v>0.55654000000000003</v>
      </c>
      <c r="J56" s="250">
        <f t="shared" si="29"/>
        <v>0.56896000000000002</v>
      </c>
      <c r="K56" s="250">
        <f t="shared" si="29"/>
        <v>0.56498999999999999</v>
      </c>
      <c r="L56" s="244"/>
    </row>
    <row r="57" spans="1:12" ht="12.75" customHeight="1" x14ac:dyDescent="0.2">
      <c r="A57" s="216">
        <f t="shared" si="0"/>
        <v>48</v>
      </c>
      <c r="B57" s="251" t="s">
        <v>225</v>
      </c>
      <c r="C57" s="229" t="s">
        <v>271</v>
      </c>
      <c r="E57" s="252"/>
      <c r="F57" s="253">
        <f>ROUND(F54*(1+$D$45),2)</f>
        <v>12.04</v>
      </c>
      <c r="G57" s="252"/>
      <c r="H57" s="252"/>
      <c r="I57" s="252"/>
      <c r="J57" s="252"/>
      <c r="K57" s="252"/>
      <c r="L57" s="244"/>
    </row>
    <row r="58" spans="1:12" x14ac:dyDescent="0.2">
      <c r="A58" s="254"/>
      <c r="L58" s="244"/>
    </row>
    <row r="59" spans="1:12" x14ac:dyDescent="0.2">
      <c r="C59" s="222"/>
    </row>
    <row r="60" spans="1:12" x14ac:dyDescent="0.2">
      <c r="A60" s="202" t="s">
        <v>141</v>
      </c>
      <c r="C60" s="205"/>
    </row>
    <row r="61" spans="1:12" ht="14.25" x14ac:dyDescent="0.2">
      <c r="A61" s="255" t="s">
        <v>131</v>
      </c>
      <c r="B61" s="202" t="str">
        <f>'Gas Resource Allocation Study'!D57</f>
        <v>Source: 2019 Gas General Rate Case (Docket UG-190530) Compliance Filing (09-24-2020), Gas Resource Allocation Cost of Service model.</v>
      </c>
    </row>
    <row r="62" spans="1:12" ht="14.25" x14ac:dyDescent="0.2">
      <c r="A62" s="255" t="s">
        <v>132</v>
      </c>
      <c r="B62" s="202" t="s">
        <v>272</v>
      </c>
    </row>
  </sheetData>
  <printOptions horizontalCentered="1"/>
  <pageMargins left="0.75" right="0.75" top="0.75" bottom="0.75" header="0.5" footer="0.3"/>
  <pageSetup scale="64" orientation="landscape" blackAndWhite="1" r:id="rId1"/>
  <headerFooter alignWithMargins="0">
    <oddFooter>&amp;L&amp;F
&amp;A&amp;RPage &amp;P of &amp;N</oddFooter>
  </headerFooter>
  <ignoredErrors>
    <ignoredError sqref="F5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"/>
  <sheetViews>
    <sheetView workbookViewId="0">
      <selection activeCell="M30" sqref="M30"/>
    </sheetView>
  </sheetViews>
  <sheetFormatPr defaultRowHeight="12.75" x14ac:dyDescent="0.2"/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zoomScale="90" zoomScaleNormal="90" workbookViewId="0">
      <pane ySplit="8" topLeftCell="A17" activePane="bottomLeft" state="frozen"/>
      <selection activeCell="D40" sqref="D40"/>
      <selection pane="bottomLeft" activeCell="J35" sqref="J35"/>
    </sheetView>
  </sheetViews>
  <sheetFormatPr defaultColWidth="8.7109375" defaultRowHeight="15" x14ac:dyDescent="0.25"/>
  <cols>
    <col min="1" max="1" width="3.28515625" style="126" customWidth="1"/>
    <col min="2" max="2" width="38.7109375" style="126" customWidth="1"/>
    <col min="3" max="3" width="9.140625" style="126" bestFit="1" customWidth="1"/>
    <col min="4" max="4" width="18.5703125" style="126" bestFit="1" customWidth="1"/>
    <col min="5" max="6" width="13.7109375" style="126" customWidth="1"/>
    <col min="7" max="9" width="14.42578125" style="126" customWidth="1"/>
    <col min="10" max="10" width="7.85546875" style="126" bestFit="1" customWidth="1"/>
    <col min="11" max="11" width="8.7109375" style="126"/>
    <col min="12" max="12" width="12.28515625" style="126" bestFit="1" customWidth="1"/>
    <col min="13" max="16384" width="8.7109375" style="126"/>
  </cols>
  <sheetData>
    <row r="1" spans="1:12" s="103" customFormat="1" ht="15" customHeight="1" x14ac:dyDescent="0.25">
      <c r="A1" s="411" t="s">
        <v>7</v>
      </c>
      <c r="B1" s="411"/>
      <c r="C1" s="411"/>
      <c r="D1" s="411"/>
      <c r="E1" s="411"/>
      <c r="F1" s="411"/>
      <c r="G1" s="411"/>
      <c r="H1" s="411"/>
      <c r="I1" s="411"/>
      <c r="J1" s="411"/>
      <c r="K1" s="104"/>
    </row>
    <row r="2" spans="1:12" s="103" customFormat="1" ht="15" customHeight="1" x14ac:dyDescent="0.25">
      <c r="A2" s="411" t="s">
        <v>202</v>
      </c>
      <c r="B2" s="411"/>
      <c r="C2" s="411"/>
      <c r="D2" s="411"/>
      <c r="E2" s="411"/>
      <c r="F2" s="411"/>
      <c r="G2" s="411"/>
      <c r="H2" s="411"/>
      <c r="I2" s="411"/>
      <c r="J2" s="411"/>
      <c r="K2" s="104"/>
    </row>
    <row r="3" spans="1:12" s="103" customFormat="1" ht="15" customHeight="1" x14ac:dyDescent="0.25">
      <c r="A3" s="411" t="s">
        <v>203</v>
      </c>
      <c r="B3" s="411"/>
      <c r="C3" s="411"/>
      <c r="D3" s="411"/>
      <c r="E3" s="411"/>
      <c r="F3" s="411"/>
      <c r="G3" s="411"/>
      <c r="H3" s="411"/>
      <c r="I3" s="411"/>
      <c r="J3" s="411"/>
      <c r="K3" s="104"/>
    </row>
    <row r="4" spans="1:12" s="103" customFormat="1" ht="15" customHeight="1" x14ac:dyDescent="0.25">
      <c r="A4" s="412" t="s">
        <v>153</v>
      </c>
      <c r="B4" s="412"/>
      <c r="C4" s="412"/>
      <c r="D4" s="412"/>
      <c r="E4" s="412"/>
      <c r="F4" s="412"/>
      <c r="G4" s="412"/>
      <c r="H4" s="412"/>
      <c r="I4" s="412"/>
      <c r="J4" s="412"/>
      <c r="K4" s="104"/>
    </row>
    <row r="5" spans="1:12" x14ac:dyDescent="0.25">
      <c r="E5" s="158"/>
      <c r="F5" s="158"/>
    </row>
    <row r="6" spans="1:12" x14ac:dyDescent="0.25">
      <c r="B6" s="59"/>
      <c r="C6" s="59"/>
      <c r="D6" s="59" t="s">
        <v>50</v>
      </c>
      <c r="E6" s="59" t="s">
        <v>20</v>
      </c>
      <c r="F6" s="59" t="s">
        <v>21</v>
      </c>
      <c r="G6" s="59" t="s">
        <v>50</v>
      </c>
      <c r="H6" s="59" t="s">
        <v>50</v>
      </c>
      <c r="I6" s="59" t="s">
        <v>118</v>
      </c>
      <c r="J6" s="59"/>
    </row>
    <row r="7" spans="1:12" x14ac:dyDescent="0.25">
      <c r="B7" s="59"/>
      <c r="C7" s="59"/>
      <c r="D7" s="59" t="s">
        <v>51</v>
      </c>
      <c r="E7" s="59" t="s">
        <v>118</v>
      </c>
      <c r="F7" s="59" t="s">
        <v>118</v>
      </c>
      <c r="G7" s="59" t="s">
        <v>19</v>
      </c>
      <c r="H7" s="59" t="s">
        <v>19</v>
      </c>
      <c r="I7" s="59" t="s">
        <v>19</v>
      </c>
      <c r="J7" s="59" t="s">
        <v>22</v>
      </c>
    </row>
    <row r="8" spans="1:12" x14ac:dyDescent="0.25">
      <c r="A8" s="159"/>
      <c r="B8" s="110" t="s">
        <v>18</v>
      </c>
      <c r="C8" s="110" t="s">
        <v>84</v>
      </c>
      <c r="D8" s="160" t="str">
        <f>'Rate Impacts Sch 101'!$R$7</f>
        <v>12ME Oct. 2023</v>
      </c>
      <c r="E8" s="137" t="s">
        <v>14</v>
      </c>
      <c r="F8" s="137" t="s">
        <v>14</v>
      </c>
      <c r="G8" s="137" t="s">
        <v>43</v>
      </c>
      <c r="H8" s="137" t="s">
        <v>119</v>
      </c>
      <c r="I8" s="137" t="s">
        <v>15</v>
      </c>
      <c r="J8" s="137" t="s">
        <v>15</v>
      </c>
    </row>
    <row r="9" spans="1:12" x14ac:dyDescent="0.25">
      <c r="A9" s="161" t="s">
        <v>120</v>
      </c>
      <c r="B9" s="103"/>
      <c r="C9" s="161"/>
      <c r="D9" s="59"/>
      <c r="E9" s="59"/>
      <c r="F9" s="59"/>
      <c r="G9" s="138"/>
      <c r="H9" s="138"/>
      <c r="I9" s="59"/>
      <c r="J9" s="59"/>
    </row>
    <row r="10" spans="1:12" x14ac:dyDescent="0.25">
      <c r="A10" s="103"/>
      <c r="B10" s="105" t="s">
        <v>121</v>
      </c>
      <c r="C10" s="105" t="s">
        <v>122</v>
      </c>
      <c r="D10" s="405">
        <v>592785009</v>
      </c>
      <c r="E10" s="162">
        <v>0.46339999999999998</v>
      </c>
      <c r="F10" s="185">
        <f>'Sch. 101 PGA Rates'!$E$56</f>
        <v>0.63426000000000005</v>
      </c>
      <c r="G10" s="163">
        <f>ROUND(E10*D10,2)</f>
        <v>274696573.17000002</v>
      </c>
      <c r="H10" s="163">
        <f>ROUND(F10*D10,2)</f>
        <v>375979819.81</v>
      </c>
      <c r="I10" s="68">
        <f>H10-G10</f>
        <v>101283246.63999999</v>
      </c>
      <c r="J10" s="164">
        <f>I10/G10</f>
        <v>0.36870953820497554</v>
      </c>
      <c r="L10" s="68"/>
    </row>
    <row r="11" spans="1:12" x14ac:dyDescent="0.25">
      <c r="A11" s="103"/>
      <c r="B11" s="165"/>
      <c r="C11" s="165"/>
      <c r="D11" s="405"/>
      <c r="E11" s="166"/>
      <c r="F11" s="167"/>
      <c r="G11" s="163"/>
      <c r="H11" s="163"/>
      <c r="I11" s="68"/>
      <c r="J11" s="164"/>
    </row>
    <row r="12" spans="1:12" x14ac:dyDescent="0.25">
      <c r="A12" s="168" t="s">
        <v>123</v>
      </c>
      <c r="B12" s="103"/>
      <c r="C12" s="161"/>
      <c r="D12" s="405"/>
      <c r="E12" s="166"/>
      <c r="F12" s="167"/>
      <c r="G12" s="163"/>
      <c r="H12" s="163"/>
      <c r="I12" s="68"/>
      <c r="J12" s="164"/>
    </row>
    <row r="13" spans="1:12" x14ac:dyDescent="0.25">
      <c r="A13" s="103"/>
      <c r="B13" s="105" t="s">
        <v>121</v>
      </c>
      <c r="C13" s="169" t="s">
        <v>122</v>
      </c>
      <c r="D13" s="406">
        <v>7068</v>
      </c>
      <c r="E13" s="166">
        <v>0.46339999999999998</v>
      </c>
      <c r="F13" s="167">
        <f>'Sch. 101 PGA Rates'!$F$56</f>
        <v>0.63426000000000005</v>
      </c>
      <c r="G13" s="163">
        <f>ROUND(E13*D13,2)</f>
        <v>3275.31</v>
      </c>
      <c r="H13" s="163">
        <f>ROUND(F13*D13,2)</f>
        <v>4482.95</v>
      </c>
      <c r="I13" s="68">
        <f>H13-G13</f>
        <v>1207.6399999999999</v>
      </c>
      <c r="J13" s="164">
        <f>I13/G13</f>
        <v>0.36871013736104363</v>
      </c>
      <c r="L13" s="68"/>
    </row>
    <row r="14" spans="1:12" x14ac:dyDescent="0.25">
      <c r="A14" s="103"/>
      <c r="D14" s="407"/>
    </row>
    <row r="15" spans="1:12" x14ac:dyDescent="0.25">
      <c r="A15" s="161" t="s">
        <v>124</v>
      </c>
      <c r="B15" s="103"/>
      <c r="C15" s="165"/>
      <c r="D15" s="407"/>
      <c r="E15" s="166"/>
      <c r="F15" s="167"/>
      <c r="G15" s="163"/>
      <c r="H15" s="163"/>
      <c r="I15" s="68"/>
      <c r="J15" s="164"/>
    </row>
    <row r="16" spans="1:12" x14ac:dyDescent="0.25">
      <c r="A16" s="103"/>
      <c r="B16" s="105" t="s">
        <v>121</v>
      </c>
      <c r="C16" s="105" t="s">
        <v>122</v>
      </c>
      <c r="D16" s="405">
        <v>239317160</v>
      </c>
      <c r="E16" s="162">
        <v>0.45562000000000002</v>
      </c>
      <c r="F16" s="185">
        <f>'Sch. 101 PGA Rates'!$G$56</f>
        <v>0.62614000000000003</v>
      </c>
      <c r="G16" s="163">
        <f>ROUND(E16*D16,2)</f>
        <v>109037684.44</v>
      </c>
      <c r="H16" s="163">
        <f>ROUND(F16*D16,2)</f>
        <v>149846046.56</v>
      </c>
      <c r="I16" s="68">
        <f>H16-G16</f>
        <v>40808362.120000005</v>
      </c>
      <c r="J16" s="164">
        <f>I16/G16</f>
        <v>0.37425925109823438</v>
      </c>
      <c r="L16" s="68"/>
    </row>
    <row r="17" spans="1:13" x14ac:dyDescent="0.25">
      <c r="A17" s="103"/>
      <c r="B17" s="105"/>
      <c r="C17" s="105"/>
      <c r="D17" s="407"/>
      <c r="E17" s="166"/>
      <c r="F17" s="167"/>
      <c r="G17" s="163"/>
      <c r="H17" s="163"/>
      <c r="I17" s="68"/>
      <c r="J17" s="164"/>
    </row>
    <row r="18" spans="1:13" x14ac:dyDescent="0.25">
      <c r="A18" s="168" t="s">
        <v>125</v>
      </c>
      <c r="B18" s="103"/>
      <c r="C18" s="165"/>
      <c r="D18" s="407"/>
      <c r="E18" s="166"/>
      <c r="F18" s="167"/>
      <c r="G18" s="163"/>
      <c r="H18" s="163"/>
      <c r="I18" s="68"/>
      <c r="J18" s="164"/>
    </row>
    <row r="19" spans="1:13" x14ac:dyDescent="0.25">
      <c r="A19" s="103"/>
      <c r="B19" s="172" t="s">
        <v>126</v>
      </c>
      <c r="C19" s="105" t="s">
        <v>122</v>
      </c>
      <c r="D19" s="405">
        <v>65277168</v>
      </c>
      <c r="E19" s="162">
        <v>0.34892000000000001</v>
      </c>
      <c r="F19" s="185">
        <f>'Sch. 101 PGA Rates'!$H$56</f>
        <v>0.51890000000000003</v>
      </c>
      <c r="G19" s="163">
        <f t="shared" ref="G19:G20" si="0">ROUND(E19*D19,2)</f>
        <v>22776509.460000001</v>
      </c>
      <c r="H19" s="163">
        <f t="shared" ref="H19:H20" si="1">ROUND(F19*D19,2)</f>
        <v>33872322.479999997</v>
      </c>
      <c r="I19" s="68">
        <f t="shared" ref="I19:I20" si="2">H19-G19</f>
        <v>11095813.019999996</v>
      </c>
      <c r="J19" s="164">
        <f t="shared" ref="J19:J20" si="3">I19/G19</f>
        <v>0.48716038071972401</v>
      </c>
    </row>
    <row r="20" spans="1:13" x14ac:dyDescent="0.25">
      <c r="A20" s="103"/>
      <c r="B20" s="172" t="s">
        <v>127</v>
      </c>
      <c r="C20" s="105" t="s">
        <v>1</v>
      </c>
      <c r="D20" s="405">
        <v>4376244</v>
      </c>
      <c r="E20" s="171">
        <v>1.05</v>
      </c>
      <c r="F20" s="115">
        <f>'Sch. 101 PGA Rates'!$H$47</f>
        <v>1.05</v>
      </c>
      <c r="G20" s="163">
        <f t="shared" si="0"/>
        <v>4595056.2</v>
      </c>
      <c r="H20" s="163">
        <f t="shared" si="1"/>
        <v>4595056.2</v>
      </c>
      <c r="I20" s="68">
        <f t="shared" si="2"/>
        <v>0</v>
      </c>
      <c r="J20" s="164">
        <f t="shared" si="3"/>
        <v>0</v>
      </c>
    </row>
    <row r="21" spans="1:13" x14ac:dyDescent="0.25">
      <c r="A21" s="103"/>
      <c r="B21" s="172" t="s">
        <v>5</v>
      </c>
      <c r="C21" s="105"/>
      <c r="D21" s="407"/>
      <c r="E21" s="166"/>
      <c r="F21" s="167"/>
      <c r="G21" s="145">
        <f>SUM(G19:G20)</f>
        <v>27371565.66</v>
      </c>
      <c r="H21" s="145">
        <f t="shared" ref="H21:I21" si="4">SUM(H19:H20)</f>
        <v>38467378.68</v>
      </c>
      <c r="I21" s="145">
        <f t="shared" si="4"/>
        <v>11095813.019999996</v>
      </c>
      <c r="J21" s="173">
        <f>I21/G21</f>
        <v>0.4053773597691962</v>
      </c>
      <c r="L21" s="68"/>
    </row>
    <row r="22" spans="1:13" x14ac:dyDescent="0.25">
      <c r="A22" s="103"/>
      <c r="B22" s="172"/>
      <c r="C22" s="105"/>
      <c r="D22" s="407"/>
      <c r="E22" s="166"/>
      <c r="F22" s="167"/>
      <c r="G22" s="163"/>
      <c r="H22" s="163"/>
      <c r="I22" s="68"/>
      <c r="J22" s="164"/>
      <c r="L22" s="68"/>
    </row>
    <row r="23" spans="1:13" x14ac:dyDescent="0.25">
      <c r="A23" s="161" t="s">
        <v>128</v>
      </c>
      <c r="B23" s="103"/>
      <c r="C23" s="165"/>
      <c r="D23" s="407"/>
      <c r="E23" s="174"/>
      <c r="F23" s="167"/>
      <c r="G23" s="163"/>
      <c r="H23" s="163"/>
      <c r="I23" s="68"/>
      <c r="J23" s="175"/>
    </row>
    <row r="24" spans="1:13" s="103" customFormat="1" x14ac:dyDescent="0.25">
      <c r="B24" s="172" t="s">
        <v>126</v>
      </c>
      <c r="C24" s="105" t="s">
        <v>122</v>
      </c>
      <c r="D24" s="405">
        <v>12864575</v>
      </c>
      <c r="E24" s="162">
        <v>0.38712000000000002</v>
      </c>
      <c r="F24" s="185">
        <f>'Sch. 101 PGA Rates'!$I$56</f>
        <v>0.55654000000000003</v>
      </c>
      <c r="G24" s="163">
        <f t="shared" ref="G24:G25" si="5">ROUND(E24*D24,2)</f>
        <v>4980134.2699999996</v>
      </c>
      <c r="H24" s="163">
        <f t="shared" ref="H24:H25" si="6">ROUND(F24*D24,2)</f>
        <v>7159650.5700000003</v>
      </c>
      <c r="I24" s="68">
        <f t="shared" ref="I24:I25" si="7">H24-G24</f>
        <v>2179516.3000000007</v>
      </c>
      <c r="J24" s="164">
        <f t="shared" ref="J24:J25" si="8">I24/G24</f>
        <v>0.43764207586314757</v>
      </c>
    </row>
    <row r="25" spans="1:13" s="103" customFormat="1" x14ac:dyDescent="0.25">
      <c r="B25" s="172" t="s">
        <v>127</v>
      </c>
      <c r="C25" s="105" t="s">
        <v>1</v>
      </c>
      <c r="D25" s="405">
        <v>91452</v>
      </c>
      <c r="E25" s="171">
        <v>1.05</v>
      </c>
      <c r="F25" s="115">
        <f>'Sch. 101 PGA Rates'!$I$47</f>
        <v>1.05</v>
      </c>
      <c r="G25" s="163">
        <f t="shared" si="5"/>
        <v>96024.6</v>
      </c>
      <c r="H25" s="163">
        <f t="shared" si="6"/>
        <v>96024.6</v>
      </c>
      <c r="I25" s="68">
        <f t="shared" si="7"/>
        <v>0</v>
      </c>
      <c r="J25" s="164">
        <f t="shared" si="8"/>
        <v>0</v>
      </c>
      <c r="K25" s="133"/>
      <c r="L25" s="176"/>
      <c r="M25" s="177"/>
    </row>
    <row r="26" spans="1:13" s="103" customFormat="1" x14ac:dyDescent="0.25">
      <c r="B26" s="165" t="s">
        <v>5</v>
      </c>
      <c r="C26" s="165"/>
      <c r="D26" s="407"/>
      <c r="E26" s="178"/>
      <c r="F26" s="179"/>
      <c r="G26" s="145">
        <f>SUM(G24:G25)</f>
        <v>5076158.8699999992</v>
      </c>
      <c r="H26" s="145">
        <f t="shared" ref="H26:I26" si="9">SUM(H24:H25)</f>
        <v>7255675.1699999999</v>
      </c>
      <c r="I26" s="145">
        <f t="shared" si="9"/>
        <v>2179516.3000000007</v>
      </c>
      <c r="J26" s="173">
        <f>I26/G26</f>
        <v>0.42936329532176387</v>
      </c>
      <c r="K26" s="133"/>
      <c r="L26" s="141"/>
    </row>
    <row r="27" spans="1:13" s="103" customFormat="1" x14ac:dyDescent="0.25">
      <c r="B27" s="165"/>
      <c r="C27" s="165"/>
      <c r="D27" s="407"/>
      <c r="E27" s="178"/>
      <c r="F27" s="179"/>
      <c r="G27" s="163"/>
      <c r="H27" s="163"/>
      <c r="I27" s="68"/>
      <c r="J27" s="164"/>
      <c r="K27" s="133"/>
      <c r="L27" s="141"/>
    </row>
    <row r="28" spans="1:13" x14ac:dyDescent="0.25">
      <c r="A28" s="161" t="s">
        <v>129</v>
      </c>
      <c r="B28" s="103"/>
      <c r="C28" s="165"/>
      <c r="D28" s="407"/>
      <c r="F28" s="170"/>
      <c r="G28" s="180"/>
      <c r="H28" s="180"/>
      <c r="I28" s="68"/>
    </row>
    <row r="29" spans="1:13" x14ac:dyDescent="0.25">
      <c r="A29" s="103"/>
      <c r="B29" s="172" t="s">
        <v>126</v>
      </c>
      <c r="C29" s="105" t="s">
        <v>122</v>
      </c>
      <c r="D29" s="405">
        <v>5457791</v>
      </c>
      <c r="E29" s="162">
        <v>0.40093000000000001</v>
      </c>
      <c r="F29" s="185">
        <f>'Sch. 101 PGA Rates'!$J$56</f>
        <v>0.56896000000000002</v>
      </c>
      <c r="G29" s="163">
        <f t="shared" ref="G29:G30" si="10">ROUND(E29*D29,2)</f>
        <v>2188192.15</v>
      </c>
      <c r="H29" s="163">
        <f t="shared" ref="H29:H30" si="11">ROUND(F29*D29,2)</f>
        <v>3105264.77</v>
      </c>
      <c r="I29" s="68">
        <f t="shared" ref="I29:I30" si="12">H29-G29</f>
        <v>917072.62000000011</v>
      </c>
      <c r="J29" s="164">
        <f t="shared" ref="J29:J30" si="13">I29/G29</f>
        <v>0.41910058949804757</v>
      </c>
    </row>
    <row r="30" spans="1:13" x14ac:dyDescent="0.25">
      <c r="A30" s="103"/>
      <c r="B30" s="172" t="s">
        <v>127</v>
      </c>
      <c r="C30" s="105" t="s">
        <v>1</v>
      </c>
      <c r="D30" s="405">
        <v>34668</v>
      </c>
      <c r="E30" s="171">
        <v>1.05</v>
      </c>
      <c r="F30" s="115">
        <f>'Sch. 101 PGA Rates'!$J$47</f>
        <v>1.05</v>
      </c>
      <c r="G30" s="163">
        <f t="shared" si="10"/>
        <v>36401.4</v>
      </c>
      <c r="H30" s="163">
        <f t="shared" si="11"/>
        <v>36401.4</v>
      </c>
      <c r="I30" s="68">
        <f t="shared" si="12"/>
        <v>0</v>
      </c>
      <c r="J30" s="164">
        <f t="shared" si="13"/>
        <v>0</v>
      </c>
    </row>
    <row r="31" spans="1:13" x14ac:dyDescent="0.25">
      <c r="A31" s="105"/>
      <c r="B31" s="165" t="s">
        <v>5</v>
      </c>
      <c r="C31" s="165"/>
      <c r="D31" s="407"/>
      <c r="F31" s="170"/>
      <c r="G31" s="145">
        <f>SUM(G29:G30)</f>
        <v>2224593.5499999998</v>
      </c>
      <c r="H31" s="145">
        <f t="shared" ref="H31:I31" si="14">SUM(H29:H30)</f>
        <v>3141666.17</v>
      </c>
      <c r="I31" s="145">
        <f t="shared" si="14"/>
        <v>917072.62000000011</v>
      </c>
      <c r="J31" s="173">
        <f>I31/G31</f>
        <v>0.41224277576458862</v>
      </c>
      <c r="L31" s="68"/>
    </row>
    <row r="32" spans="1:13" x14ac:dyDescent="0.25">
      <c r="A32" s="105"/>
      <c r="B32" s="165"/>
      <c r="C32" s="165"/>
      <c r="D32" s="407"/>
      <c r="F32" s="170"/>
      <c r="G32" s="163"/>
      <c r="H32" s="163"/>
      <c r="I32" s="68"/>
      <c r="J32" s="164"/>
      <c r="L32" s="68"/>
    </row>
    <row r="33" spans="1:12" x14ac:dyDescent="0.25">
      <c r="A33" s="161" t="s">
        <v>130</v>
      </c>
      <c r="B33" s="103"/>
      <c r="C33" s="165"/>
      <c r="D33" s="407"/>
      <c r="F33" s="170"/>
      <c r="G33" s="181"/>
      <c r="H33" s="181"/>
      <c r="I33" s="68"/>
    </row>
    <row r="34" spans="1:12" x14ac:dyDescent="0.25">
      <c r="A34" s="103"/>
      <c r="B34" s="172" t="s">
        <v>126</v>
      </c>
      <c r="C34" s="105" t="s">
        <v>122</v>
      </c>
      <c r="D34" s="405">
        <v>15634790</v>
      </c>
      <c r="E34" s="162">
        <v>0.39700999999999997</v>
      </c>
      <c r="F34" s="185">
        <f>'Sch. 101 PGA Rates'!$K$56</f>
        <v>0.56498999999999999</v>
      </c>
      <c r="G34" s="163">
        <f t="shared" ref="G34:G35" si="15">ROUND(E34*D34,2)</f>
        <v>6207167.9800000004</v>
      </c>
      <c r="H34" s="163">
        <f t="shared" ref="H34:H35" si="16">ROUND(F34*D34,2)</f>
        <v>8833500</v>
      </c>
      <c r="I34" s="68">
        <f t="shared" ref="I34:I35" si="17">H34-G34</f>
        <v>2626332.0199999996</v>
      </c>
      <c r="J34" s="164">
        <f t="shared" ref="J34" si="18">I34/G34</f>
        <v>0.42311276712057005</v>
      </c>
    </row>
    <row r="35" spans="1:12" x14ac:dyDescent="0.25">
      <c r="A35" s="103"/>
      <c r="B35" s="172" t="s">
        <v>127</v>
      </c>
      <c r="C35" s="105" t="s">
        <v>1</v>
      </c>
      <c r="D35" s="405">
        <v>0</v>
      </c>
      <c r="E35" s="171">
        <v>1.05</v>
      </c>
      <c r="F35" s="115">
        <f>'Sch. 101 PGA Rates'!$K$47</f>
        <v>1.05</v>
      </c>
      <c r="G35" s="163">
        <f t="shared" si="15"/>
        <v>0</v>
      </c>
      <c r="H35" s="163">
        <f t="shared" si="16"/>
        <v>0</v>
      </c>
      <c r="I35" s="68">
        <f t="shared" si="17"/>
        <v>0</v>
      </c>
      <c r="J35" s="164">
        <v>0</v>
      </c>
    </row>
    <row r="36" spans="1:12" x14ac:dyDescent="0.25">
      <c r="B36" s="172" t="s">
        <v>5</v>
      </c>
      <c r="D36" s="170"/>
      <c r="G36" s="145">
        <f>SUM(G34:G35)</f>
        <v>6207167.9800000004</v>
      </c>
      <c r="H36" s="145">
        <f t="shared" ref="H36:I36" si="19">SUM(H34:H35)</f>
        <v>8833500</v>
      </c>
      <c r="I36" s="145">
        <f t="shared" si="19"/>
        <v>2626332.0199999996</v>
      </c>
      <c r="J36" s="173">
        <f>I36/G36</f>
        <v>0.42311276712057005</v>
      </c>
      <c r="L36" s="68"/>
    </row>
    <row r="37" spans="1:12" x14ac:dyDescent="0.25">
      <c r="D37" s="170"/>
      <c r="G37" s="163"/>
      <c r="H37" s="163"/>
      <c r="I37" s="68"/>
      <c r="J37" s="164"/>
      <c r="L37" s="68"/>
    </row>
    <row r="38" spans="1:12" x14ac:dyDescent="0.25">
      <c r="A38" s="182" t="s">
        <v>5</v>
      </c>
      <c r="G38" s="183">
        <f>G10+G13+G16+G21+G26+G31+G36</f>
        <v>424617018.98000008</v>
      </c>
      <c r="H38" s="183">
        <f t="shared" ref="H38:I38" si="20">H10+H13+H16+H21+H26+H31+H36</f>
        <v>583528569.33999991</v>
      </c>
      <c r="I38" s="183">
        <f t="shared" si="20"/>
        <v>158911550.35999998</v>
      </c>
      <c r="J38" s="173">
        <f>I38/G38</f>
        <v>0.37424677593406797</v>
      </c>
    </row>
    <row r="39" spans="1:12" x14ac:dyDescent="0.25">
      <c r="B39" s="126" t="s">
        <v>122</v>
      </c>
      <c r="D39" s="184">
        <f>SUM(D10,D13,D16,D19,D24,D29,D34)</f>
        <v>931343561</v>
      </c>
      <c r="I39" s="68"/>
    </row>
    <row r="40" spans="1:12" x14ac:dyDescent="0.25">
      <c r="B40" s="126" t="s">
        <v>1</v>
      </c>
      <c r="D40" s="184">
        <f>SUM(D20,D25,D30,D35)</f>
        <v>4502364</v>
      </c>
      <c r="I40" s="68"/>
    </row>
    <row r="41" spans="1:12" x14ac:dyDescent="0.25">
      <c r="I41" s="68"/>
    </row>
    <row r="42" spans="1:12" x14ac:dyDescent="0.25">
      <c r="G42" s="69"/>
      <c r="H42" s="69"/>
    </row>
  </sheetData>
  <mergeCells count="4">
    <mergeCell ref="A1:J1"/>
    <mergeCell ref="A2:J2"/>
    <mergeCell ref="A3:J3"/>
    <mergeCell ref="A4:J4"/>
  </mergeCells>
  <printOptions horizontalCentered="1"/>
  <pageMargins left="0.7" right="0.7" top="0.75" bottom="0.75" header="0.3" footer="0.3"/>
  <pageSetup scale="84" orientation="landscape" blackAndWhite="1" r:id="rId1"/>
  <headerFooter>
    <oddFooter>&amp;L&amp;F 
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8"/>
  <sheetViews>
    <sheetView zoomScale="90" zoomScaleNormal="90" workbookViewId="0">
      <pane xSplit="3" ySplit="9" topLeftCell="F10" activePane="bottomRight" state="frozenSplit"/>
      <selection activeCell="D40" sqref="D40"/>
      <selection pane="topRight" activeCell="D40" sqref="D40"/>
      <selection pane="bottomLeft" activeCell="D40" sqref="D40"/>
      <selection pane="bottomRight" activeCell="I15" sqref="I15"/>
    </sheetView>
  </sheetViews>
  <sheetFormatPr defaultColWidth="8.7109375" defaultRowHeight="15" x14ac:dyDescent="0.25"/>
  <cols>
    <col min="1" max="1" width="2.85546875" style="55" customWidth="1"/>
    <col min="2" max="2" width="37.5703125" style="55" customWidth="1"/>
    <col min="3" max="3" width="8.42578125" style="55" bestFit="1" customWidth="1"/>
    <col min="4" max="4" width="15" style="55" bestFit="1" customWidth="1"/>
    <col min="5" max="5" width="14.5703125" style="55" bestFit="1" customWidth="1"/>
    <col min="6" max="6" width="10.5703125" style="55" bestFit="1" customWidth="1"/>
    <col min="7" max="7" width="15" style="55" customWidth="1"/>
    <col min="8" max="9" width="14.5703125" style="55" bestFit="1" customWidth="1"/>
    <col min="10" max="11" width="13.28515625" style="55" bestFit="1" customWidth="1"/>
    <col min="12" max="12" width="12.140625" style="55" bestFit="1" customWidth="1"/>
    <col min="13" max="13" width="13.28515625" style="55" bestFit="1" customWidth="1"/>
    <col min="14" max="14" width="14" style="55" bestFit="1" customWidth="1"/>
    <col min="15" max="15" width="12.85546875" style="55" bestFit="1" customWidth="1"/>
    <col min="16" max="17" width="13.28515625" style="55" bestFit="1" customWidth="1"/>
    <col min="18" max="18" width="16.140625" style="55" bestFit="1" customWidth="1"/>
    <col min="19" max="19" width="14.5703125" style="55" bestFit="1" customWidth="1"/>
    <col min="20" max="20" width="7.85546875" style="55" bestFit="1" customWidth="1"/>
    <col min="21" max="21" width="13.7109375" style="55" bestFit="1" customWidth="1"/>
    <col min="22" max="16384" width="8.7109375" style="55"/>
  </cols>
  <sheetData>
    <row r="1" spans="2:20" x14ac:dyDescent="0.25">
      <c r="B1" s="104" t="s">
        <v>7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</row>
    <row r="2" spans="2:20" x14ac:dyDescent="0.25">
      <c r="B2" s="104" t="s">
        <v>184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2:20" x14ac:dyDescent="0.25">
      <c r="B3" s="135" t="s">
        <v>75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</row>
    <row r="4" spans="2:20" x14ac:dyDescent="0.25">
      <c r="B4" s="135" t="s">
        <v>153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</row>
    <row r="5" spans="2:20" x14ac:dyDescent="0.25">
      <c r="F5" s="57"/>
      <c r="N5" s="57"/>
      <c r="Q5" s="57"/>
    </row>
    <row r="6" spans="2:20" x14ac:dyDescent="0.25">
      <c r="F6" s="57"/>
      <c r="G6" s="60" t="s">
        <v>50</v>
      </c>
      <c r="N6" s="57"/>
      <c r="Q6" s="57"/>
    </row>
    <row r="7" spans="2:20" x14ac:dyDescent="0.25">
      <c r="B7" s="60"/>
      <c r="C7" s="60"/>
      <c r="D7" s="60" t="s">
        <v>185</v>
      </c>
      <c r="E7" s="60" t="s">
        <v>185</v>
      </c>
      <c r="F7" s="60" t="s">
        <v>186</v>
      </c>
      <c r="G7" s="60" t="s">
        <v>122</v>
      </c>
      <c r="H7" s="57"/>
      <c r="I7" s="60"/>
      <c r="J7" s="60"/>
      <c r="K7" s="60"/>
      <c r="L7" s="60"/>
      <c r="M7" s="60"/>
      <c r="N7" s="60"/>
      <c r="O7" s="60"/>
      <c r="P7" s="60"/>
      <c r="Q7" s="60"/>
      <c r="R7" s="58" t="s">
        <v>154</v>
      </c>
      <c r="S7" s="58" t="s">
        <v>155</v>
      </c>
      <c r="T7" s="60"/>
    </row>
    <row r="8" spans="2:20" x14ac:dyDescent="0.25">
      <c r="B8" s="60"/>
      <c r="C8" s="60" t="s">
        <v>0</v>
      </c>
      <c r="D8" s="60" t="s">
        <v>32</v>
      </c>
      <c r="E8" s="60" t="s">
        <v>187</v>
      </c>
      <c r="F8" s="60" t="s">
        <v>0</v>
      </c>
      <c r="G8" s="58" t="s">
        <v>188</v>
      </c>
      <c r="H8" s="57" t="s">
        <v>187</v>
      </c>
      <c r="I8" s="60" t="s">
        <v>155</v>
      </c>
      <c r="J8" s="60" t="s">
        <v>156</v>
      </c>
      <c r="K8" s="60" t="s">
        <v>189</v>
      </c>
      <c r="L8" s="60" t="s">
        <v>190</v>
      </c>
      <c r="M8" s="60" t="s">
        <v>191</v>
      </c>
      <c r="N8" s="60" t="s">
        <v>192</v>
      </c>
      <c r="O8" s="60" t="s">
        <v>193</v>
      </c>
      <c r="P8" s="60" t="s">
        <v>194</v>
      </c>
      <c r="Q8" s="60" t="s">
        <v>195</v>
      </c>
      <c r="R8" s="60" t="s">
        <v>53</v>
      </c>
      <c r="S8" s="60" t="s">
        <v>19</v>
      </c>
      <c r="T8" s="60" t="s">
        <v>22</v>
      </c>
    </row>
    <row r="9" spans="2:20" ht="17.25" x14ac:dyDescent="0.25">
      <c r="B9" s="61" t="s">
        <v>33</v>
      </c>
      <c r="C9" s="61" t="s">
        <v>6</v>
      </c>
      <c r="D9" s="61" t="s">
        <v>196</v>
      </c>
      <c r="E9" s="61" t="s">
        <v>197</v>
      </c>
      <c r="F9" s="61" t="s">
        <v>54</v>
      </c>
      <c r="G9" s="136" t="s">
        <v>198</v>
      </c>
      <c r="H9" s="61" t="s">
        <v>19</v>
      </c>
      <c r="I9" s="61" t="s">
        <v>19</v>
      </c>
      <c r="J9" s="61" t="s">
        <v>19</v>
      </c>
      <c r="K9" s="61" t="s">
        <v>19</v>
      </c>
      <c r="L9" s="61" t="s">
        <v>19</v>
      </c>
      <c r="M9" s="61" t="s">
        <v>19</v>
      </c>
      <c r="N9" s="61" t="s">
        <v>19</v>
      </c>
      <c r="O9" s="61" t="s">
        <v>19</v>
      </c>
      <c r="P9" s="61" t="s">
        <v>19</v>
      </c>
      <c r="Q9" s="61" t="s">
        <v>19</v>
      </c>
      <c r="R9" s="137" t="s">
        <v>199</v>
      </c>
      <c r="S9" s="61" t="s">
        <v>15</v>
      </c>
      <c r="T9" s="61" t="s">
        <v>15</v>
      </c>
    </row>
    <row r="10" spans="2:20" x14ac:dyDescent="0.25">
      <c r="B10" s="60" t="s">
        <v>34</v>
      </c>
      <c r="C10" s="60" t="s">
        <v>35</v>
      </c>
      <c r="D10" s="62" t="s">
        <v>36</v>
      </c>
      <c r="E10" s="63" t="s">
        <v>55</v>
      </c>
      <c r="F10" s="60" t="s">
        <v>76</v>
      </c>
      <c r="G10" s="60" t="s">
        <v>56</v>
      </c>
      <c r="H10" s="60" t="s">
        <v>77</v>
      </c>
      <c r="I10" s="60" t="s">
        <v>37</v>
      </c>
      <c r="J10" s="60" t="s">
        <v>57</v>
      </c>
      <c r="K10" s="60" t="s">
        <v>58</v>
      </c>
      <c r="L10" s="63" t="s">
        <v>59</v>
      </c>
      <c r="M10" s="60" t="s">
        <v>60</v>
      </c>
      <c r="N10" s="63" t="s">
        <v>61</v>
      </c>
      <c r="O10" s="63" t="s">
        <v>62</v>
      </c>
      <c r="P10" s="63" t="s">
        <v>63</v>
      </c>
      <c r="Q10" s="60" t="s">
        <v>64</v>
      </c>
      <c r="R10" s="138" t="s">
        <v>200</v>
      </c>
      <c r="S10" s="60" t="s">
        <v>78</v>
      </c>
      <c r="T10" s="60" t="s">
        <v>201</v>
      </c>
    </row>
    <row r="11" spans="2:20" x14ac:dyDescent="0.25">
      <c r="B11" s="55" t="s">
        <v>9</v>
      </c>
      <c r="C11" s="57" t="s">
        <v>65</v>
      </c>
      <c r="D11" s="405">
        <v>609248315.15931809</v>
      </c>
      <c r="E11" s="142">
        <v>363968434.35868043</v>
      </c>
      <c r="F11" s="67">
        <f t="shared" ref="F11:F16" si="0">(E11)/D11</f>
        <v>0.59740572981888818</v>
      </c>
      <c r="G11" s="405">
        <v>592785009</v>
      </c>
      <c r="H11" s="140">
        <f>F11*G11</f>
        <v>354133160.92734122</v>
      </c>
      <c r="I11" s="139">
        <f>'Sch. 101'!G10</f>
        <v>274696573.17000002</v>
      </c>
      <c r="J11" s="142">
        <v>15519111.539999999</v>
      </c>
      <c r="K11" s="142">
        <v>14025293.31294</v>
      </c>
      <c r="L11" s="142">
        <v>2163665.2828500001</v>
      </c>
      <c r="M11" s="142">
        <v>14001581.912580002</v>
      </c>
      <c r="N11" s="142">
        <v>1861344.92826</v>
      </c>
      <c r="O11" s="142">
        <v>-812115.46232999989</v>
      </c>
      <c r="P11" s="142">
        <v>9881726.0999999996</v>
      </c>
      <c r="Q11" s="142">
        <v>13385085.503219999</v>
      </c>
      <c r="R11" s="141">
        <f t="shared" ref="R11:R23" si="1">SUM(H11:Q11)</f>
        <v>698855427.21486127</v>
      </c>
      <c r="S11" s="139">
        <f>'Sch. 101'!I10</f>
        <v>101283246.63999999</v>
      </c>
      <c r="T11" s="66">
        <f>S11/R11</f>
        <v>0.14492732358628549</v>
      </c>
    </row>
    <row r="12" spans="2:20" x14ac:dyDescent="0.25">
      <c r="B12" s="55" t="s">
        <v>66</v>
      </c>
      <c r="C12" s="57">
        <v>16</v>
      </c>
      <c r="D12" s="405">
        <v>9386</v>
      </c>
      <c r="E12" s="142">
        <v>5552.56</v>
      </c>
      <c r="F12" s="67">
        <f t="shared" si="0"/>
        <v>0.59157894736842109</v>
      </c>
      <c r="G12" s="405">
        <v>7068</v>
      </c>
      <c r="H12" s="140">
        <f t="shared" ref="H12:H23" si="2">F12*G12</f>
        <v>4181.2800000000007</v>
      </c>
      <c r="I12" s="139">
        <f>'Sch. 101'!G13</f>
        <v>3275.31</v>
      </c>
      <c r="J12" s="142">
        <v>185.04</v>
      </c>
      <c r="K12" s="142">
        <v>167.22888</v>
      </c>
      <c r="L12" s="142"/>
      <c r="M12" s="142">
        <v>166.94616000000002</v>
      </c>
      <c r="N12" s="142">
        <v>22.193519999999999</v>
      </c>
      <c r="O12" s="142">
        <v>-9.6831599999999991</v>
      </c>
      <c r="P12" s="142"/>
      <c r="Q12" s="142">
        <v>159.59544</v>
      </c>
      <c r="R12" s="141">
        <f t="shared" si="1"/>
        <v>8147.9108400000005</v>
      </c>
      <c r="S12" s="139">
        <f>'Sch. 101'!I13</f>
        <v>1207.6399999999999</v>
      </c>
      <c r="T12" s="66">
        <f t="shared" ref="T12:T24" si="3">S12/R12</f>
        <v>0.14821468026765985</v>
      </c>
    </row>
    <row r="13" spans="2:20" x14ac:dyDescent="0.25">
      <c r="B13" s="55" t="s">
        <v>17</v>
      </c>
      <c r="C13" s="57">
        <v>31</v>
      </c>
      <c r="D13" s="405">
        <v>234140158.08963937</v>
      </c>
      <c r="E13" s="142">
        <v>115517786.53999999</v>
      </c>
      <c r="F13" s="67">
        <f t="shared" si="0"/>
        <v>0.49337024234763949</v>
      </c>
      <c r="G13" s="405">
        <v>239317160</v>
      </c>
      <c r="H13" s="140">
        <f t="shared" si="2"/>
        <v>118071965.22714882</v>
      </c>
      <c r="I13" s="139">
        <f>'Sch. 101'!G16</f>
        <v>109037684.44</v>
      </c>
      <c r="J13" s="142">
        <v>6255750.5599999996</v>
      </c>
      <c r="K13" s="142">
        <v>5662244.0055999998</v>
      </c>
      <c r="L13" s="142">
        <v>737096.85279999999</v>
      </c>
      <c r="M13" s="142">
        <v>6066690.0060000001</v>
      </c>
      <c r="N13" s="142">
        <v>847182.74640000006</v>
      </c>
      <c r="O13" s="142">
        <v>-351796.22519999999</v>
      </c>
      <c r="P13" s="142">
        <v>3802749.67</v>
      </c>
      <c r="Q13" s="142">
        <v>5915920.1952</v>
      </c>
      <c r="R13" s="141">
        <f t="shared" si="1"/>
        <v>256045487.47794884</v>
      </c>
      <c r="S13" s="139">
        <f>'Sch. 101'!I16</f>
        <v>40808362.120000005</v>
      </c>
      <c r="T13" s="66">
        <f>S13/R13</f>
        <v>0.15937934513887694</v>
      </c>
    </row>
    <row r="14" spans="2:20" x14ac:dyDescent="0.25">
      <c r="B14" s="55" t="s">
        <v>11</v>
      </c>
      <c r="C14" s="57">
        <v>41</v>
      </c>
      <c r="D14" s="405">
        <v>65836657.463465497</v>
      </c>
      <c r="E14" s="142">
        <v>16636904.087507829</v>
      </c>
      <c r="F14" s="67">
        <f t="shared" si="0"/>
        <v>0.25269970755638815</v>
      </c>
      <c r="G14" s="405">
        <v>65277168</v>
      </c>
      <c r="H14" s="140">
        <f t="shared" si="2"/>
        <v>16495521.263709219</v>
      </c>
      <c r="I14" s="139">
        <f>'Sch. 101'!G21</f>
        <v>27371565.66</v>
      </c>
      <c r="J14" s="142">
        <v>1699164.68</v>
      </c>
      <c r="K14" s="142">
        <v>1544457.7948799999</v>
      </c>
      <c r="L14" s="142">
        <v>97262.980320000002</v>
      </c>
      <c r="M14" s="142">
        <v>568564.13327999995</v>
      </c>
      <c r="N14" s="142">
        <v>86818.633440000005</v>
      </c>
      <c r="O14" s="142">
        <v>-36555.214079999998</v>
      </c>
      <c r="P14" s="142">
        <v>-1302428.1099999999</v>
      </c>
      <c r="Q14" s="142">
        <v>734368.14</v>
      </c>
      <c r="R14" s="141">
        <f t="shared" si="1"/>
        <v>47258739.96154923</v>
      </c>
      <c r="S14" s="139">
        <f>'Sch. 101'!I21</f>
        <v>11095813.019999996</v>
      </c>
      <c r="T14" s="66">
        <f t="shared" si="3"/>
        <v>0.23478859210016598</v>
      </c>
    </row>
    <row r="15" spans="2:20" x14ac:dyDescent="0.25">
      <c r="B15" s="55" t="s">
        <v>39</v>
      </c>
      <c r="C15" s="57">
        <v>85</v>
      </c>
      <c r="D15" s="405">
        <v>16184434.068649083</v>
      </c>
      <c r="E15" s="142">
        <v>1697295.0899999999</v>
      </c>
      <c r="F15" s="67">
        <f t="shared" si="0"/>
        <v>0.1048720692240846</v>
      </c>
      <c r="G15" s="405">
        <v>12864575</v>
      </c>
      <c r="H15" s="140">
        <f t="shared" si="2"/>
        <v>1349134.599938428</v>
      </c>
      <c r="I15" s="139">
        <f>'Sch. 101'!G26</f>
        <v>5076158.8699999992</v>
      </c>
      <c r="J15" s="142">
        <v>333835.71999999997</v>
      </c>
      <c r="K15" s="142">
        <v>264624.30775000004</v>
      </c>
      <c r="L15" s="142">
        <v>9551.1572959164878</v>
      </c>
      <c r="M15" s="142">
        <v>60206.211000000003</v>
      </c>
      <c r="N15" s="142">
        <v>10420.30575</v>
      </c>
      <c r="O15" s="142">
        <v>-3473.43525</v>
      </c>
      <c r="P15" s="142"/>
      <c r="Q15" s="142">
        <v>86321.298249999993</v>
      </c>
      <c r="R15" s="141">
        <f t="shared" si="1"/>
        <v>7186779.0347343432</v>
      </c>
      <c r="S15" s="139">
        <f>'Sch. 101'!I26</f>
        <v>2179516.3000000007</v>
      </c>
      <c r="T15" s="66">
        <f t="shared" si="3"/>
        <v>0.30326747065218013</v>
      </c>
    </row>
    <row r="16" spans="2:20" x14ac:dyDescent="0.25">
      <c r="B16" s="55" t="s">
        <v>46</v>
      </c>
      <c r="C16" s="57">
        <v>86</v>
      </c>
      <c r="D16" s="405">
        <v>9397200.2729263548</v>
      </c>
      <c r="E16" s="142">
        <v>1991938.09</v>
      </c>
      <c r="F16" s="67">
        <f t="shared" si="0"/>
        <v>0.21197144172172638</v>
      </c>
      <c r="G16" s="405">
        <v>5457791</v>
      </c>
      <c r="H16" s="140">
        <f t="shared" si="2"/>
        <v>1156895.8268858627</v>
      </c>
      <c r="I16" s="139">
        <f>'Sch. 101'!G31</f>
        <v>2224593.5499999998</v>
      </c>
      <c r="J16" s="142">
        <v>141793.41</v>
      </c>
      <c r="K16" s="142">
        <v>112266.76087000001</v>
      </c>
      <c r="L16" s="142">
        <v>7149.7062099999994</v>
      </c>
      <c r="M16" s="142">
        <v>41752.101150000002</v>
      </c>
      <c r="N16" s="142">
        <v>6658.5050199999996</v>
      </c>
      <c r="O16" s="142">
        <v>-1801.0710300000001</v>
      </c>
      <c r="P16" s="142">
        <v>-90657.54</v>
      </c>
      <c r="Q16" s="142">
        <v>46172.91186</v>
      </c>
      <c r="R16" s="141">
        <f t="shared" si="1"/>
        <v>3644824.1609658622</v>
      </c>
      <c r="S16" s="139">
        <f>'Sch. 101'!I31</f>
        <v>917072.62000000011</v>
      </c>
      <c r="T16" s="66">
        <f t="shared" si="3"/>
        <v>0.25160956454946787</v>
      </c>
    </row>
    <row r="17" spans="2:21" x14ac:dyDescent="0.25">
      <c r="B17" s="55" t="s">
        <v>67</v>
      </c>
      <c r="C17" s="57">
        <v>87</v>
      </c>
      <c r="D17" s="405">
        <v>23337042.118500695</v>
      </c>
      <c r="E17" s="142">
        <v>1376677.9799999997</v>
      </c>
      <c r="F17" s="67">
        <f>(E17)/D17</f>
        <v>5.8991108342244594E-2</v>
      </c>
      <c r="G17" s="405">
        <v>15634790</v>
      </c>
      <c r="H17" s="140">
        <f t="shared" si="2"/>
        <v>922313.59079824237</v>
      </c>
      <c r="I17" s="139">
        <f>'Sch. 101'!G36</f>
        <v>6207167.9800000004</v>
      </c>
      <c r="J17" s="142">
        <v>405722.8</v>
      </c>
      <c r="K17" s="142">
        <v>321607.63030000002</v>
      </c>
      <c r="L17" s="142">
        <v>4611.2253512993957</v>
      </c>
      <c r="M17" s="142">
        <v>37523.496000000006</v>
      </c>
      <c r="N17" s="142">
        <v>6722.9596999999994</v>
      </c>
      <c r="O17" s="142">
        <v>-2188.8705999999997</v>
      </c>
      <c r="P17" s="142"/>
      <c r="Q17" s="142">
        <v>58474.114600000001</v>
      </c>
      <c r="R17" s="141">
        <f t="shared" si="1"/>
        <v>7961954.9261495415</v>
      </c>
      <c r="S17" s="139">
        <f>'Sch. 101'!I36</f>
        <v>2626332.0199999996</v>
      </c>
      <c r="T17" s="66">
        <f t="shared" si="3"/>
        <v>0.32986019694413321</v>
      </c>
    </row>
    <row r="18" spans="2:21" x14ac:dyDescent="0.25">
      <c r="B18" s="55" t="s">
        <v>68</v>
      </c>
      <c r="C18" s="57" t="s">
        <v>69</v>
      </c>
      <c r="D18" s="405">
        <v>36359.963605097219</v>
      </c>
      <c r="E18" s="142">
        <v>25086.03</v>
      </c>
      <c r="F18" s="67">
        <f>(E18)/D18</f>
        <v>0.68993550907964185</v>
      </c>
      <c r="G18" s="405">
        <v>35371</v>
      </c>
      <c r="H18" s="140">
        <f t="shared" si="2"/>
        <v>24403.708891656013</v>
      </c>
      <c r="I18" s="142"/>
      <c r="J18" s="142"/>
      <c r="K18" s="142"/>
      <c r="L18" s="142">
        <v>108.94268</v>
      </c>
      <c r="M18" s="142">
        <v>896.65485000000001</v>
      </c>
      <c r="N18" s="142">
        <v>125.21334</v>
      </c>
      <c r="O18" s="142">
        <v>-51.995370000000001</v>
      </c>
      <c r="P18" s="142">
        <v>542.59</v>
      </c>
      <c r="Q18" s="142">
        <v>874.37111999999991</v>
      </c>
      <c r="R18" s="141">
        <f t="shared" si="1"/>
        <v>26899.48551165601</v>
      </c>
      <c r="S18" s="139"/>
      <c r="T18" s="66">
        <f t="shared" si="3"/>
        <v>0</v>
      </c>
    </row>
    <row r="19" spans="2:21" x14ac:dyDescent="0.25">
      <c r="B19" s="55" t="s">
        <v>70</v>
      </c>
      <c r="C19" s="57" t="s">
        <v>44</v>
      </c>
      <c r="D19" s="405">
        <v>20492334.449073859</v>
      </c>
      <c r="E19" s="142">
        <v>4384305.3758256389</v>
      </c>
      <c r="F19" s="67">
        <f t="shared" ref="F19:F24" si="4">(E19)/D19</f>
        <v>0.21394855655519449</v>
      </c>
      <c r="G19" s="405">
        <v>23550670</v>
      </c>
      <c r="H19" s="140">
        <f>F19*G19</f>
        <v>5038631.8524077218</v>
      </c>
      <c r="I19" s="142"/>
      <c r="J19" s="142"/>
      <c r="K19" s="142"/>
      <c r="L19" s="142">
        <v>35090.498299999999</v>
      </c>
      <c r="M19" s="142">
        <v>205126.33569999997</v>
      </c>
      <c r="N19" s="142">
        <v>31322.391100000001</v>
      </c>
      <c r="O19" s="142">
        <v>-13188.375199999999</v>
      </c>
      <c r="P19" s="142">
        <v>-403493.25</v>
      </c>
      <c r="Q19" s="142">
        <v>264945.03749999998</v>
      </c>
      <c r="R19" s="141">
        <f t="shared" si="1"/>
        <v>5158434.4898077212</v>
      </c>
      <c r="S19" s="139"/>
      <c r="T19" s="66">
        <f t="shared" si="3"/>
        <v>0</v>
      </c>
    </row>
    <row r="20" spans="2:21" x14ac:dyDescent="0.25">
      <c r="B20" s="55" t="s">
        <v>71</v>
      </c>
      <c r="C20" s="57" t="s">
        <v>45</v>
      </c>
      <c r="D20" s="405">
        <v>74773537.134971082</v>
      </c>
      <c r="E20" s="142">
        <v>7487912.2400000002</v>
      </c>
      <c r="F20" s="67">
        <f t="shared" si="4"/>
        <v>0.10014120672777367</v>
      </c>
      <c r="G20" s="405">
        <v>73347355</v>
      </c>
      <c r="H20" s="140">
        <f t="shared" si="2"/>
        <v>7345092.6399904042</v>
      </c>
      <c r="I20" s="142"/>
      <c r="J20" s="142"/>
      <c r="K20" s="142"/>
      <c r="L20" s="142">
        <v>49849.357770261704</v>
      </c>
      <c r="M20" s="142">
        <v>343265.6214</v>
      </c>
      <c r="N20" s="142">
        <v>59411.357549999993</v>
      </c>
      <c r="O20" s="142">
        <v>-19803.78585</v>
      </c>
      <c r="P20" s="142"/>
      <c r="Q20" s="142">
        <v>492160.75205000001</v>
      </c>
      <c r="R20" s="141">
        <f t="shared" si="1"/>
        <v>8269975.9429106656</v>
      </c>
      <c r="S20" s="139"/>
      <c r="T20" s="66">
        <f t="shared" si="3"/>
        <v>0</v>
      </c>
    </row>
    <row r="21" spans="2:21" x14ac:dyDescent="0.25">
      <c r="B21" s="55" t="s">
        <v>72</v>
      </c>
      <c r="C21" s="57" t="s">
        <v>47</v>
      </c>
      <c r="D21" s="405">
        <v>351288.14999999997</v>
      </c>
      <c r="E21" s="142">
        <v>70256.2</v>
      </c>
      <c r="F21" s="67">
        <f t="shared" si="4"/>
        <v>0.19999592926775356</v>
      </c>
      <c r="G21" s="405">
        <v>1280916</v>
      </c>
      <c r="H21" s="140">
        <f t="shared" si="2"/>
        <v>256177.98573393381</v>
      </c>
      <c r="I21" s="142"/>
      <c r="J21" s="142"/>
      <c r="K21" s="142"/>
      <c r="L21" s="142">
        <v>1677.9999599999999</v>
      </c>
      <c r="M21" s="142">
        <v>9799.0074000000004</v>
      </c>
      <c r="N21" s="142">
        <v>1562.7175199999999</v>
      </c>
      <c r="O21" s="142">
        <v>-422.70227999999997</v>
      </c>
      <c r="P21" s="142">
        <v>-20179.39</v>
      </c>
      <c r="Q21" s="142">
        <v>10836.549360000001</v>
      </c>
      <c r="R21" s="141">
        <f t="shared" si="1"/>
        <v>259452.16769393376</v>
      </c>
      <c r="S21" s="139"/>
      <c r="T21" s="66">
        <f t="shared" si="3"/>
        <v>0</v>
      </c>
    </row>
    <row r="22" spans="2:21" x14ac:dyDescent="0.25">
      <c r="B22" s="55" t="s">
        <v>73</v>
      </c>
      <c r="C22" s="57" t="s">
        <v>48</v>
      </c>
      <c r="D22" s="405">
        <v>100441128.37470125</v>
      </c>
      <c r="E22" s="142">
        <v>4338586.3099999996</v>
      </c>
      <c r="F22" s="67">
        <f>(E22)/D22</f>
        <v>4.3195316303244434E-2</v>
      </c>
      <c r="G22" s="405">
        <v>103795280</v>
      </c>
      <c r="H22" s="140">
        <f t="shared" si="2"/>
        <v>4483469.9503838206</v>
      </c>
      <c r="I22" s="139"/>
      <c r="J22" s="142"/>
      <c r="K22" s="142"/>
      <c r="L22" s="142">
        <v>24726.839630329421</v>
      </c>
      <c r="M22" s="142">
        <v>249108.67200000002</v>
      </c>
      <c r="N22" s="142">
        <v>44631.970399999998</v>
      </c>
      <c r="O22" s="142">
        <v>-14531.339199999999</v>
      </c>
      <c r="P22" s="142"/>
      <c r="Q22" s="142">
        <v>388194.34719999996</v>
      </c>
      <c r="R22" s="141">
        <f t="shared" si="1"/>
        <v>5175600.4404141493</v>
      </c>
      <c r="S22" s="139"/>
      <c r="T22" s="66">
        <f t="shared" si="3"/>
        <v>0</v>
      </c>
    </row>
    <row r="23" spans="2:21" x14ac:dyDescent="0.25">
      <c r="B23" s="55" t="s">
        <v>74</v>
      </c>
      <c r="D23" s="405">
        <v>37056427.854413897</v>
      </c>
      <c r="E23" s="142">
        <v>1757519.5213237838</v>
      </c>
      <c r="F23" s="143">
        <f t="shared" si="4"/>
        <v>4.7428195945617584E-2</v>
      </c>
      <c r="G23" s="405">
        <v>36911044</v>
      </c>
      <c r="H23" s="140">
        <f t="shared" si="2"/>
        <v>1750624.2273893123</v>
      </c>
      <c r="I23" s="139"/>
      <c r="J23" s="142"/>
      <c r="K23" s="142"/>
      <c r="L23" s="142"/>
      <c r="M23" s="142">
        <v>43555.031920000001</v>
      </c>
      <c r="N23" s="142">
        <v>7751.3192400000007</v>
      </c>
      <c r="O23" s="142">
        <v>-2583.7730799999999</v>
      </c>
      <c r="P23" s="142"/>
      <c r="Q23" s="142">
        <v>34327.270920000003</v>
      </c>
      <c r="R23" s="141">
        <f t="shared" si="1"/>
        <v>1833674.0763893125</v>
      </c>
      <c r="S23" s="139"/>
      <c r="T23" s="66">
        <f t="shared" si="3"/>
        <v>0</v>
      </c>
    </row>
    <row r="24" spans="2:21" x14ac:dyDescent="0.25">
      <c r="B24" s="55" t="s">
        <v>5</v>
      </c>
      <c r="D24" s="144">
        <f>SUM(D11:D23)</f>
        <v>1191304269.0992641</v>
      </c>
      <c r="E24" s="73">
        <f>SUM(E11:E23)</f>
        <v>519258254.38333762</v>
      </c>
      <c r="F24" s="67">
        <f t="shared" si="4"/>
        <v>0.43587374598761802</v>
      </c>
      <c r="G24" s="144">
        <f>SUM(G11:G23)</f>
        <v>1170264197</v>
      </c>
      <c r="H24" s="73">
        <f>SUM(H11:H23)</f>
        <v>511031573.08061868</v>
      </c>
      <c r="I24" s="73">
        <f t="shared" ref="I24:K24" si="5">SUM(I11:I23)</f>
        <v>424617018.98000008</v>
      </c>
      <c r="J24" s="73">
        <f t="shared" si="5"/>
        <v>24355563.749999996</v>
      </c>
      <c r="K24" s="73">
        <f t="shared" si="5"/>
        <v>21930661.041219998</v>
      </c>
      <c r="L24" s="73">
        <f>SUM(L11:L23)</f>
        <v>3130790.8431678079</v>
      </c>
      <c r="M24" s="73">
        <f>SUM(M11:M23)</f>
        <v>21628236.129439998</v>
      </c>
      <c r="N24" s="73">
        <f>SUM(N11:N23)</f>
        <v>2963975.2412399999</v>
      </c>
      <c r="O24" s="73">
        <f>SUM(O11:O23)</f>
        <v>-1258521.9326299999</v>
      </c>
      <c r="P24" s="73">
        <f t="shared" ref="P24:R24" si="6">SUM(P11:P23)</f>
        <v>11868260.07</v>
      </c>
      <c r="Q24" s="73">
        <f t="shared" si="6"/>
        <v>21417840.086720001</v>
      </c>
      <c r="R24" s="145">
        <f t="shared" si="6"/>
        <v>1041685397.2897767</v>
      </c>
      <c r="S24" s="73">
        <f>SUM(S11:S23)</f>
        <v>158911550.35999998</v>
      </c>
      <c r="T24" s="76">
        <f t="shared" si="3"/>
        <v>0.15255234524113606</v>
      </c>
      <c r="U24" s="140"/>
    </row>
    <row r="25" spans="2:21" x14ac:dyDescent="0.25">
      <c r="D25" s="100"/>
      <c r="E25" s="140"/>
      <c r="G25" s="100"/>
      <c r="L25" s="140"/>
      <c r="O25" s="140"/>
      <c r="P25" s="140"/>
      <c r="R25" s="140"/>
      <c r="T25" s="146"/>
    </row>
    <row r="26" spans="2:21" s="84" customFormat="1" x14ac:dyDescent="0.25">
      <c r="B26" s="86" t="s">
        <v>157</v>
      </c>
      <c r="C26" s="87"/>
      <c r="D26" s="147"/>
      <c r="E26" s="148"/>
      <c r="S26" s="149"/>
      <c r="T26" s="150"/>
    </row>
    <row r="27" spans="2:21" s="84" customFormat="1" x14ac:dyDescent="0.25">
      <c r="B27" s="90" t="s">
        <v>9</v>
      </c>
      <c r="C27" s="91" t="s">
        <v>158</v>
      </c>
      <c r="D27" s="151">
        <f>D11+D12</f>
        <v>609257701.15931809</v>
      </c>
      <c r="E27" s="92">
        <f>E11+E12</f>
        <v>363973986.91868043</v>
      </c>
      <c r="F27" s="67">
        <f t="shared" ref="F27:F34" si="7">(E27)/D27</f>
        <v>0.5974056400536214</v>
      </c>
      <c r="G27" s="152">
        <f>G11+G12</f>
        <v>592792077</v>
      </c>
      <c r="H27" s="92">
        <f>H11+H12</f>
        <v>354137342.20734119</v>
      </c>
      <c r="I27" s="92">
        <f t="shared" ref="I27:Q27" si="8">I11+I12</f>
        <v>274699848.48000002</v>
      </c>
      <c r="J27" s="92">
        <f t="shared" si="8"/>
        <v>15519296.579999998</v>
      </c>
      <c r="K27" s="92">
        <f t="shared" si="8"/>
        <v>14025460.541819999</v>
      </c>
      <c r="L27" s="92">
        <f t="shared" si="8"/>
        <v>2163665.2828500001</v>
      </c>
      <c r="M27" s="92">
        <f t="shared" si="8"/>
        <v>14001748.858740002</v>
      </c>
      <c r="N27" s="92">
        <f t="shared" si="8"/>
        <v>1861367.1217799999</v>
      </c>
      <c r="O27" s="92">
        <f t="shared" si="8"/>
        <v>-812125.14548999991</v>
      </c>
      <c r="P27" s="92">
        <f t="shared" si="8"/>
        <v>9881726.0999999996</v>
      </c>
      <c r="Q27" s="92">
        <f t="shared" si="8"/>
        <v>13385245.09866</v>
      </c>
      <c r="R27" s="92">
        <f>R11+R12</f>
        <v>698863575.12570131</v>
      </c>
      <c r="S27" s="140">
        <f>SUM(S11:S12)</f>
        <v>101284454.27999999</v>
      </c>
      <c r="T27" s="66">
        <f t="shared" ref="T27:T34" si="9">S27/R27</f>
        <v>0.14492736191292047</v>
      </c>
      <c r="U27" s="94"/>
    </row>
    <row r="28" spans="2:21" s="84" customFormat="1" x14ac:dyDescent="0.25">
      <c r="B28" s="95" t="s">
        <v>159</v>
      </c>
      <c r="C28" s="91" t="s">
        <v>160</v>
      </c>
      <c r="D28" s="151">
        <f>D13+D18</f>
        <v>234176518.05324447</v>
      </c>
      <c r="E28" s="92">
        <f>E13+E18</f>
        <v>115542872.56999999</v>
      </c>
      <c r="F28" s="67">
        <f t="shared" si="7"/>
        <v>0.49340076251252968</v>
      </c>
      <c r="G28" s="152">
        <f t="shared" ref="G28:Q32" si="10">G13+G18</f>
        <v>239352531</v>
      </c>
      <c r="H28" s="92">
        <f t="shared" si="10"/>
        <v>118096368.93604048</v>
      </c>
      <c r="I28" s="92">
        <f t="shared" si="10"/>
        <v>109037684.44</v>
      </c>
      <c r="J28" s="92">
        <f t="shared" si="10"/>
        <v>6255750.5599999996</v>
      </c>
      <c r="K28" s="92">
        <f t="shared" si="10"/>
        <v>5662244.0055999998</v>
      </c>
      <c r="L28" s="92">
        <f t="shared" si="10"/>
        <v>737205.79547999997</v>
      </c>
      <c r="M28" s="92">
        <f t="shared" si="10"/>
        <v>6067586.6608499996</v>
      </c>
      <c r="N28" s="92">
        <f t="shared" si="10"/>
        <v>847307.95974000008</v>
      </c>
      <c r="O28" s="92">
        <f t="shared" si="10"/>
        <v>-351848.22057</v>
      </c>
      <c r="P28" s="92">
        <f t="shared" si="10"/>
        <v>3803292.26</v>
      </c>
      <c r="Q28" s="92">
        <f t="shared" si="10"/>
        <v>5916794.5663200002</v>
      </c>
      <c r="R28" s="92">
        <f>R13+R18</f>
        <v>256072386.96346051</v>
      </c>
      <c r="S28" s="140">
        <f>SUM(S13,S18)</f>
        <v>40808362.120000005</v>
      </c>
      <c r="T28" s="66">
        <f t="shared" si="9"/>
        <v>0.15936260291049278</v>
      </c>
    </row>
    <row r="29" spans="2:21" s="84" customFormat="1" x14ac:dyDescent="0.25">
      <c r="B29" s="90" t="s">
        <v>161</v>
      </c>
      <c r="C29" s="91" t="s">
        <v>162</v>
      </c>
      <c r="D29" s="151">
        <f t="shared" ref="D29:E32" si="11">D14+D19</f>
        <v>86328991.912539363</v>
      </c>
      <c r="E29" s="92">
        <f t="shared" si="11"/>
        <v>21021209.463333469</v>
      </c>
      <c r="F29" s="67">
        <f t="shared" si="7"/>
        <v>0.24350115757902321</v>
      </c>
      <c r="G29" s="152">
        <f t="shared" si="10"/>
        <v>88827838</v>
      </c>
      <c r="H29" s="92">
        <f t="shared" si="10"/>
        <v>21534153.116116941</v>
      </c>
      <c r="I29" s="92">
        <f t="shared" si="10"/>
        <v>27371565.66</v>
      </c>
      <c r="J29" s="92">
        <f t="shared" si="10"/>
        <v>1699164.68</v>
      </c>
      <c r="K29" s="92">
        <f t="shared" si="10"/>
        <v>1544457.7948799999</v>
      </c>
      <c r="L29" s="92">
        <f t="shared" si="10"/>
        <v>132353.47862000001</v>
      </c>
      <c r="M29" s="92">
        <f t="shared" si="10"/>
        <v>773690.46897999989</v>
      </c>
      <c r="N29" s="92">
        <f t="shared" si="10"/>
        <v>118141.02454000001</v>
      </c>
      <c r="O29" s="92">
        <f t="shared" si="10"/>
        <v>-49743.58928</v>
      </c>
      <c r="P29" s="92">
        <f t="shared" si="10"/>
        <v>-1705921.3599999999</v>
      </c>
      <c r="Q29" s="92">
        <f t="shared" si="10"/>
        <v>999313.17749999999</v>
      </c>
      <c r="R29" s="92">
        <f>R14+R19</f>
        <v>52417174.451356947</v>
      </c>
      <c r="S29" s="140">
        <f>SUM(S14,S19)</f>
        <v>11095813.019999996</v>
      </c>
      <c r="T29" s="66">
        <f t="shared" si="9"/>
        <v>0.21168277642086358</v>
      </c>
    </row>
    <row r="30" spans="2:21" s="84" customFormat="1" x14ac:dyDescent="0.25">
      <c r="B30" s="90" t="s">
        <v>39</v>
      </c>
      <c r="C30" s="91" t="s">
        <v>163</v>
      </c>
      <c r="D30" s="151">
        <f t="shared" si="11"/>
        <v>90957971.203620166</v>
      </c>
      <c r="E30" s="92">
        <f t="shared" si="11"/>
        <v>9185207.3300000001</v>
      </c>
      <c r="F30" s="67">
        <f t="shared" si="7"/>
        <v>0.10098298377211853</v>
      </c>
      <c r="G30" s="152">
        <f t="shared" si="10"/>
        <v>86211930</v>
      </c>
      <c r="H30" s="92">
        <f t="shared" si="10"/>
        <v>8694227.2399288323</v>
      </c>
      <c r="I30" s="92">
        <f t="shared" si="10"/>
        <v>5076158.8699999992</v>
      </c>
      <c r="J30" s="92">
        <f t="shared" si="10"/>
        <v>333835.71999999997</v>
      </c>
      <c r="K30" s="92">
        <f t="shared" si="10"/>
        <v>264624.30775000004</v>
      </c>
      <c r="L30" s="92">
        <f t="shared" si="10"/>
        <v>59400.515066178195</v>
      </c>
      <c r="M30" s="92">
        <f t="shared" si="10"/>
        <v>403471.83240000001</v>
      </c>
      <c r="N30" s="92">
        <f t="shared" si="10"/>
        <v>69831.663299999986</v>
      </c>
      <c r="O30" s="92">
        <f t="shared" si="10"/>
        <v>-23277.221099999999</v>
      </c>
      <c r="P30" s="92">
        <f t="shared" si="10"/>
        <v>0</v>
      </c>
      <c r="Q30" s="92">
        <f t="shared" si="10"/>
        <v>578482.0503</v>
      </c>
      <c r="R30" s="92">
        <f>R15+R20</f>
        <v>15456754.97764501</v>
      </c>
      <c r="S30" s="140">
        <f>SUM(S15,S20)</f>
        <v>2179516.3000000007</v>
      </c>
      <c r="T30" s="66">
        <f t="shared" si="9"/>
        <v>0.14100736559208055</v>
      </c>
    </row>
    <row r="31" spans="2:21" s="84" customFormat="1" x14ac:dyDescent="0.25">
      <c r="B31" s="90" t="s">
        <v>164</v>
      </c>
      <c r="C31" s="91" t="s">
        <v>165</v>
      </c>
      <c r="D31" s="151">
        <f t="shared" si="11"/>
        <v>9748488.4229263552</v>
      </c>
      <c r="E31" s="92">
        <f t="shared" si="11"/>
        <v>2062194.29</v>
      </c>
      <c r="F31" s="67">
        <f t="shared" si="7"/>
        <v>0.2115399024478668</v>
      </c>
      <c r="G31" s="152">
        <f t="shared" si="10"/>
        <v>6738707</v>
      </c>
      <c r="H31" s="92">
        <f t="shared" si="10"/>
        <v>1413073.8126197965</v>
      </c>
      <c r="I31" s="92">
        <f t="shared" si="10"/>
        <v>2224593.5499999998</v>
      </c>
      <c r="J31" s="92">
        <f t="shared" si="10"/>
        <v>141793.41</v>
      </c>
      <c r="K31" s="92">
        <f t="shared" si="10"/>
        <v>112266.76087000001</v>
      </c>
      <c r="L31" s="92">
        <f t="shared" si="10"/>
        <v>8827.7061699999995</v>
      </c>
      <c r="M31" s="92">
        <f t="shared" si="10"/>
        <v>51551.108550000004</v>
      </c>
      <c r="N31" s="92">
        <f t="shared" si="10"/>
        <v>8221.2225399999988</v>
      </c>
      <c r="O31" s="92">
        <f t="shared" si="10"/>
        <v>-2223.77331</v>
      </c>
      <c r="P31" s="92">
        <f t="shared" si="10"/>
        <v>-110836.93</v>
      </c>
      <c r="Q31" s="92">
        <f t="shared" si="10"/>
        <v>57009.461219999997</v>
      </c>
      <c r="R31" s="92">
        <f>R16+R21</f>
        <v>3904276.3286597962</v>
      </c>
      <c r="S31" s="140">
        <f>SUM(S16,S21)</f>
        <v>917072.62000000011</v>
      </c>
      <c r="T31" s="66">
        <f t="shared" si="9"/>
        <v>0.23488927084082689</v>
      </c>
    </row>
    <row r="32" spans="2:21" s="84" customFormat="1" x14ac:dyDescent="0.25">
      <c r="B32" s="77" t="s">
        <v>166</v>
      </c>
      <c r="C32" s="91" t="s">
        <v>167</v>
      </c>
      <c r="D32" s="151">
        <f t="shared" si="11"/>
        <v>123778170.49320194</v>
      </c>
      <c r="E32" s="92">
        <f t="shared" si="11"/>
        <v>5715264.2899999991</v>
      </c>
      <c r="F32" s="67">
        <f t="shared" si="7"/>
        <v>4.6173442919920107E-2</v>
      </c>
      <c r="G32" s="152">
        <f t="shared" si="10"/>
        <v>119430070</v>
      </c>
      <c r="H32" s="92">
        <f t="shared" si="10"/>
        <v>5405783.5411820626</v>
      </c>
      <c r="I32" s="92">
        <f t="shared" si="10"/>
        <v>6207167.9800000004</v>
      </c>
      <c r="J32" s="92">
        <f t="shared" si="10"/>
        <v>405722.8</v>
      </c>
      <c r="K32" s="92">
        <f t="shared" si="10"/>
        <v>321607.63030000002</v>
      </c>
      <c r="L32" s="92">
        <f t="shared" si="10"/>
        <v>29338.064981628817</v>
      </c>
      <c r="M32" s="92">
        <f t="shared" si="10"/>
        <v>286632.16800000001</v>
      </c>
      <c r="N32" s="92">
        <f t="shared" si="10"/>
        <v>51354.930099999998</v>
      </c>
      <c r="O32" s="92">
        <f t="shared" si="10"/>
        <v>-16720.209799999997</v>
      </c>
      <c r="P32" s="92">
        <f t="shared" si="10"/>
        <v>0</v>
      </c>
      <c r="Q32" s="92">
        <f t="shared" si="10"/>
        <v>446668.46179999993</v>
      </c>
      <c r="R32" s="92">
        <f>R17+R22</f>
        <v>13137555.366563691</v>
      </c>
      <c r="S32" s="140">
        <f>SUM(S17,S22)</f>
        <v>2626332.0199999996</v>
      </c>
      <c r="T32" s="66">
        <f t="shared" si="9"/>
        <v>0.19991025321836212</v>
      </c>
    </row>
    <row r="33" spans="2:20" s="84" customFormat="1" x14ac:dyDescent="0.25">
      <c r="B33" s="77" t="s">
        <v>74</v>
      </c>
      <c r="C33" s="90"/>
      <c r="D33" s="151">
        <f>D23</f>
        <v>37056427.854413897</v>
      </c>
      <c r="E33" s="92">
        <f>E23</f>
        <v>1757519.5213237838</v>
      </c>
      <c r="F33" s="67">
        <f t="shared" si="7"/>
        <v>4.7428195945617584E-2</v>
      </c>
      <c r="G33" s="152">
        <f>G23</f>
        <v>36911044</v>
      </c>
      <c r="H33" s="92">
        <f>H23</f>
        <v>1750624.2273893123</v>
      </c>
      <c r="I33" s="92">
        <f t="shared" ref="I33:Q33" si="12">I23</f>
        <v>0</v>
      </c>
      <c r="J33" s="92">
        <f t="shared" si="12"/>
        <v>0</v>
      </c>
      <c r="K33" s="92">
        <f t="shared" si="12"/>
        <v>0</v>
      </c>
      <c r="L33" s="92">
        <f t="shared" si="12"/>
        <v>0</v>
      </c>
      <c r="M33" s="92">
        <f t="shared" si="12"/>
        <v>43555.031920000001</v>
      </c>
      <c r="N33" s="92">
        <f t="shared" si="12"/>
        <v>7751.3192400000007</v>
      </c>
      <c r="O33" s="92">
        <f t="shared" si="12"/>
        <v>-2583.7730799999999</v>
      </c>
      <c r="P33" s="92">
        <f t="shared" si="12"/>
        <v>0</v>
      </c>
      <c r="Q33" s="92">
        <f t="shared" si="12"/>
        <v>34327.270920000003</v>
      </c>
      <c r="R33" s="92">
        <f>R23</f>
        <v>1833674.0763893125</v>
      </c>
      <c r="S33" s="140">
        <f>S23</f>
        <v>0</v>
      </c>
      <c r="T33" s="66">
        <f t="shared" si="9"/>
        <v>0</v>
      </c>
    </row>
    <row r="34" spans="2:20" s="84" customFormat="1" x14ac:dyDescent="0.25">
      <c r="B34" s="77" t="s">
        <v>5</v>
      </c>
      <c r="C34" s="77"/>
      <c r="D34" s="153">
        <f>SUM(D27:D33)</f>
        <v>1191304269.0992644</v>
      </c>
      <c r="E34" s="98">
        <f>SUM(E27:E33)</f>
        <v>519258254.38333774</v>
      </c>
      <c r="F34" s="154">
        <f t="shared" si="7"/>
        <v>0.43587374598761802</v>
      </c>
      <c r="G34" s="155">
        <f>SUM(G27:G33)</f>
        <v>1170264197</v>
      </c>
      <c r="H34" s="98">
        <f>SUM(H27:H33)</f>
        <v>511031573.08061862</v>
      </c>
      <c r="I34" s="98">
        <f t="shared" ref="I34:Q34" si="13">SUM(I27:I33)</f>
        <v>424617018.98000008</v>
      </c>
      <c r="J34" s="98">
        <f t="shared" si="13"/>
        <v>24355563.749999996</v>
      </c>
      <c r="K34" s="98">
        <f t="shared" si="13"/>
        <v>21930661.041219998</v>
      </c>
      <c r="L34" s="98">
        <f t="shared" si="13"/>
        <v>3130790.843167807</v>
      </c>
      <c r="M34" s="98">
        <f t="shared" si="13"/>
        <v>21628236.129440006</v>
      </c>
      <c r="N34" s="98">
        <f t="shared" si="13"/>
        <v>2963975.2412400004</v>
      </c>
      <c r="O34" s="98">
        <f t="shared" si="13"/>
        <v>-1258521.9326299999</v>
      </c>
      <c r="P34" s="98">
        <f t="shared" si="13"/>
        <v>11868260.07</v>
      </c>
      <c r="Q34" s="98">
        <f t="shared" si="13"/>
        <v>21417840.086720001</v>
      </c>
      <c r="R34" s="98">
        <f>SUM(R27:R33)</f>
        <v>1041685397.2897766</v>
      </c>
      <c r="S34" s="73">
        <f>SUM(S27:S33)</f>
        <v>158911550.35999998</v>
      </c>
      <c r="T34" s="76">
        <f t="shared" si="9"/>
        <v>0.15255234524113606</v>
      </c>
    </row>
    <row r="35" spans="2:20" s="84" customFormat="1" x14ac:dyDescent="0.25">
      <c r="B35" s="156"/>
      <c r="C35" s="156"/>
      <c r="D35" s="156"/>
      <c r="E35" s="156"/>
      <c r="F35" s="156"/>
      <c r="I35" s="83"/>
      <c r="L35" s="156"/>
      <c r="N35" s="156"/>
      <c r="O35" s="156"/>
      <c r="P35" s="156"/>
      <c r="Q35" s="156"/>
      <c r="R35" s="156"/>
      <c r="S35" s="157"/>
    </row>
    <row r="36" spans="2:20" x14ac:dyDescent="0.25">
      <c r="D36" s="100"/>
      <c r="E36" s="100"/>
      <c r="H36" s="101"/>
      <c r="L36" s="100"/>
      <c r="O36" s="100"/>
      <c r="P36" s="100"/>
      <c r="R36" s="100"/>
    </row>
    <row r="37" spans="2:20" ht="17.25" x14ac:dyDescent="0.25">
      <c r="B37" s="77" t="s">
        <v>306</v>
      </c>
    </row>
    <row r="38" spans="2:20" ht="17.25" x14ac:dyDescent="0.25">
      <c r="B38" s="77" t="s">
        <v>307</v>
      </c>
    </row>
  </sheetData>
  <printOptions horizontalCentered="1"/>
  <pageMargins left="0.45" right="0.45" top="0.75" bottom="0.75" header="0.3" footer="0.3"/>
  <pageSetup paperSize="5" scale="62" orientation="landscape" blackAndWhite="1" r:id="rId1"/>
  <headerFooter>
    <oddFooter>&amp;L&amp;F 
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90" zoomScaleNormal="90" workbookViewId="0">
      <pane xSplit="3" ySplit="9" topLeftCell="D10" activePane="bottomRight" state="frozenSplit"/>
      <selection activeCell="D40" sqref="D40"/>
      <selection pane="topRight" activeCell="D40" sqref="D40"/>
      <selection pane="bottomLeft" activeCell="D40" sqref="D40"/>
      <selection pane="bottomRight" activeCell="D11" sqref="D11"/>
    </sheetView>
  </sheetViews>
  <sheetFormatPr defaultColWidth="8.7109375" defaultRowHeight="15" x14ac:dyDescent="0.25"/>
  <cols>
    <col min="1" max="1" width="2.85546875" style="55" customWidth="1"/>
    <col min="2" max="2" width="37.5703125" style="55" customWidth="1"/>
    <col min="3" max="3" width="9.140625" style="55" bestFit="1" customWidth="1"/>
    <col min="4" max="4" width="16.140625" style="55" bestFit="1" customWidth="1"/>
    <col min="5" max="5" width="2.5703125" style="55" customWidth="1"/>
    <col min="6" max="6" width="15" style="55" bestFit="1" customWidth="1"/>
    <col min="7" max="7" width="12.28515625" style="55" customWidth="1"/>
    <col min="8" max="8" width="2.5703125" style="55" customWidth="1"/>
    <col min="9" max="9" width="15" style="55" bestFit="1" customWidth="1"/>
    <col min="10" max="10" width="12.28515625" style="55" customWidth="1"/>
    <col min="11" max="11" width="2.5703125" style="55" customWidth="1"/>
    <col min="12" max="12" width="16.140625" style="55" bestFit="1" customWidth="1"/>
    <col min="13" max="13" width="15" style="55" bestFit="1" customWidth="1"/>
    <col min="14" max="14" width="11.5703125" style="55" customWidth="1"/>
    <col min="15" max="15" width="7.85546875" style="55" customWidth="1"/>
    <col min="16" max="16" width="9.28515625" style="55" customWidth="1"/>
    <col min="17" max="16384" width="8.7109375" style="55"/>
  </cols>
  <sheetData>
    <row r="1" spans="2:15" x14ac:dyDescent="0.25">
      <c r="B1" s="412" t="s">
        <v>7</v>
      </c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54"/>
    </row>
    <row r="2" spans="2:15" x14ac:dyDescent="0.25">
      <c r="B2" s="412" t="s">
        <v>204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54"/>
    </row>
    <row r="3" spans="2:15" x14ac:dyDescent="0.25">
      <c r="B3" s="413" t="s">
        <v>75</v>
      </c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56"/>
    </row>
    <row r="4" spans="2:15" x14ac:dyDescent="0.25">
      <c r="B4" s="413" t="s">
        <v>153</v>
      </c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56"/>
    </row>
    <row r="5" spans="2:15" x14ac:dyDescent="0.2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6"/>
    </row>
    <row r="6" spans="2:15" x14ac:dyDescent="0.25">
      <c r="D6" s="58" t="s">
        <v>154</v>
      </c>
      <c r="E6" s="58"/>
      <c r="H6" s="57"/>
      <c r="L6" s="59" t="str">
        <f>D6</f>
        <v>12ME Oct. 2023</v>
      </c>
    </row>
    <row r="7" spans="2:15" x14ac:dyDescent="0.25">
      <c r="B7" s="60"/>
      <c r="C7" s="60"/>
      <c r="D7" s="59" t="s">
        <v>53</v>
      </c>
      <c r="E7" s="59"/>
      <c r="F7" s="60" t="s">
        <v>155</v>
      </c>
      <c r="G7" s="60" t="str">
        <f>F7</f>
        <v>Sch. 101</v>
      </c>
      <c r="H7" s="60"/>
      <c r="I7" s="60" t="s">
        <v>156</v>
      </c>
      <c r="J7" s="60" t="str">
        <f>I7</f>
        <v>Sch. 106</v>
      </c>
      <c r="K7" s="60"/>
      <c r="L7" s="60" t="s">
        <v>53</v>
      </c>
      <c r="M7" s="60"/>
      <c r="N7" s="60"/>
      <c r="O7" s="60"/>
    </row>
    <row r="8" spans="2:15" x14ac:dyDescent="0.25">
      <c r="B8" s="60"/>
      <c r="C8" s="60" t="s">
        <v>0</v>
      </c>
      <c r="D8" s="60" t="s">
        <v>205</v>
      </c>
      <c r="E8" s="60"/>
      <c r="F8" s="60" t="s">
        <v>206</v>
      </c>
      <c r="G8" s="60" t="str">
        <f>F8</f>
        <v>PGA</v>
      </c>
      <c r="H8" s="60"/>
      <c r="I8" s="60" t="s">
        <v>207</v>
      </c>
      <c r="J8" s="60" t="str">
        <f>I8</f>
        <v>PGA Amort.</v>
      </c>
      <c r="K8" s="60"/>
      <c r="L8" s="60" t="s">
        <v>208</v>
      </c>
      <c r="M8" s="60" t="s">
        <v>5</v>
      </c>
      <c r="N8" s="60" t="s">
        <v>5</v>
      </c>
      <c r="O8" s="60"/>
    </row>
    <row r="9" spans="2:15" ht="17.25" x14ac:dyDescent="0.25">
      <c r="B9" s="61" t="s">
        <v>33</v>
      </c>
      <c r="C9" s="61" t="s">
        <v>6</v>
      </c>
      <c r="D9" s="393" t="s">
        <v>304</v>
      </c>
      <c r="E9" s="61"/>
      <c r="F9" s="61" t="s">
        <v>209</v>
      </c>
      <c r="G9" s="61" t="s">
        <v>210</v>
      </c>
      <c r="H9" s="61"/>
      <c r="I9" s="61" t="s">
        <v>209</v>
      </c>
      <c r="J9" s="61" t="s">
        <v>80</v>
      </c>
      <c r="K9" s="61"/>
      <c r="L9" s="61" t="s">
        <v>119</v>
      </c>
      <c r="M9" s="61" t="s">
        <v>209</v>
      </c>
      <c r="N9" s="61" t="s">
        <v>80</v>
      </c>
      <c r="O9" s="61"/>
    </row>
    <row r="10" spans="2:15" x14ac:dyDescent="0.25">
      <c r="B10" s="60" t="s">
        <v>34</v>
      </c>
      <c r="C10" s="60" t="s">
        <v>35</v>
      </c>
      <c r="D10" s="60" t="s">
        <v>36</v>
      </c>
      <c r="E10" s="60"/>
      <c r="F10" s="62" t="s">
        <v>55</v>
      </c>
      <c r="G10" s="63" t="s">
        <v>211</v>
      </c>
      <c r="H10" s="60"/>
      <c r="I10" s="62" t="s">
        <v>82</v>
      </c>
      <c r="J10" s="63" t="s">
        <v>212</v>
      </c>
      <c r="K10" s="63"/>
      <c r="L10" s="60" t="s">
        <v>213</v>
      </c>
      <c r="M10" s="62" t="s">
        <v>214</v>
      </c>
      <c r="N10" s="63" t="s">
        <v>215</v>
      </c>
      <c r="O10" s="60"/>
    </row>
    <row r="11" spans="2:15" x14ac:dyDescent="0.25">
      <c r="B11" s="55" t="s">
        <v>9</v>
      </c>
      <c r="C11" s="57" t="s">
        <v>65</v>
      </c>
      <c r="D11" s="403">
        <f>'Rate Impacts Sch 101'!R11</f>
        <v>698855427.21486127</v>
      </c>
      <c r="E11" s="64"/>
      <c r="F11" s="65">
        <f>'Rate Impacts Sch 101'!S11</f>
        <v>101283246.63999999</v>
      </c>
      <c r="G11" s="66">
        <f>F11/$D11</f>
        <v>0.14492732358628549</v>
      </c>
      <c r="H11" s="67"/>
      <c r="I11" s="404">
        <v>13687405.850000001</v>
      </c>
      <c r="J11" s="66">
        <f>I11/$D11</f>
        <v>1.9585461194095936E-2</v>
      </c>
      <c r="K11" s="66"/>
      <c r="L11" s="68">
        <f>SUM(D11,F11,I11)</f>
        <v>813826079.70486128</v>
      </c>
      <c r="M11" s="69">
        <f t="shared" ref="M11:M23" si="0">L11-D11</f>
        <v>114970652.49000001</v>
      </c>
      <c r="N11" s="66">
        <f>M11/$D11</f>
        <v>0.16451278478038145</v>
      </c>
      <c r="O11" s="66"/>
    </row>
    <row r="12" spans="2:15" x14ac:dyDescent="0.25">
      <c r="B12" s="55" t="s">
        <v>66</v>
      </c>
      <c r="C12" s="57">
        <v>16</v>
      </c>
      <c r="D12" s="403">
        <f>'Rate Impacts Sch 101'!R12</f>
        <v>8147.9108400000005</v>
      </c>
      <c r="E12" s="64"/>
      <c r="F12" s="65">
        <f>'Rate Impacts Sch 101'!S12</f>
        <v>1207.6399999999999</v>
      </c>
      <c r="G12" s="66">
        <f>F12/$D12</f>
        <v>0.14821468026765985</v>
      </c>
      <c r="H12" s="67"/>
      <c r="I12" s="404">
        <v>163.20000000000002</v>
      </c>
      <c r="J12" s="66">
        <f t="shared" ref="J12:J24" si="1">I12/$D12</f>
        <v>2.0029674256965727E-2</v>
      </c>
      <c r="K12" s="66"/>
      <c r="L12" s="68">
        <f t="shared" ref="L12:L23" si="2">SUM(D12,F12,I12)</f>
        <v>9518.7508400000006</v>
      </c>
      <c r="M12" s="69">
        <f t="shared" si="0"/>
        <v>1370.8400000000001</v>
      </c>
      <c r="N12" s="66">
        <f t="shared" ref="N12:N24" si="3">M12/$D12</f>
        <v>0.16824435452462561</v>
      </c>
      <c r="O12" s="66"/>
    </row>
    <row r="13" spans="2:15" x14ac:dyDescent="0.25">
      <c r="B13" s="55" t="s">
        <v>17</v>
      </c>
      <c r="C13" s="57">
        <v>31</v>
      </c>
      <c r="D13" s="403">
        <f>'Rate Impacts Sch 101'!R13</f>
        <v>256045487.47794884</v>
      </c>
      <c r="E13" s="64"/>
      <c r="F13" s="65">
        <f>'Rate Impacts Sch 101'!S13</f>
        <v>40808362.120000005</v>
      </c>
      <c r="G13" s="66">
        <f t="shared" ref="G13:G24" si="4">F13/$D13</f>
        <v>0.15937934513887694</v>
      </c>
      <c r="H13" s="67"/>
      <c r="I13" s="404">
        <v>5533012.7400000012</v>
      </c>
      <c r="J13" s="66">
        <f t="shared" si="1"/>
        <v>2.1609491323202935E-2</v>
      </c>
      <c r="K13" s="66"/>
      <c r="L13" s="68">
        <f t="shared" si="2"/>
        <v>302386862.33794886</v>
      </c>
      <c r="M13" s="69">
        <f t="shared" si="0"/>
        <v>46341374.860000014</v>
      </c>
      <c r="N13" s="66">
        <f t="shared" si="3"/>
        <v>0.18098883646207992</v>
      </c>
      <c r="O13" s="66"/>
    </row>
    <row r="14" spans="2:15" x14ac:dyDescent="0.25">
      <c r="B14" s="55" t="s">
        <v>11</v>
      </c>
      <c r="C14" s="57">
        <v>41</v>
      </c>
      <c r="D14" s="403">
        <f>'Rate Impacts Sch 101'!R14</f>
        <v>47258739.96154923</v>
      </c>
      <c r="E14" s="64"/>
      <c r="F14" s="65">
        <f>'Rate Impacts Sch 101'!S14</f>
        <v>11095813.019999996</v>
      </c>
      <c r="G14" s="66">
        <f t="shared" si="4"/>
        <v>0.23478859210016598</v>
      </c>
      <c r="H14" s="67"/>
      <c r="I14" s="404">
        <v>1512471.99</v>
      </c>
      <c r="J14" s="66">
        <f t="shared" si="1"/>
        <v>3.2004069326236395E-2</v>
      </c>
      <c r="K14" s="66"/>
      <c r="L14" s="68">
        <f t="shared" si="2"/>
        <v>59867024.971549228</v>
      </c>
      <c r="M14" s="69">
        <f t="shared" si="0"/>
        <v>12608285.009999998</v>
      </c>
      <c r="N14" s="66">
        <f t="shared" si="3"/>
        <v>0.2667926614264024</v>
      </c>
      <c r="O14" s="66"/>
    </row>
    <row r="15" spans="2:15" x14ac:dyDescent="0.25">
      <c r="B15" s="55" t="s">
        <v>39</v>
      </c>
      <c r="C15" s="57">
        <v>85</v>
      </c>
      <c r="D15" s="403">
        <f>'Rate Impacts Sch 101'!R15</f>
        <v>7186779.0347343432</v>
      </c>
      <c r="E15" s="64"/>
      <c r="F15" s="65">
        <f>'Rate Impacts Sch 101'!S15</f>
        <v>2179516.3000000007</v>
      </c>
      <c r="G15" s="66">
        <f t="shared" si="4"/>
        <v>0.30326747065218013</v>
      </c>
      <c r="H15" s="67"/>
      <c r="I15" s="404">
        <v>298458.14</v>
      </c>
      <c r="J15" s="66">
        <f t="shared" si="1"/>
        <v>4.1528776459875176E-2</v>
      </c>
      <c r="K15" s="66"/>
      <c r="L15" s="68">
        <f>SUM(D15,F15,I15)</f>
        <v>9664753.4747343436</v>
      </c>
      <c r="M15" s="69">
        <f t="shared" si="0"/>
        <v>2477974.4400000004</v>
      </c>
      <c r="N15" s="66">
        <f t="shared" si="3"/>
        <v>0.34479624711205525</v>
      </c>
      <c r="O15" s="66"/>
    </row>
    <row r="16" spans="2:15" x14ac:dyDescent="0.25">
      <c r="B16" s="55" t="s">
        <v>46</v>
      </c>
      <c r="C16" s="57">
        <v>86</v>
      </c>
      <c r="D16" s="403">
        <f>'Rate Impacts Sch 101'!R16</f>
        <v>3644824.1609658622</v>
      </c>
      <c r="E16" s="64"/>
      <c r="F16" s="65">
        <f>'Rate Impacts Sch 101'!S16</f>
        <v>917072.62000000011</v>
      </c>
      <c r="G16" s="66">
        <f>F16/$D16</f>
        <v>0.25160956454946787</v>
      </c>
      <c r="H16" s="67"/>
      <c r="I16" s="404">
        <v>126566.17000000001</v>
      </c>
      <c r="J16" s="66">
        <f>I16/$D16</f>
        <v>3.4724904250651299E-2</v>
      </c>
      <c r="K16" s="66"/>
      <c r="L16" s="68">
        <f t="shared" si="2"/>
        <v>4688462.9509658627</v>
      </c>
      <c r="M16" s="69">
        <f t="shared" si="0"/>
        <v>1043638.7900000005</v>
      </c>
      <c r="N16" s="66">
        <f t="shared" si="3"/>
        <v>0.28633446880011926</v>
      </c>
      <c r="O16" s="66"/>
    </row>
    <row r="17" spans="2:16" x14ac:dyDescent="0.25">
      <c r="B17" s="55" t="s">
        <v>67</v>
      </c>
      <c r="C17" s="57">
        <v>87</v>
      </c>
      <c r="D17" s="403">
        <f>'Rate Impacts Sch 101'!R17</f>
        <v>7961954.9261495415</v>
      </c>
      <c r="E17" s="64"/>
      <c r="F17" s="65">
        <f>'Rate Impacts Sch 101'!S17</f>
        <v>2626332.0199999996</v>
      </c>
      <c r="G17" s="66">
        <f t="shared" si="4"/>
        <v>0.32986019694413321</v>
      </c>
      <c r="H17" s="67"/>
      <c r="I17" s="404">
        <v>362727.13000000006</v>
      </c>
      <c r="J17" s="66">
        <f t="shared" si="1"/>
        <v>4.5557546276567218E-2</v>
      </c>
      <c r="K17" s="66"/>
      <c r="L17" s="68">
        <f t="shared" si="2"/>
        <v>10951014.076149542</v>
      </c>
      <c r="M17" s="69">
        <f t="shared" si="0"/>
        <v>2989059.1500000004</v>
      </c>
      <c r="N17" s="66">
        <f>M17/$D17</f>
        <v>0.37541774322070054</v>
      </c>
      <c r="O17" s="66"/>
    </row>
    <row r="18" spans="2:16" x14ac:dyDescent="0.25">
      <c r="B18" s="55" t="s">
        <v>68</v>
      </c>
      <c r="C18" s="57" t="s">
        <v>69</v>
      </c>
      <c r="D18" s="403">
        <f>'Rate Impacts Sch 101'!R18</f>
        <v>26899.48551165601</v>
      </c>
      <c r="E18" s="64"/>
      <c r="F18" s="65"/>
      <c r="G18" s="66">
        <f t="shared" si="4"/>
        <v>0</v>
      </c>
      <c r="H18" s="67"/>
      <c r="I18" s="65"/>
      <c r="J18" s="66">
        <f t="shared" si="1"/>
        <v>0</v>
      </c>
      <c r="K18" s="66"/>
      <c r="L18" s="68">
        <f t="shared" si="2"/>
        <v>26899.48551165601</v>
      </c>
      <c r="M18" s="69">
        <f t="shared" si="0"/>
        <v>0</v>
      </c>
      <c r="N18" s="66">
        <f t="shared" si="3"/>
        <v>0</v>
      </c>
      <c r="O18" s="66"/>
    </row>
    <row r="19" spans="2:16" x14ac:dyDescent="0.25">
      <c r="B19" s="55" t="s">
        <v>70</v>
      </c>
      <c r="C19" s="57" t="s">
        <v>44</v>
      </c>
      <c r="D19" s="403">
        <f>'Rate Impacts Sch 101'!R19</f>
        <v>5158434.4898077212</v>
      </c>
      <c r="E19" s="64"/>
      <c r="F19" s="65"/>
      <c r="G19" s="66">
        <f t="shared" si="4"/>
        <v>0</v>
      </c>
      <c r="H19" s="67"/>
      <c r="I19" s="65"/>
      <c r="J19" s="66">
        <f t="shared" si="1"/>
        <v>0</v>
      </c>
      <c r="K19" s="66"/>
      <c r="L19" s="68">
        <f t="shared" si="2"/>
        <v>5158434.4898077212</v>
      </c>
      <c r="M19" s="69">
        <f t="shared" si="0"/>
        <v>0</v>
      </c>
      <c r="N19" s="66">
        <f>M19/$D19</f>
        <v>0</v>
      </c>
      <c r="O19" s="66"/>
    </row>
    <row r="20" spans="2:16" x14ac:dyDescent="0.25">
      <c r="B20" s="55" t="s">
        <v>71</v>
      </c>
      <c r="C20" s="57" t="s">
        <v>45</v>
      </c>
      <c r="D20" s="403">
        <f>'Rate Impacts Sch 101'!R20</f>
        <v>8269975.9429106656</v>
      </c>
      <c r="E20" s="64"/>
      <c r="F20" s="65"/>
      <c r="G20" s="66">
        <f t="shared" si="4"/>
        <v>0</v>
      </c>
      <c r="H20" s="67"/>
      <c r="I20" s="65"/>
      <c r="J20" s="66">
        <f t="shared" si="1"/>
        <v>0</v>
      </c>
      <c r="K20" s="66"/>
      <c r="L20" s="68">
        <f t="shared" si="2"/>
        <v>8269975.9429106656</v>
      </c>
      <c r="M20" s="69">
        <f t="shared" si="0"/>
        <v>0</v>
      </c>
      <c r="N20" s="66">
        <f t="shared" si="3"/>
        <v>0</v>
      </c>
      <c r="O20" s="66"/>
    </row>
    <row r="21" spans="2:16" x14ac:dyDescent="0.25">
      <c r="B21" s="55" t="s">
        <v>72</v>
      </c>
      <c r="C21" s="57" t="s">
        <v>47</v>
      </c>
      <c r="D21" s="403">
        <f>'Rate Impacts Sch 101'!R21</f>
        <v>259452.16769393376</v>
      </c>
      <c r="E21" s="64"/>
      <c r="F21" s="65"/>
      <c r="G21" s="66">
        <f t="shared" si="4"/>
        <v>0</v>
      </c>
      <c r="H21" s="67"/>
      <c r="I21" s="65"/>
      <c r="J21" s="66">
        <f t="shared" si="1"/>
        <v>0</v>
      </c>
      <c r="K21" s="66"/>
      <c r="L21" s="68">
        <f t="shared" si="2"/>
        <v>259452.16769393376</v>
      </c>
      <c r="M21" s="69">
        <f t="shared" si="0"/>
        <v>0</v>
      </c>
      <c r="N21" s="66">
        <f t="shared" si="3"/>
        <v>0</v>
      </c>
      <c r="O21" s="66"/>
    </row>
    <row r="22" spans="2:16" x14ac:dyDescent="0.25">
      <c r="B22" s="55" t="s">
        <v>73</v>
      </c>
      <c r="C22" s="57" t="s">
        <v>48</v>
      </c>
      <c r="D22" s="403">
        <f>'Rate Impacts Sch 101'!R22</f>
        <v>5175600.4404141493</v>
      </c>
      <c r="E22" s="64"/>
      <c r="F22" s="65"/>
      <c r="G22" s="66">
        <f t="shared" si="4"/>
        <v>0</v>
      </c>
      <c r="H22" s="67"/>
      <c r="I22" s="65"/>
      <c r="J22" s="66">
        <f t="shared" si="1"/>
        <v>0</v>
      </c>
      <c r="K22" s="66"/>
      <c r="L22" s="68">
        <f t="shared" si="2"/>
        <v>5175600.4404141493</v>
      </c>
      <c r="M22" s="69">
        <f t="shared" si="0"/>
        <v>0</v>
      </c>
      <c r="N22" s="66">
        <f t="shared" si="3"/>
        <v>0</v>
      </c>
      <c r="O22" s="66"/>
    </row>
    <row r="23" spans="2:16" x14ac:dyDescent="0.25">
      <c r="B23" s="55" t="s">
        <v>74</v>
      </c>
      <c r="C23" s="57"/>
      <c r="D23" s="403">
        <f>'Rate Impacts Sch 101'!R23</f>
        <v>1833674.0763893125</v>
      </c>
      <c r="E23" s="64"/>
      <c r="F23" s="65"/>
      <c r="G23" s="66">
        <f t="shared" si="4"/>
        <v>0</v>
      </c>
      <c r="H23" s="70"/>
      <c r="I23" s="65"/>
      <c r="J23" s="66">
        <f t="shared" si="1"/>
        <v>0</v>
      </c>
      <c r="K23" s="66"/>
      <c r="L23" s="68">
        <f t="shared" si="2"/>
        <v>1833674.0763893125</v>
      </c>
      <c r="M23" s="69">
        <f t="shared" si="0"/>
        <v>0</v>
      </c>
      <c r="N23" s="66">
        <f t="shared" si="3"/>
        <v>0</v>
      </c>
      <c r="O23" s="71"/>
      <c r="P23" s="72"/>
    </row>
    <row r="24" spans="2:16" x14ac:dyDescent="0.25">
      <c r="B24" s="55" t="s">
        <v>5</v>
      </c>
      <c r="D24" s="73">
        <f>SUM(D11:D23)</f>
        <v>1041685397.2897767</v>
      </c>
      <c r="E24" s="74"/>
      <c r="F24" s="75">
        <f>SUM(F11:F23)</f>
        <v>158911550.35999998</v>
      </c>
      <c r="G24" s="76">
        <f t="shared" si="4"/>
        <v>0.15255234524113606</v>
      </c>
      <c r="H24" s="70"/>
      <c r="I24" s="75">
        <f>SUM(I11:I23)</f>
        <v>21520805.220000003</v>
      </c>
      <c r="J24" s="76">
        <f t="shared" si="1"/>
        <v>2.0659601522678667E-2</v>
      </c>
      <c r="K24" s="71"/>
      <c r="L24" s="75">
        <f>SUM(L11:L23)</f>
        <v>1222117752.8697762</v>
      </c>
      <c r="M24" s="75">
        <f>SUM(M11:M23)</f>
        <v>180432355.58000001</v>
      </c>
      <c r="N24" s="76">
        <f t="shared" si="3"/>
        <v>0.17321194676381474</v>
      </c>
      <c r="O24" s="71"/>
      <c r="P24" s="74"/>
    </row>
    <row r="25" spans="2:16" s="84" customFormat="1" x14ac:dyDescent="0.25">
      <c r="B25" s="77"/>
      <c r="C25" s="78"/>
      <c r="D25" s="78"/>
      <c r="E25" s="78"/>
      <c r="F25" s="79"/>
      <c r="G25" s="80"/>
      <c r="H25" s="81"/>
      <c r="I25" s="79"/>
      <c r="J25" s="80"/>
      <c r="K25" s="80"/>
      <c r="L25" s="81"/>
      <c r="M25" s="79"/>
      <c r="N25" s="80"/>
      <c r="O25" s="82"/>
      <c r="P25" s="83"/>
    </row>
    <row r="26" spans="2:16" x14ac:dyDescent="0.25">
      <c r="F26" s="69"/>
      <c r="G26" s="68"/>
      <c r="H26" s="72"/>
      <c r="I26" s="69"/>
      <c r="J26" s="68"/>
      <c r="K26" s="68"/>
      <c r="L26" s="72"/>
      <c r="M26" s="69"/>
      <c r="N26" s="68"/>
      <c r="O26" s="85"/>
      <c r="P26" s="72"/>
    </row>
    <row r="27" spans="2:16" s="84" customFormat="1" x14ac:dyDescent="0.25">
      <c r="B27" s="86" t="s">
        <v>157</v>
      </c>
      <c r="C27" s="87"/>
      <c r="D27" s="87"/>
      <c r="E27" s="87"/>
      <c r="F27" s="88"/>
      <c r="G27" s="89"/>
      <c r="H27" s="83"/>
      <c r="I27" s="88"/>
      <c r="J27" s="89"/>
      <c r="K27" s="89"/>
      <c r="L27" s="83"/>
      <c r="M27" s="88"/>
      <c r="N27" s="89"/>
      <c r="O27" s="82"/>
      <c r="P27" s="83"/>
    </row>
    <row r="28" spans="2:16" s="84" customFormat="1" x14ac:dyDescent="0.25">
      <c r="B28" s="90" t="s">
        <v>9</v>
      </c>
      <c r="C28" s="91" t="s">
        <v>158</v>
      </c>
      <c r="D28" s="92">
        <f>D11+D12</f>
        <v>698863575.12570131</v>
      </c>
      <c r="E28" s="92"/>
      <c r="F28" s="92">
        <f>F11+F12</f>
        <v>101284454.27999999</v>
      </c>
      <c r="G28" s="66">
        <f t="shared" ref="G28:G35" si="5">F28/$D28</f>
        <v>0.14492736191292047</v>
      </c>
      <c r="H28" s="93"/>
      <c r="I28" s="92">
        <f>I11+I12</f>
        <v>13687569.050000001</v>
      </c>
      <c r="J28" s="66">
        <f t="shared" ref="J28:J35" si="6">I28/$D28</f>
        <v>1.958546637308731E-2</v>
      </c>
      <c r="K28" s="66"/>
      <c r="L28" s="68">
        <f>SUM(D28,F28,I28)</f>
        <v>813835598.45570123</v>
      </c>
      <c r="M28" s="92">
        <f>M11+M12</f>
        <v>114972023.33000001</v>
      </c>
      <c r="N28" s="66">
        <f t="shared" ref="N28:N35" si="7">M28/$D28</f>
        <v>0.1645128282860078</v>
      </c>
      <c r="O28" s="71"/>
      <c r="P28" s="94"/>
    </row>
    <row r="29" spans="2:16" s="84" customFormat="1" x14ac:dyDescent="0.25">
      <c r="B29" s="95" t="s">
        <v>159</v>
      </c>
      <c r="C29" s="91" t="s">
        <v>160</v>
      </c>
      <c r="D29" s="92">
        <f>D13+D18</f>
        <v>256072386.96346051</v>
      </c>
      <c r="E29" s="92"/>
      <c r="F29" s="92">
        <f>F13+F18</f>
        <v>40808362.120000005</v>
      </c>
      <c r="G29" s="66">
        <f t="shared" si="5"/>
        <v>0.15936260291049278</v>
      </c>
      <c r="H29" s="93"/>
      <c r="I29" s="92">
        <f>I13+I18</f>
        <v>5533012.7400000012</v>
      </c>
      <c r="J29" s="66">
        <f t="shared" si="6"/>
        <v>2.1607221323670163E-2</v>
      </c>
      <c r="K29" s="66"/>
      <c r="L29" s="68">
        <f t="shared" ref="L29:L34" si="8">SUM(D29,F29,I29)</f>
        <v>302413761.82346052</v>
      </c>
      <c r="M29" s="92">
        <f>M13+M18</f>
        <v>46341374.860000014</v>
      </c>
      <c r="N29" s="66">
        <f t="shared" si="7"/>
        <v>0.18096982423416297</v>
      </c>
      <c r="O29" s="71"/>
      <c r="P29" s="83"/>
    </row>
    <row r="30" spans="2:16" s="84" customFormat="1" x14ac:dyDescent="0.25">
      <c r="B30" s="90" t="s">
        <v>161</v>
      </c>
      <c r="C30" s="91" t="s">
        <v>162</v>
      </c>
      <c r="D30" s="92">
        <f>D14+D19</f>
        <v>52417174.451356947</v>
      </c>
      <c r="E30" s="92"/>
      <c r="F30" s="92">
        <f>F14+F19</f>
        <v>11095813.019999996</v>
      </c>
      <c r="G30" s="66">
        <f t="shared" si="5"/>
        <v>0.21168277642086358</v>
      </c>
      <c r="H30" s="93"/>
      <c r="I30" s="92">
        <f>I14+I19</f>
        <v>1512471.99</v>
      </c>
      <c r="J30" s="66">
        <f t="shared" si="6"/>
        <v>2.8854512015018503E-2</v>
      </c>
      <c r="K30" s="66"/>
      <c r="L30" s="68">
        <f t="shared" si="8"/>
        <v>65025459.461356945</v>
      </c>
      <c r="M30" s="92">
        <f>M14+M19</f>
        <v>12608285.009999998</v>
      </c>
      <c r="N30" s="66">
        <f t="shared" si="7"/>
        <v>0.24053728843588212</v>
      </c>
      <c r="O30" s="71"/>
      <c r="P30" s="83"/>
    </row>
    <row r="31" spans="2:16" s="84" customFormat="1" x14ac:dyDescent="0.25">
      <c r="B31" s="90" t="s">
        <v>39</v>
      </c>
      <c r="C31" s="91" t="s">
        <v>163</v>
      </c>
      <c r="D31" s="92">
        <f>D15+D20</f>
        <v>15456754.97764501</v>
      </c>
      <c r="E31" s="92"/>
      <c r="F31" s="92">
        <f>F15+F20</f>
        <v>2179516.3000000007</v>
      </c>
      <c r="G31" s="66">
        <f t="shared" si="5"/>
        <v>0.14100736559208055</v>
      </c>
      <c r="H31" s="93"/>
      <c r="I31" s="92">
        <f>I15+I20</f>
        <v>298458.14</v>
      </c>
      <c r="J31" s="66">
        <f t="shared" si="6"/>
        <v>1.9309236669123486E-2</v>
      </c>
      <c r="K31" s="66"/>
      <c r="L31" s="68">
        <f t="shared" si="8"/>
        <v>17934729.417645011</v>
      </c>
      <c r="M31" s="92">
        <f>M15+M20</f>
        <v>2477974.4400000004</v>
      </c>
      <c r="N31" s="66">
        <f t="shared" si="7"/>
        <v>0.16031660226120401</v>
      </c>
      <c r="O31" s="71"/>
      <c r="P31" s="83"/>
    </row>
    <row r="32" spans="2:16" s="84" customFormat="1" x14ac:dyDescent="0.25">
      <c r="B32" s="90" t="s">
        <v>164</v>
      </c>
      <c r="C32" s="91" t="s">
        <v>165</v>
      </c>
      <c r="D32" s="92">
        <f>D16+D21</f>
        <v>3904276.3286597962</v>
      </c>
      <c r="E32" s="92"/>
      <c r="F32" s="92">
        <f>F16+F21</f>
        <v>917072.62000000011</v>
      </c>
      <c r="G32" s="66">
        <f t="shared" si="5"/>
        <v>0.23488927084082689</v>
      </c>
      <c r="H32" s="93"/>
      <c r="I32" s="92">
        <f>I16+I21</f>
        <v>126566.17000000001</v>
      </c>
      <c r="J32" s="66">
        <f t="shared" si="6"/>
        <v>3.2417318690003132E-2</v>
      </c>
      <c r="K32" s="66"/>
      <c r="L32" s="68">
        <f t="shared" si="8"/>
        <v>4947915.1186597962</v>
      </c>
      <c r="M32" s="92">
        <f>M16+M21</f>
        <v>1043638.7900000005</v>
      </c>
      <c r="N32" s="66">
        <f t="shared" si="7"/>
        <v>0.26730658953083014</v>
      </c>
      <c r="O32" s="71"/>
      <c r="P32" s="83"/>
    </row>
    <row r="33" spans="2:16" s="84" customFormat="1" x14ac:dyDescent="0.25">
      <c r="B33" s="77" t="s">
        <v>166</v>
      </c>
      <c r="C33" s="91" t="s">
        <v>167</v>
      </c>
      <c r="D33" s="92">
        <f>D17+D22</f>
        <v>13137555.366563691</v>
      </c>
      <c r="E33" s="92"/>
      <c r="F33" s="92">
        <f>F17+F22</f>
        <v>2626332.0199999996</v>
      </c>
      <c r="G33" s="66">
        <f t="shared" si="5"/>
        <v>0.19991025321836212</v>
      </c>
      <c r="H33" s="93"/>
      <c r="I33" s="92">
        <f>I17+I22</f>
        <v>362727.13000000006</v>
      </c>
      <c r="J33" s="66">
        <f t="shared" si="6"/>
        <v>2.7609941109985697E-2</v>
      </c>
      <c r="K33" s="66"/>
      <c r="L33" s="68">
        <f t="shared" si="8"/>
        <v>16126614.516563691</v>
      </c>
      <c r="M33" s="92">
        <f>M17+M22</f>
        <v>2989059.1500000004</v>
      </c>
      <c r="N33" s="66">
        <f t="shared" si="7"/>
        <v>0.22752019432834786</v>
      </c>
      <c r="O33" s="71"/>
      <c r="P33" s="83"/>
    </row>
    <row r="34" spans="2:16" s="84" customFormat="1" x14ac:dyDescent="0.25">
      <c r="B34" s="77" t="s">
        <v>74</v>
      </c>
      <c r="C34" s="91"/>
      <c r="D34" s="92">
        <f>D23</f>
        <v>1833674.0763893125</v>
      </c>
      <c r="E34" s="92"/>
      <c r="F34" s="92">
        <f>F23</f>
        <v>0</v>
      </c>
      <c r="G34" s="66">
        <f t="shared" si="5"/>
        <v>0</v>
      </c>
      <c r="H34" s="93"/>
      <c r="I34" s="92">
        <f>I23</f>
        <v>0</v>
      </c>
      <c r="J34" s="66">
        <f t="shared" si="6"/>
        <v>0</v>
      </c>
      <c r="K34" s="66"/>
      <c r="L34" s="68">
        <f t="shared" si="8"/>
        <v>1833674.0763893125</v>
      </c>
      <c r="M34" s="92">
        <f>M23</f>
        <v>0</v>
      </c>
      <c r="N34" s="66">
        <f t="shared" si="7"/>
        <v>0</v>
      </c>
      <c r="O34" s="71"/>
      <c r="P34" s="83"/>
    </row>
    <row r="35" spans="2:16" s="84" customFormat="1" x14ac:dyDescent="0.25">
      <c r="B35" s="77" t="s">
        <v>5</v>
      </c>
      <c r="C35" s="77"/>
      <c r="D35" s="96">
        <f>SUM(D28:D34)</f>
        <v>1041685397.2897766</v>
      </c>
      <c r="E35" s="97"/>
      <c r="F35" s="98">
        <f>SUM(F28:F34)</f>
        <v>158911550.35999998</v>
      </c>
      <c r="G35" s="76">
        <f t="shared" si="5"/>
        <v>0.15255234524113606</v>
      </c>
      <c r="H35" s="93"/>
      <c r="I35" s="98">
        <f>SUM(I28:I34)</f>
        <v>21520805.220000003</v>
      </c>
      <c r="J35" s="76">
        <f t="shared" si="6"/>
        <v>2.0659601522678671E-2</v>
      </c>
      <c r="K35" s="71"/>
      <c r="L35" s="98">
        <f>SUM(L28:L34)</f>
        <v>1222117752.8697762</v>
      </c>
      <c r="M35" s="98">
        <f>SUM(M28:M34)</f>
        <v>180432355.58000001</v>
      </c>
      <c r="N35" s="76">
        <f t="shared" si="7"/>
        <v>0.17321194676381477</v>
      </c>
      <c r="O35" s="71"/>
      <c r="P35" s="83"/>
    </row>
    <row r="36" spans="2:16" s="84" customFormat="1" x14ac:dyDescent="0.25">
      <c r="B36" s="77"/>
      <c r="C36" s="77"/>
      <c r="D36" s="77"/>
      <c r="E36" s="77"/>
      <c r="F36" s="92"/>
      <c r="G36" s="99"/>
      <c r="H36" s="93"/>
      <c r="I36" s="92"/>
      <c r="J36" s="99"/>
      <c r="K36" s="99"/>
      <c r="L36" s="93"/>
      <c r="M36" s="92"/>
      <c r="N36" s="99"/>
      <c r="O36" s="71"/>
      <c r="P36" s="83"/>
    </row>
    <row r="37" spans="2:16" x14ac:dyDescent="0.25">
      <c r="F37" s="100"/>
      <c r="G37" s="100"/>
      <c r="J37" s="101"/>
      <c r="K37" s="101"/>
      <c r="M37" s="100"/>
    </row>
    <row r="38" spans="2:16" ht="17.25" x14ac:dyDescent="0.25">
      <c r="B38" s="90" t="s">
        <v>303</v>
      </c>
    </row>
  </sheetData>
  <mergeCells count="4">
    <mergeCell ref="B1:N1"/>
    <mergeCell ref="B2:N2"/>
    <mergeCell ref="B3:N3"/>
    <mergeCell ref="B4:N4"/>
  </mergeCells>
  <printOptions horizontalCentered="1"/>
  <pageMargins left="0.45" right="0.45" top="0.75" bottom="0.75" header="0.3" footer="0.3"/>
  <pageSetup scale="78" orientation="landscape" blackAndWhite="1" r:id="rId1"/>
  <headerFooter>
    <oddFooter>&amp;L&amp;F 
&amp;A&amp;RPage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3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9.140625" defaultRowHeight="15" x14ac:dyDescent="0.25"/>
  <cols>
    <col min="1" max="1" width="2.140625" style="103" customWidth="1"/>
    <col min="2" max="2" width="2.42578125" style="103" customWidth="1"/>
    <col min="3" max="3" width="33" style="103" customWidth="1"/>
    <col min="4" max="5" width="11.85546875" style="103" customWidth="1"/>
    <col min="6" max="6" width="2.5703125" style="105" customWidth="1"/>
    <col min="7" max="8" width="11.85546875" style="103" customWidth="1"/>
    <col min="9" max="9" width="2.5703125" style="103" customWidth="1"/>
    <col min="10" max="11" width="11.85546875" style="103" customWidth="1"/>
    <col min="12" max="12" width="2.5703125" style="103" customWidth="1"/>
    <col min="13" max="14" width="11.85546875" style="103" customWidth="1"/>
    <col min="15" max="16384" width="9.140625" style="103"/>
  </cols>
  <sheetData>
    <row r="1" spans="2:14" x14ac:dyDescent="0.25">
      <c r="B1" s="102" t="s">
        <v>7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2:14" x14ac:dyDescent="0.25">
      <c r="B2" s="102" t="str">
        <f>'Rate Impacts Sch 101 &amp; 106'!B2:N2</f>
        <v>2022 Gas Schedules 101 &amp; 106 PGA Filings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2:14" x14ac:dyDescent="0.25">
      <c r="B3" s="104" t="s">
        <v>168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2:14" x14ac:dyDescent="0.25">
      <c r="B4" s="104" t="str">
        <f>'Rate Impacts Sch 101 &amp; 106'!B4:N4</f>
        <v>Proposed Rates Effective November 1, 2022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2:14" x14ac:dyDescent="0.25">
      <c r="I5" s="106"/>
    </row>
    <row r="6" spans="2:14" x14ac:dyDescent="0.25">
      <c r="G6" s="107" t="s">
        <v>169</v>
      </c>
      <c r="H6" s="107"/>
      <c r="I6" s="106"/>
      <c r="J6" s="107" t="s">
        <v>216</v>
      </c>
      <c r="K6" s="107"/>
    </row>
    <row r="7" spans="2:14" x14ac:dyDescent="0.25">
      <c r="D7" s="108" t="s">
        <v>43</v>
      </c>
      <c r="E7" s="108"/>
      <c r="F7" s="109"/>
      <c r="G7" s="108" t="s">
        <v>170</v>
      </c>
      <c r="H7" s="108"/>
      <c r="I7" s="106"/>
      <c r="J7" s="108" t="s">
        <v>170</v>
      </c>
      <c r="K7" s="108"/>
      <c r="M7" s="108" t="s">
        <v>217</v>
      </c>
      <c r="N7" s="108"/>
    </row>
    <row r="8" spans="2:14" ht="17.25" x14ac:dyDescent="0.25">
      <c r="D8" s="110" t="s">
        <v>171</v>
      </c>
      <c r="E8" s="110" t="s">
        <v>40</v>
      </c>
      <c r="F8" s="111"/>
      <c r="G8" s="110" t="s">
        <v>14</v>
      </c>
      <c r="H8" s="110" t="s">
        <v>40</v>
      </c>
      <c r="I8" s="106"/>
      <c r="J8" s="110" t="s">
        <v>14</v>
      </c>
      <c r="K8" s="110" t="s">
        <v>40</v>
      </c>
      <c r="M8" s="110" t="s">
        <v>14</v>
      </c>
      <c r="N8" s="110" t="s">
        <v>40</v>
      </c>
    </row>
    <row r="9" spans="2:14" x14ac:dyDescent="0.25">
      <c r="B9" s="103" t="s">
        <v>23</v>
      </c>
      <c r="D9" s="112">
        <v>64</v>
      </c>
      <c r="E9" s="113"/>
      <c r="F9" s="114"/>
      <c r="G9" s="112">
        <v>64</v>
      </c>
      <c r="H9" s="113"/>
      <c r="I9" s="106"/>
      <c r="J9" s="112">
        <v>64</v>
      </c>
      <c r="K9" s="113"/>
      <c r="M9" s="112">
        <v>64</v>
      </c>
      <c r="N9" s="113"/>
    </row>
    <row r="10" spans="2:14" x14ac:dyDescent="0.25">
      <c r="D10" s="112"/>
      <c r="E10" s="113"/>
      <c r="F10" s="114"/>
      <c r="G10" s="112"/>
      <c r="H10" s="113"/>
      <c r="I10" s="106"/>
      <c r="J10" s="112"/>
      <c r="K10" s="113"/>
      <c r="M10" s="112"/>
      <c r="N10" s="113"/>
    </row>
    <row r="11" spans="2:14" x14ac:dyDescent="0.25">
      <c r="B11" s="103" t="s">
        <v>29</v>
      </c>
      <c r="D11" s="112"/>
      <c r="E11" s="113"/>
      <c r="F11" s="114"/>
      <c r="G11" s="112"/>
      <c r="H11" s="113"/>
      <c r="I11" s="106"/>
      <c r="J11" s="112"/>
      <c r="K11" s="113"/>
      <c r="M11" s="112"/>
      <c r="N11" s="113"/>
    </row>
    <row r="12" spans="2:14" x14ac:dyDescent="0.25">
      <c r="C12" s="103" t="s">
        <v>172</v>
      </c>
      <c r="D12" s="171">
        <v>11.52</v>
      </c>
      <c r="E12" s="113">
        <f>D12</f>
        <v>11.52</v>
      </c>
      <c r="F12" s="116"/>
      <c r="G12" s="117">
        <f>$D$12</f>
        <v>11.52</v>
      </c>
      <c r="H12" s="113">
        <f>G12</f>
        <v>11.52</v>
      </c>
      <c r="J12" s="117">
        <f>$D$12</f>
        <v>11.52</v>
      </c>
      <c r="K12" s="113">
        <f>J12</f>
        <v>11.52</v>
      </c>
      <c r="M12" s="117">
        <f>$D$12</f>
        <v>11.52</v>
      </c>
      <c r="N12" s="113">
        <f>M12</f>
        <v>11.52</v>
      </c>
    </row>
    <row r="13" spans="2:14" x14ac:dyDescent="0.25">
      <c r="C13" s="103" t="s">
        <v>41</v>
      </c>
      <c r="D13" s="118">
        <f>SUM(D12:D12)</f>
        <v>11.52</v>
      </c>
      <c r="E13" s="118">
        <f>SUM(E12:E12)</f>
        <v>11.52</v>
      </c>
      <c r="F13" s="116"/>
      <c r="G13" s="118">
        <f>SUM(G12:G12)</f>
        <v>11.52</v>
      </c>
      <c r="H13" s="118">
        <f>SUM(H12:H12)</f>
        <v>11.52</v>
      </c>
      <c r="J13" s="118">
        <f>SUM(J12:J12)</f>
        <v>11.52</v>
      </c>
      <c r="K13" s="118">
        <f>SUM(K12:K12)</f>
        <v>11.52</v>
      </c>
      <c r="M13" s="118">
        <f>SUM(M12:M12)</f>
        <v>11.52</v>
      </c>
      <c r="N13" s="118">
        <f>SUM(N12:N12)</f>
        <v>11.52</v>
      </c>
    </row>
    <row r="14" spans="2:14" x14ac:dyDescent="0.25">
      <c r="D14" s="119"/>
      <c r="E14" s="113"/>
      <c r="F14" s="116"/>
      <c r="G14" s="117"/>
      <c r="H14" s="113"/>
      <c r="J14" s="117"/>
      <c r="K14" s="113"/>
      <c r="M14" s="117"/>
      <c r="N14" s="113"/>
    </row>
    <row r="15" spans="2:14" x14ac:dyDescent="0.25">
      <c r="B15" s="103" t="s">
        <v>30</v>
      </c>
      <c r="E15" s="113"/>
      <c r="H15" s="113"/>
      <c r="K15" s="113"/>
      <c r="N15" s="113"/>
    </row>
    <row r="16" spans="2:14" x14ac:dyDescent="0.25">
      <c r="C16" s="103" t="s">
        <v>173</v>
      </c>
      <c r="D16" s="401">
        <v>0.41964000000000001</v>
      </c>
      <c r="E16" s="113"/>
      <c r="F16" s="121"/>
      <c r="G16" s="122">
        <f>$D$16</f>
        <v>0.41964000000000001</v>
      </c>
      <c r="H16" s="113"/>
      <c r="J16" s="122">
        <f>$D$16</f>
        <v>0.41964000000000001</v>
      </c>
      <c r="K16" s="113"/>
      <c r="M16" s="122">
        <f>$D$16</f>
        <v>0.41964000000000001</v>
      </c>
      <c r="N16" s="113"/>
    </row>
    <row r="17" spans="2:14" x14ac:dyDescent="0.25">
      <c r="C17" s="103" t="s">
        <v>174</v>
      </c>
      <c r="D17" s="402">
        <v>3.65E-3</v>
      </c>
      <c r="E17" s="113"/>
      <c r="F17" s="121"/>
      <c r="G17" s="122">
        <f>$D$17</f>
        <v>3.65E-3</v>
      </c>
      <c r="H17" s="113"/>
      <c r="J17" s="122">
        <f>$D$17</f>
        <v>3.65E-3</v>
      </c>
      <c r="K17" s="113"/>
      <c r="M17" s="122">
        <f>$D$17</f>
        <v>3.65E-3</v>
      </c>
      <c r="N17" s="113"/>
    </row>
    <row r="18" spans="2:14" x14ac:dyDescent="0.25">
      <c r="C18" s="103" t="s">
        <v>175</v>
      </c>
      <c r="D18" s="401">
        <v>2.3620000000000002E-2</v>
      </c>
      <c r="E18" s="113"/>
      <c r="F18" s="121"/>
      <c r="G18" s="123">
        <f>$D$18</f>
        <v>2.3620000000000002E-2</v>
      </c>
      <c r="H18" s="113"/>
      <c r="J18" s="123">
        <f>$D$18</f>
        <v>2.3620000000000002E-2</v>
      </c>
      <c r="K18" s="113"/>
      <c r="M18" s="123">
        <f>$D$18</f>
        <v>2.3620000000000002E-2</v>
      </c>
      <c r="N18" s="113"/>
    </row>
    <row r="19" spans="2:14" x14ac:dyDescent="0.25">
      <c r="C19" s="103" t="s">
        <v>176</v>
      </c>
      <c r="D19" s="401">
        <v>3.14E-3</v>
      </c>
      <c r="E19" s="113"/>
      <c r="F19" s="121"/>
      <c r="G19" s="122">
        <f>$D$19</f>
        <v>3.14E-3</v>
      </c>
      <c r="H19" s="113"/>
      <c r="J19" s="122">
        <f>$D$19</f>
        <v>3.14E-3</v>
      </c>
      <c r="K19" s="113"/>
      <c r="M19" s="123">
        <f>$D$19</f>
        <v>3.14E-3</v>
      </c>
      <c r="N19" s="113"/>
    </row>
    <row r="20" spans="2:14" x14ac:dyDescent="0.25">
      <c r="C20" s="103" t="s">
        <v>177</v>
      </c>
      <c r="D20" s="401">
        <v>-1.3699999999999999E-3</v>
      </c>
      <c r="E20" s="113"/>
      <c r="F20" s="121"/>
      <c r="G20" s="123">
        <f>$D$20</f>
        <v>-1.3699999999999999E-3</v>
      </c>
      <c r="H20" s="113"/>
      <c r="J20" s="123">
        <f>$D$20</f>
        <v>-1.3699999999999999E-3</v>
      </c>
      <c r="K20" s="113"/>
      <c r="M20" s="123">
        <f>$D$20</f>
        <v>-1.3699999999999999E-3</v>
      </c>
      <c r="N20" s="113"/>
    </row>
    <row r="21" spans="2:14" x14ac:dyDescent="0.25">
      <c r="C21" s="103" t="s">
        <v>178</v>
      </c>
      <c r="D21" s="401">
        <v>1.6670000000000001E-2</v>
      </c>
      <c r="E21" s="113"/>
      <c r="F21" s="121"/>
      <c r="G21" s="123">
        <f>$D$21</f>
        <v>1.6670000000000001E-2</v>
      </c>
      <c r="H21" s="113"/>
      <c r="J21" s="123">
        <f>$D$21</f>
        <v>1.6670000000000001E-2</v>
      </c>
      <c r="K21" s="113"/>
      <c r="M21" s="123">
        <f>$D$21</f>
        <v>1.6670000000000001E-2</v>
      </c>
      <c r="N21" s="113"/>
    </row>
    <row r="22" spans="2:14" x14ac:dyDescent="0.25">
      <c r="C22" s="103" t="s">
        <v>179</v>
      </c>
      <c r="D22" s="402">
        <v>2.2579999999999999E-2</v>
      </c>
      <c r="E22" s="113"/>
      <c r="F22" s="121"/>
      <c r="G22" s="123">
        <f>$D$22</f>
        <v>2.2579999999999999E-2</v>
      </c>
      <c r="H22" s="113"/>
      <c r="J22" s="123">
        <f>$D$22</f>
        <v>2.2579999999999999E-2</v>
      </c>
      <c r="K22" s="113"/>
      <c r="M22" s="123">
        <f>$D$22</f>
        <v>2.2579999999999999E-2</v>
      </c>
      <c r="N22" s="113"/>
    </row>
    <row r="23" spans="2:14" x14ac:dyDescent="0.25">
      <c r="C23" s="103" t="s">
        <v>41</v>
      </c>
      <c r="D23" s="124">
        <f>SUM(D16:D22)</f>
        <v>0.48793000000000003</v>
      </c>
      <c r="E23" s="113">
        <f>ROUND(D23*D$9,2)</f>
        <v>31.23</v>
      </c>
      <c r="F23" s="121"/>
      <c r="G23" s="124">
        <f>SUM(G16:G22)</f>
        <v>0.48793000000000003</v>
      </c>
      <c r="H23" s="113">
        <f>ROUND(G23*G$9,2)</f>
        <v>31.23</v>
      </c>
      <c r="J23" s="124">
        <f>SUM(J16:J22)</f>
        <v>0.48793000000000003</v>
      </c>
      <c r="K23" s="113">
        <f>ROUND(J23*J$9,2)</f>
        <v>31.23</v>
      </c>
      <c r="M23" s="125">
        <f>SUM(M16:M22)</f>
        <v>0.48793000000000003</v>
      </c>
      <c r="N23" s="113">
        <f>ROUND(M23*M$9,2)</f>
        <v>31.23</v>
      </c>
    </row>
    <row r="24" spans="2:14" x14ac:dyDescent="0.25">
      <c r="M24" s="126"/>
      <c r="N24" s="113"/>
    </row>
    <row r="25" spans="2:14" x14ac:dyDescent="0.25">
      <c r="C25" s="103" t="s">
        <v>180</v>
      </c>
      <c r="D25" s="401">
        <v>2.366E-2</v>
      </c>
      <c r="E25" s="113">
        <f>ROUND(D25*D$9,2)</f>
        <v>1.51</v>
      </c>
      <c r="F25" s="121"/>
      <c r="G25" s="127">
        <f>$D$25</f>
        <v>2.366E-2</v>
      </c>
      <c r="H25" s="113">
        <f>ROUND(G25*G$9,2)</f>
        <v>1.51</v>
      </c>
      <c r="J25" s="127">
        <f>$D$25</f>
        <v>2.366E-2</v>
      </c>
      <c r="K25" s="113">
        <f>ROUND(J25*J$9,2)</f>
        <v>1.51</v>
      </c>
      <c r="M25" s="127">
        <f>$D$25</f>
        <v>2.366E-2</v>
      </c>
      <c r="N25" s="113">
        <f>ROUND(M25*M$9,2)</f>
        <v>1.51</v>
      </c>
    </row>
    <row r="26" spans="2:14" x14ac:dyDescent="0.25">
      <c r="D26" s="122"/>
      <c r="E26" s="113"/>
      <c r="F26" s="121"/>
      <c r="G26" s="122"/>
      <c r="H26" s="113"/>
      <c r="J26" s="122"/>
      <c r="K26" s="113"/>
      <c r="M26" s="123"/>
      <c r="N26" s="113"/>
    </row>
    <row r="27" spans="2:14" x14ac:dyDescent="0.25">
      <c r="C27" s="103" t="s">
        <v>181</v>
      </c>
      <c r="D27" s="401">
        <f>'Sch. 101'!$E$10</f>
        <v>0.46339999999999998</v>
      </c>
      <c r="E27" s="113"/>
      <c r="F27" s="121"/>
      <c r="G27" s="120">
        <f>'Sch. 101'!$F$10</f>
        <v>0.63426000000000005</v>
      </c>
      <c r="H27" s="113"/>
      <c r="J27" s="122">
        <f>$D$27</f>
        <v>0.46339999999999998</v>
      </c>
      <c r="K27" s="113"/>
      <c r="M27" s="120">
        <f>'Sch. 101'!$F$10</f>
        <v>0.63426000000000005</v>
      </c>
      <c r="N27" s="113"/>
    </row>
    <row r="28" spans="2:14" x14ac:dyDescent="0.25">
      <c r="C28" s="103" t="s">
        <v>182</v>
      </c>
      <c r="D28" s="401">
        <v>2.6179999999999998E-2</v>
      </c>
      <c r="E28" s="113"/>
      <c r="F28" s="121"/>
      <c r="G28" s="123">
        <f>$D$28</f>
        <v>2.6179999999999998E-2</v>
      </c>
      <c r="H28" s="113"/>
      <c r="J28" s="401">
        <v>4.9270000000000001E-2</v>
      </c>
      <c r="K28" s="113"/>
      <c r="M28" s="401">
        <v>4.9270000000000001E-2</v>
      </c>
      <c r="N28" s="113"/>
    </row>
    <row r="29" spans="2:14" x14ac:dyDescent="0.25">
      <c r="C29" s="103" t="s">
        <v>41</v>
      </c>
      <c r="D29" s="124">
        <f>SUM(D27:D28)</f>
        <v>0.48957999999999996</v>
      </c>
      <c r="E29" s="113">
        <f>ROUND(D29*D$9,2)</f>
        <v>31.33</v>
      </c>
      <c r="F29" s="121"/>
      <c r="G29" s="124">
        <f>SUM(G27:G28)</f>
        <v>0.66044000000000003</v>
      </c>
      <c r="H29" s="113">
        <f>ROUND(G29*G$9,2)</f>
        <v>42.27</v>
      </c>
      <c r="J29" s="124">
        <f>SUM(J27:J28)</f>
        <v>0.51266999999999996</v>
      </c>
      <c r="K29" s="113">
        <f>ROUND(J29*J$9,2)</f>
        <v>32.81</v>
      </c>
      <c r="M29" s="124">
        <f>SUM(M27:M28)</f>
        <v>0.68353000000000008</v>
      </c>
      <c r="N29" s="113">
        <f>ROUND(M29*M$9,2)</f>
        <v>43.75</v>
      </c>
    </row>
    <row r="30" spans="2:14" x14ac:dyDescent="0.25">
      <c r="C30" s="103" t="s">
        <v>25</v>
      </c>
      <c r="D30" s="124">
        <f>D23+D25+D29</f>
        <v>1.0011699999999999</v>
      </c>
      <c r="E30" s="128">
        <f>SUM(E23,E25,E29)</f>
        <v>64.069999999999993</v>
      </c>
      <c r="F30" s="129"/>
      <c r="G30" s="124">
        <f>G23+G25+G29</f>
        <v>1.1720299999999999</v>
      </c>
      <c r="H30" s="128">
        <f>SUM(H23,H25,H29)</f>
        <v>75.010000000000005</v>
      </c>
      <c r="J30" s="124">
        <f>J23+J25+J29</f>
        <v>1.0242599999999999</v>
      </c>
      <c r="K30" s="128">
        <f>SUM(K23,K25,K29)</f>
        <v>65.550000000000011</v>
      </c>
      <c r="M30" s="124">
        <f>M23+M25+M29</f>
        <v>1.1951200000000002</v>
      </c>
      <c r="N30" s="128">
        <f>SUM(N23,N25,N29)</f>
        <v>76.490000000000009</v>
      </c>
    </row>
    <row r="31" spans="2:14" x14ac:dyDescent="0.25">
      <c r="E31" s="113"/>
      <c r="H31" s="113"/>
      <c r="K31" s="113"/>
      <c r="N31" s="113"/>
    </row>
    <row r="32" spans="2:14" x14ac:dyDescent="0.25">
      <c r="B32" s="103" t="s">
        <v>26</v>
      </c>
      <c r="D32" s="117"/>
      <c r="E32" s="113">
        <f>E13+E30</f>
        <v>75.589999999999989</v>
      </c>
      <c r="F32" s="130"/>
      <c r="G32" s="117"/>
      <c r="H32" s="113">
        <f>H13+H30</f>
        <v>86.53</v>
      </c>
      <c r="J32" s="117"/>
      <c r="K32" s="113">
        <f>K13+K30</f>
        <v>77.070000000000007</v>
      </c>
      <c r="M32" s="117"/>
      <c r="N32" s="113">
        <f>N13+N30</f>
        <v>88.01</v>
      </c>
    </row>
    <row r="33" spans="2:14" x14ac:dyDescent="0.25">
      <c r="B33" s="103" t="s">
        <v>27</v>
      </c>
      <c r="D33" s="117"/>
      <c r="E33" s="113"/>
      <c r="F33" s="130"/>
      <c r="G33" s="117"/>
      <c r="H33" s="113">
        <f>H32-$E32</f>
        <v>10.940000000000012</v>
      </c>
      <c r="J33" s="117"/>
      <c r="K33" s="113">
        <f>K32-$E32</f>
        <v>1.4800000000000182</v>
      </c>
      <c r="M33" s="117"/>
      <c r="N33" s="113">
        <f>N32-$E32</f>
        <v>12.420000000000016</v>
      </c>
    </row>
    <row r="34" spans="2:14" x14ac:dyDescent="0.25">
      <c r="B34" s="103" t="s">
        <v>28</v>
      </c>
      <c r="D34" s="131"/>
      <c r="E34" s="131"/>
      <c r="F34" s="132"/>
      <c r="G34" s="131"/>
      <c r="H34" s="133">
        <f>H33/$E32</f>
        <v>0.14472813864267778</v>
      </c>
      <c r="J34" s="131"/>
      <c r="K34" s="133">
        <f>K33/$E32</f>
        <v>1.9579309432464855E-2</v>
      </c>
      <c r="M34" s="131"/>
      <c r="N34" s="133">
        <f>N33/$E32</f>
        <v>0.16430744807514244</v>
      </c>
    </row>
    <row r="35" spans="2:14" x14ac:dyDescent="0.25">
      <c r="E35" s="113"/>
    </row>
    <row r="36" spans="2:14" x14ac:dyDescent="0.25">
      <c r="B36" s="103" t="s">
        <v>42</v>
      </c>
      <c r="D36" s="122">
        <f>D23+D25</f>
        <v>0.51158999999999999</v>
      </c>
      <c r="E36" s="113"/>
      <c r="F36" s="129"/>
      <c r="G36" s="122">
        <f>G23+G25</f>
        <v>0.51158999999999999</v>
      </c>
      <c r="J36" s="122">
        <f>J23+J25</f>
        <v>0.51158999999999999</v>
      </c>
      <c r="M36" s="122">
        <f>M23+M25</f>
        <v>0.51158999999999999</v>
      </c>
    </row>
    <row r="39" spans="2:14" ht="17.25" x14ac:dyDescent="0.25">
      <c r="B39" s="134" t="s">
        <v>183</v>
      </c>
    </row>
    <row r="43" spans="2:14" ht="14.25" customHeight="1" x14ac:dyDescent="0.25"/>
  </sheetData>
  <printOptions horizontalCentered="1"/>
  <pageMargins left="0.45" right="0.45" top="1" bottom="1" header="0.5" footer="0.5"/>
  <pageSetup scale="83" orientation="landscape" blackAndWhite="1" r:id="rId1"/>
  <headerFooter alignWithMargins="0">
    <oddFooter>&amp;L&amp;F  
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"/>
  <sheetViews>
    <sheetView workbookViewId="0">
      <selection activeCell="P14" sqref="P14"/>
    </sheetView>
  </sheetViews>
  <sheetFormatPr defaultRowHeight="12.75" x14ac:dyDescent="0.2"/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72"/>
  <sheetViews>
    <sheetView zoomScale="90" zoomScaleNormal="90" workbookViewId="0">
      <selection activeCell="B12" sqref="B12"/>
    </sheetView>
  </sheetViews>
  <sheetFormatPr defaultColWidth="9.140625" defaultRowHeight="12.75" x14ac:dyDescent="0.2"/>
  <cols>
    <col min="1" max="1" width="15.5703125" style="202" customWidth="1"/>
    <col min="2" max="13" width="12.5703125" style="202" customWidth="1"/>
    <col min="14" max="14" width="19.5703125" style="202" customWidth="1"/>
    <col min="15" max="15" width="11.28515625" style="202" bestFit="1" customWidth="1"/>
    <col min="16" max="16384" width="9.140625" style="202"/>
  </cols>
  <sheetData>
    <row r="1" spans="1:15" x14ac:dyDescent="0.2">
      <c r="A1" s="203" t="str">
        <f>'Sch. 101 PGA Rates'!A1</f>
        <v>Puget Sound Energy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7"/>
    </row>
    <row r="2" spans="1:15" x14ac:dyDescent="0.2">
      <c r="A2" s="203" t="str">
        <f>'Sch. 101 PGA Rates'!A2</f>
        <v>2022 Gas Schedule 101 Purchased Gas Adjustment (PGA) Filing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7"/>
    </row>
    <row r="3" spans="1:15" x14ac:dyDescent="0.2">
      <c r="A3" s="203" t="s">
        <v>292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57"/>
    </row>
    <row r="4" spans="1:15" x14ac:dyDescent="0.2">
      <c r="A4" s="206"/>
      <c r="B4" s="205"/>
      <c r="C4" s="205"/>
      <c r="D4" s="205"/>
      <c r="E4" s="205"/>
      <c r="F4" s="205"/>
      <c r="G4" s="205"/>
      <c r="H4" s="205"/>
      <c r="I4" s="205"/>
      <c r="J4" s="205"/>
      <c r="K4" s="206"/>
      <c r="L4" s="205"/>
      <c r="M4" s="205"/>
      <c r="N4" s="205"/>
    </row>
    <row r="5" spans="1:15" x14ac:dyDescent="0.2">
      <c r="A5" s="206"/>
      <c r="B5" s="205"/>
      <c r="C5" s="205"/>
      <c r="D5" s="205"/>
      <c r="E5" s="205"/>
      <c r="F5" s="205"/>
      <c r="G5" s="205"/>
      <c r="H5" s="205"/>
      <c r="I5" s="205"/>
      <c r="J5" s="205"/>
      <c r="K5" s="206"/>
      <c r="L5" s="205"/>
      <c r="M5" s="205"/>
      <c r="N5" s="205"/>
    </row>
    <row r="6" spans="1:15" x14ac:dyDescent="0.2">
      <c r="A6" s="206" t="s">
        <v>291</v>
      </c>
      <c r="G6" s="206"/>
      <c r="H6" s="206"/>
      <c r="N6" s="258" t="str">
        <f>TEXT(B7,"MMM. YYYY")&amp;" - "&amp;TEXT(M7,"MMM. YYYY")</f>
        <v>Nov. 2022 - Oct. 2023</v>
      </c>
    </row>
    <row r="7" spans="1:15" x14ac:dyDescent="0.2">
      <c r="A7" s="259" t="s">
        <v>290</v>
      </c>
      <c r="B7" s="260">
        <v>44866</v>
      </c>
      <c r="C7" s="261">
        <f>EDATE(B7,1)</f>
        <v>44896</v>
      </c>
      <c r="D7" s="261">
        <f t="shared" ref="D7:M7" si="0">EDATE(C7,1)</f>
        <v>44927</v>
      </c>
      <c r="E7" s="261">
        <f t="shared" si="0"/>
        <v>44958</v>
      </c>
      <c r="F7" s="261">
        <f t="shared" si="0"/>
        <v>44986</v>
      </c>
      <c r="G7" s="261">
        <f t="shared" si="0"/>
        <v>45017</v>
      </c>
      <c r="H7" s="261">
        <f t="shared" si="0"/>
        <v>45047</v>
      </c>
      <c r="I7" s="261">
        <f t="shared" si="0"/>
        <v>45078</v>
      </c>
      <c r="J7" s="261">
        <f t="shared" si="0"/>
        <v>45108</v>
      </c>
      <c r="K7" s="261">
        <f t="shared" si="0"/>
        <v>45139</v>
      </c>
      <c r="L7" s="261">
        <f t="shared" si="0"/>
        <v>45170</v>
      </c>
      <c r="M7" s="261">
        <f t="shared" si="0"/>
        <v>45200</v>
      </c>
      <c r="N7" s="259" t="s">
        <v>5</v>
      </c>
    </row>
    <row r="8" spans="1:15" x14ac:dyDescent="0.2">
      <c r="A8" s="216">
        <v>23</v>
      </c>
      <c r="B8" s="399">
        <v>71510105</v>
      </c>
      <c r="C8" s="399">
        <v>93363533</v>
      </c>
      <c r="D8" s="399">
        <v>91157352</v>
      </c>
      <c r="E8" s="399">
        <v>79642432</v>
      </c>
      <c r="F8" s="399">
        <v>73078363</v>
      </c>
      <c r="G8" s="399">
        <v>50199903</v>
      </c>
      <c r="H8" s="399">
        <v>28209513</v>
      </c>
      <c r="I8" s="399">
        <v>18430547</v>
      </c>
      <c r="J8" s="399">
        <v>13296329</v>
      </c>
      <c r="K8" s="399">
        <v>12799549</v>
      </c>
      <c r="L8" s="399">
        <v>18485479</v>
      </c>
      <c r="M8" s="399">
        <v>42611904</v>
      </c>
      <c r="N8" s="262">
        <f>SUM(B8:M8)</f>
        <v>592785009</v>
      </c>
      <c r="O8" s="262"/>
    </row>
    <row r="9" spans="1:15" x14ac:dyDescent="0.2">
      <c r="A9" s="216">
        <v>16</v>
      </c>
      <c r="B9" s="400">
        <v>589</v>
      </c>
      <c r="C9" s="400">
        <v>589</v>
      </c>
      <c r="D9" s="400">
        <v>589</v>
      </c>
      <c r="E9" s="400">
        <v>589</v>
      </c>
      <c r="F9" s="400">
        <v>589</v>
      </c>
      <c r="G9" s="400">
        <v>589</v>
      </c>
      <c r="H9" s="400">
        <v>589</v>
      </c>
      <c r="I9" s="400">
        <v>589</v>
      </c>
      <c r="J9" s="400">
        <v>589</v>
      </c>
      <c r="K9" s="400">
        <v>589</v>
      </c>
      <c r="L9" s="400">
        <v>589</v>
      </c>
      <c r="M9" s="400">
        <v>589</v>
      </c>
      <c r="N9" s="262">
        <f t="shared" ref="N9:N14" si="1">SUM(B9:M9)</f>
        <v>7068</v>
      </c>
      <c r="O9" s="262"/>
    </row>
    <row r="10" spans="1:15" x14ac:dyDescent="0.2">
      <c r="A10" s="216">
        <v>31</v>
      </c>
      <c r="B10" s="400">
        <v>27796819</v>
      </c>
      <c r="C10" s="400">
        <v>34723815</v>
      </c>
      <c r="D10" s="400">
        <v>31107887</v>
      </c>
      <c r="E10" s="400">
        <v>27944916</v>
      </c>
      <c r="F10" s="400">
        <v>25031743</v>
      </c>
      <c r="G10" s="400">
        <v>18276075</v>
      </c>
      <c r="H10" s="400">
        <v>13348322</v>
      </c>
      <c r="I10" s="400">
        <v>10772903</v>
      </c>
      <c r="J10" s="400">
        <v>9272634</v>
      </c>
      <c r="K10" s="400">
        <v>9999282</v>
      </c>
      <c r="L10" s="400">
        <v>11696231</v>
      </c>
      <c r="M10" s="400">
        <v>19346533</v>
      </c>
      <c r="N10" s="262">
        <f t="shared" si="1"/>
        <v>239317160</v>
      </c>
      <c r="O10" s="262"/>
    </row>
    <row r="11" spans="1:15" x14ac:dyDescent="0.2">
      <c r="A11" s="216">
        <v>41</v>
      </c>
      <c r="B11" s="400">
        <v>7592067</v>
      </c>
      <c r="C11" s="400">
        <v>8313250</v>
      </c>
      <c r="D11" s="400">
        <v>7405161</v>
      </c>
      <c r="E11" s="400">
        <v>7068900</v>
      </c>
      <c r="F11" s="400">
        <v>6549005</v>
      </c>
      <c r="G11" s="400">
        <v>5111853</v>
      </c>
      <c r="H11" s="400">
        <v>4105933</v>
      </c>
      <c r="I11" s="400">
        <v>3502707</v>
      </c>
      <c r="J11" s="400">
        <v>2902125</v>
      </c>
      <c r="K11" s="400">
        <v>3161567</v>
      </c>
      <c r="L11" s="400">
        <v>3759483</v>
      </c>
      <c r="M11" s="400">
        <v>5805117</v>
      </c>
      <c r="N11" s="262">
        <f t="shared" si="1"/>
        <v>65277168</v>
      </c>
      <c r="O11" s="262"/>
    </row>
    <row r="12" spans="1:15" x14ac:dyDescent="0.2">
      <c r="A12" s="216">
        <v>85</v>
      </c>
      <c r="B12" s="400">
        <v>1252245</v>
      </c>
      <c r="C12" s="400">
        <v>1529720</v>
      </c>
      <c r="D12" s="400">
        <v>1306618</v>
      </c>
      <c r="E12" s="400">
        <v>1284218</v>
      </c>
      <c r="F12" s="400">
        <v>1228239</v>
      </c>
      <c r="G12" s="400">
        <v>1033613</v>
      </c>
      <c r="H12" s="400">
        <v>970474</v>
      </c>
      <c r="I12" s="400">
        <v>808858</v>
      </c>
      <c r="J12" s="400">
        <v>770936</v>
      </c>
      <c r="K12" s="400">
        <v>832251</v>
      </c>
      <c r="L12" s="400">
        <v>779550</v>
      </c>
      <c r="M12" s="400">
        <v>1067853</v>
      </c>
      <c r="N12" s="262">
        <f t="shared" si="1"/>
        <v>12864575</v>
      </c>
      <c r="O12" s="262"/>
    </row>
    <row r="13" spans="1:15" x14ac:dyDescent="0.2">
      <c r="A13" s="216">
        <v>86</v>
      </c>
      <c r="B13" s="400">
        <v>568845</v>
      </c>
      <c r="C13" s="400">
        <v>840776</v>
      </c>
      <c r="D13" s="400">
        <v>718407</v>
      </c>
      <c r="E13" s="400">
        <v>692620</v>
      </c>
      <c r="F13" s="400">
        <v>651358</v>
      </c>
      <c r="G13" s="400">
        <v>463304</v>
      </c>
      <c r="H13" s="400">
        <v>397877</v>
      </c>
      <c r="I13" s="400">
        <v>257135</v>
      </c>
      <c r="J13" s="400">
        <v>184922</v>
      </c>
      <c r="K13" s="400">
        <v>152007</v>
      </c>
      <c r="L13" s="400">
        <v>166978</v>
      </c>
      <c r="M13" s="400">
        <v>363562</v>
      </c>
      <c r="N13" s="262">
        <f t="shared" si="1"/>
        <v>5457791</v>
      </c>
      <c r="O13" s="262"/>
    </row>
    <row r="14" spans="1:15" x14ac:dyDescent="0.2">
      <c r="A14" s="259">
        <v>87</v>
      </c>
      <c r="B14" s="400">
        <v>1656822</v>
      </c>
      <c r="C14" s="400">
        <v>2033762</v>
      </c>
      <c r="D14" s="400">
        <v>1521398</v>
      </c>
      <c r="E14" s="400">
        <v>1477173</v>
      </c>
      <c r="F14" s="400">
        <v>1401402</v>
      </c>
      <c r="G14" s="400">
        <v>1071596</v>
      </c>
      <c r="H14" s="400">
        <v>1088262</v>
      </c>
      <c r="I14" s="400">
        <v>910333</v>
      </c>
      <c r="J14" s="400">
        <v>929795</v>
      </c>
      <c r="K14" s="400">
        <v>1005946</v>
      </c>
      <c r="L14" s="400">
        <v>1004039</v>
      </c>
      <c r="M14" s="400">
        <v>1534262</v>
      </c>
      <c r="N14" s="262">
        <f t="shared" si="1"/>
        <v>15634790</v>
      </c>
      <c r="O14" s="262"/>
    </row>
    <row r="15" spans="1:15" x14ac:dyDescent="0.2">
      <c r="A15" s="263" t="s">
        <v>5</v>
      </c>
      <c r="B15" s="264">
        <f>SUM(B8:B14)</f>
        <v>110377492</v>
      </c>
      <c r="C15" s="264">
        <f t="shared" ref="C15:M15" si="2">SUM(C8:C14)</f>
        <v>140805445</v>
      </c>
      <c r="D15" s="264">
        <f t="shared" si="2"/>
        <v>133217412</v>
      </c>
      <c r="E15" s="264">
        <f t="shared" si="2"/>
        <v>118110848</v>
      </c>
      <c r="F15" s="264">
        <f t="shared" si="2"/>
        <v>107940699</v>
      </c>
      <c r="G15" s="264">
        <f t="shared" si="2"/>
        <v>76156933</v>
      </c>
      <c r="H15" s="264">
        <f t="shared" si="2"/>
        <v>48120970</v>
      </c>
      <c r="I15" s="264">
        <f t="shared" si="2"/>
        <v>34683072</v>
      </c>
      <c r="J15" s="264">
        <f t="shared" si="2"/>
        <v>27357330</v>
      </c>
      <c r="K15" s="264">
        <f t="shared" si="2"/>
        <v>27951191</v>
      </c>
      <c r="L15" s="264">
        <f t="shared" si="2"/>
        <v>35892349</v>
      </c>
      <c r="M15" s="264">
        <f t="shared" si="2"/>
        <v>70729820</v>
      </c>
      <c r="N15" s="264">
        <f>SUM(N8:N14)</f>
        <v>931343561</v>
      </c>
      <c r="O15" s="262"/>
    </row>
    <row r="16" spans="1:15" x14ac:dyDescent="0.2">
      <c r="A16" s="265" t="s">
        <v>79</v>
      </c>
      <c r="B16" s="266">
        <v>0</v>
      </c>
      <c r="C16" s="266">
        <v>0</v>
      </c>
      <c r="D16" s="266">
        <v>0</v>
      </c>
      <c r="E16" s="266">
        <v>0</v>
      </c>
      <c r="F16" s="266">
        <v>0</v>
      </c>
      <c r="G16" s="266">
        <v>0</v>
      </c>
      <c r="H16" s="266">
        <v>0</v>
      </c>
      <c r="I16" s="266">
        <v>0</v>
      </c>
      <c r="J16" s="266">
        <v>0</v>
      </c>
      <c r="K16" s="266">
        <v>0</v>
      </c>
      <c r="L16" s="266">
        <v>0</v>
      </c>
      <c r="M16" s="266">
        <v>0</v>
      </c>
      <c r="N16" s="266">
        <v>0</v>
      </c>
      <c r="O16" s="262"/>
    </row>
    <row r="17" spans="1:15" x14ac:dyDescent="0.2">
      <c r="A17" s="265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8"/>
      <c r="O17" s="262"/>
    </row>
    <row r="18" spans="1:15" x14ac:dyDescent="0.2">
      <c r="A18" s="233"/>
    </row>
    <row r="19" spans="1:15" x14ac:dyDescent="0.2">
      <c r="A19" s="206" t="s">
        <v>152</v>
      </c>
      <c r="G19" s="206"/>
      <c r="H19" s="206"/>
      <c r="N19" s="269" t="str">
        <f>N6</f>
        <v>Nov. 2022 - Oct. 2023</v>
      </c>
    </row>
    <row r="20" spans="1:15" x14ac:dyDescent="0.2">
      <c r="A20" s="259" t="s">
        <v>290</v>
      </c>
      <c r="B20" s="261">
        <f>B7</f>
        <v>44866</v>
      </c>
      <c r="C20" s="261">
        <f>EDATE(B20,1)</f>
        <v>44896</v>
      </c>
      <c r="D20" s="261">
        <f t="shared" ref="D20" si="3">EDATE(C20,1)</f>
        <v>44927</v>
      </c>
      <c r="E20" s="261">
        <f t="shared" ref="E20" si="4">EDATE(D20,1)</f>
        <v>44958</v>
      </c>
      <c r="F20" s="261">
        <f t="shared" ref="F20" si="5">EDATE(E20,1)</f>
        <v>44986</v>
      </c>
      <c r="G20" s="261">
        <f t="shared" ref="G20" si="6">EDATE(F20,1)</f>
        <v>45017</v>
      </c>
      <c r="H20" s="261">
        <f t="shared" ref="H20" si="7">EDATE(G20,1)</f>
        <v>45047</v>
      </c>
      <c r="I20" s="261">
        <f t="shared" ref="I20" si="8">EDATE(H20,1)</f>
        <v>45078</v>
      </c>
      <c r="J20" s="261">
        <f t="shared" ref="J20" si="9">EDATE(I20,1)</f>
        <v>45108</v>
      </c>
      <c r="K20" s="261">
        <f t="shared" ref="K20" si="10">EDATE(J20,1)</f>
        <v>45139</v>
      </c>
      <c r="L20" s="261">
        <f t="shared" ref="L20" si="11">EDATE(K20,1)</f>
        <v>45170</v>
      </c>
      <c r="M20" s="261">
        <f t="shared" ref="M20" si="12">EDATE(L20,1)</f>
        <v>45200</v>
      </c>
      <c r="N20" s="259" t="s">
        <v>5</v>
      </c>
    </row>
    <row r="21" spans="1:15" x14ac:dyDescent="0.2">
      <c r="A21" s="216">
        <v>23</v>
      </c>
      <c r="B21" s="399">
        <v>0</v>
      </c>
      <c r="C21" s="399">
        <v>0</v>
      </c>
      <c r="D21" s="399">
        <v>0</v>
      </c>
      <c r="E21" s="399">
        <v>0</v>
      </c>
      <c r="F21" s="399">
        <v>0</v>
      </c>
      <c r="G21" s="399">
        <v>0</v>
      </c>
      <c r="H21" s="399">
        <v>0</v>
      </c>
      <c r="I21" s="399">
        <v>0</v>
      </c>
      <c r="J21" s="399">
        <v>0</v>
      </c>
      <c r="K21" s="399">
        <v>0</v>
      </c>
      <c r="L21" s="399">
        <v>0</v>
      </c>
      <c r="M21" s="399">
        <v>0</v>
      </c>
      <c r="N21" s="262">
        <f>SUM(B21:M21)</f>
        <v>0</v>
      </c>
    </row>
    <row r="22" spans="1:15" x14ac:dyDescent="0.2">
      <c r="A22" s="216">
        <v>16</v>
      </c>
      <c r="B22" s="400">
        <v>0</v>
      </c>
      <c r="C22" s="400">
        <v>0</v>
      </c>
      <c r="D22" s="400">
        <v>0</v>
      </c>
      <c r="E22" s="400">
        <v>0</v>
      </c>
      <c r="F22" s="400">
        <v>0</v>
      </c>
      <c r="G22" s="400">
        <v>0</v>
      </c>
      <c r="H22" s="400">
        <v>0</v>
      </c>
      <c r="I22" s="400">
        <v>0</v>
      </c>
      <c r="J22" s="400">
        <v>0</v>
      </c>
      <c r="K22" s="400">
        <v>0</v>
      </c>
      <c r="L22" s="400">
        <v>0</v>
      </c>
      <c r="M22" s="400">
        <v>0</v>
      </c>
      <c r="N22" s="262">
        <f t="shared" ref="N22:N27" si="13">SUM(B22:M22)</f>
        <v>0</v>
      </c>
    </row>
    <row r="23" spans="1:15" x14ac:dyDescent="0.2">
      <c r="A23" s="216">
        <v>31</v>
      </c>
      <c r="B23" s="400">
        <v>0</v>
      </c>
      <c r="C23" s="400">
        <v>0</v>
      </c>
      <c r="D23" s="400">
        <v>0</v>
      </c>
      <c r="E23" s="400">
        <v>0</v>
      </c>
      <c r="F23" s="400">
        <v>0</v>
      </c>
      <c r="G23" s="400">
        <v>0</v>
      </c>
      <c r="H23" s="400">
        <v>0</v>
      </c>
      <c r="I23" s="400">
        <v>0</v>
      </c>
      <c r="J23" s="400">
        <v>0</v>
      </c>
      <c r="K23" s="400">
        <v>0</v>
      </c>
      <c r="L23" s="400">
        <v>0</v>
      </c>
      <c r="M23" s="400">
        <v>0</v>
      </c>
      <c r="N23" s="262">
        <f t="shared" si="13"/>
        <v>0</v>
      </c>
    </row>
    <row r="24" spans="1:15" x14ac:dyDescent="0.2">
      <c r="A24" s="216">
        <v>41</v>
      </c>
      <c r="B24" s="400">
        <v>364687</v>
      </c>
      <c r="C24" s="400">
        <v>364687</v>
      </c>
      <c r="D24" s="400">
        <v>364687</v>
      </c>
      <c r="E24" s="400">
        <v>364687</v>
      </c>
      <c r="F24" s="400">
        <v>364687</v>
      </c>
      <c r="G24" s="400">
        <v>364687</v>
      </c>
      <c r="H24" s="400">
        <v>364687</v>
      </c>
      <c r="I24" s="400">
        <v>364687</v>
      </c>
      <c r="J24" s="400">
        <v>364687</v>
      </c>
      <c r="K24" s="400">
        <v>364687</v>
      </c>
      <c r="L24" s="400">
        <v>364687</v>
      </c>
      <c r="M24" s="400">
        <v>364687</v>
      </c>
      <c r="N24" s="262">
        <f t="shared" si="13"/>
        <v>4376244</v>
      </c>
    </row>
    <row r="25" spans="1:15" x14ac:dyDescent="0.2">
      <c r="A25" s="216">
        <v>85</v>
      </c>
      <c r="B25" s="400">
        <v>7621</v>
      </c>
      <c r="C25" s="400">
        <v>7621</v>
      </c>
      <c r="D25" s="400">
        <v>7621</v>
      </c>
      <c r="E25" s="400">
        <v>7621</v>
      </c>
      <c r="F25" s="400">
        <v>7621</v>
      </c>
      <c r="G25" s="400">
        <v>7621</v>
      </c>
      <c r="H25" s="400">
        <v>7621</v>
      </c>
      <c r="I25" s="400">
        <v>7621</v>
      </c>
      <c r="J25" s="400">
        <v>7621</v>
      </c>
      <c r="K25" s="400">
        <v>7621</v>
      </c>
      <c r="L25" s="400">
        <v>7621</v>
      </c>
      <c r="M25" s="400">
        <v>7621</v>
      </c>
      <c r="N25" s="262">
        <f t="shared" si="13"/>
        <v>91452</v>
      </c>
    </row>
    <row r="26" spans="1:15" x14ac:dyDescent="0.2">
      <c r="A26" s="216">
        <v>86</v>
      </c>
      <c r="B26" s="400">
        <v>2889</v>
      </c>
      <c r="C26" s="400">
        <v>2889</v>
      </c>
      <c r="D26" s="400">
        <v>2889</v>
      </c>
      <c r="E26" s="400">
        <v>2889</v>
      </c>
      <c r="F26" s="400">
        <v>2889</v>
      </c>
      <c r="G26" s="400">
        <v>2889</v>
      </c>
      <c r="H26" s="400">
        <v>2889</v>
      </c>
      <c r="I26" s="400">
        <v>2889</v>
      </c>
      <c r="J26" s="400">
        <v>2889</v>
      </c>
      <c r="K26" s="400">
        <v>2889</v>
      </c>
      <c r="L26" s="400">
        <v>2889</v>
      </c>
      <c r="M26" s="400">
        <v>2889</v>
      </c>
      <c r="N26" s="262">
        <f t="shared" si="13"/>
        <v>34668</v>
      </c>
    </row>
    <row r="27" spans="1:15" x14ac:dyDescent="0.2">
      <c r="A27" s="259">
        <v>87</v>
      </c>
      <c r="B27" s="400">
        <v>0</v>
      </c>
      <c r="C27" s="400">
        <v>0</v>
      </c>
      <c r="D27" s="400">
        <v>0</v>
      </c>
      <c r="E27" s="400">
        <v>0</v>
      </c>
      <c r="F27" s="400">
        <v>0</v>
      </c>
      <c r="G27" s="400">
        <v>0</v>
      </c>
      <c r="H27" s="400">
        <v>0</v>
      </c>
      <c r="I27" s="400">
        <v>0</v>
      </c>
      <c r="J27" s="400">
        <v>0</v>
      </c>
      <c r="K27" s="400">
        <v>0</v>
      </c>
      <c r="L27" s="400">
        <v>0</v>
      </c>
      <c r="M27" s="400">
        <v>0</v>
      </c>
      <c r="N27" s="262">
        <f t="shared" si="13"/>
        <v>0</v>
      </c>
    </row>
    <row r="28" spans="1:15" x14ac:dyDescent="0.2">
      <c r="A28" s="263" t="s">
        <v>5</v>
      </c>
      <c r="B28" s="264">
        <f>SUM(B21:B27)</f>
        <v>375197</v>
      </c>
      <c r="C28" s="264">
        <f t="shared" ref="C28:M28" si="14">SUM(C21:C27)</f>
        <v>375197</v>
      </c>
      <c r="D28" s="264">
        <f t="shared" si="14"/>
        <v>375197</v>
      </c>
      <c r="E28" s="264">
        <f t="shared" si="14"/>
        <v>375197</v>
      </c>
      <c r="F28" s="264">
        <f t="shared" si="14"/>
        <v>375197</v>
      </c>
      <c r="G28" s="264">
        <f t="shared" si="14"/>
        <v>375197</v>
      </c>
      <c r="H28" s="264">
        <f t="shared" si="14"/>
        <v>375197</v>
      </c>
      <c r="I28" s="264">
        <f t="shared" si="14"/>
        <v>375197</v>
      </c>
      <c r="J28" s="264">
        <f t="shared" si="14"/>
        <v>375197</v>
      </c>
      <c r="K28" s="264">
        <f t="shared" si="14"/>
        <v>375197</v>
      </c>
      <c r="L28" s="264">
        <f t="shared" si="14"/>
        <v>375197</v>
      </c>
      <c r="M28" s="264">
        <f t="shared" si="14"/>
        <v>375197</v>
      </c>
      <c r="N28" s="264">
        <f>SUM(N21:N27)</f>
        <v>4502364</v>
      </c>
    </row>
    <row r="29" spans="1:15" x14ac:dyDescent="0.2">
      <c r="A29" s="265" t="s">
        <v>79</v>
      </c>
      <c r="B29" s="266">
        <v>0</v>
      </c>
      <c r="C29" s="266">
        <v>0</v>
      </c>
      <c r="D29" s="266">
        <v>0</v>
      </c>
      <c r="E29" s="266">
        <v>0</v>
      </c>
      <c r="F29" s="266">
        <v>0</v>
      </c>
      <c r="G29" s="266">
        <v>0</v>
      </c>
      <c r="H29" s="266">
        <v>0</v>
      </c>
      <c r="I29" s="266">
        <v>0</v>
      </c>
      <c r="J29" s="266">
        <v>0</v>
      </c>
      <c r="K29" s="266">
        <v>0</v>
      </c>
      <c r="L29" s="266">
        <v>0</v>
      </c>
      <c r="M29" s="266">
        <v>0</v>
      </c>
      <c r="N29" s="266">
        <v>0</v>
      </c>
    </row>
    <row r="30" spans="1:15" x14ac:dyDescent="0.2">
      <c r="A30" s="265"/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</row>
    <row r="31" spans="1:15" x14ac:dyDescent="0.2">
      <c r="A31" s="265"/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8"/>
    </row>
    <row r="32" spans="1:15" x14ac:dyDescent="0.2">
      <c r="A32" s="202" t="s">
        <v>299</v>
      </c>
    </row>
    <row r="48" spans="2:2" x14ac:dyDescent="0.2">
      <c r="B48" s="206"/>
    </row>
    <row r="50" spans="1:14" x14ac:dyDescent="0.2"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</row>
    <row r="51" spans="1:14" x14ac:dyDescent="0.2">
      <c r="B51" s="223"/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</row>
    <row r="55" spans="1:14" x14ac:dyDescent="0.2"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</row>
    <row r="59" spans="1:14" x14ac:dyDescent="0.2">
      <c r="A59" s="222"/>
      <c r="B59" s="223"/>
      <c r="C59" s="223"/>
      <c r="D59" s="223"/>
      <c r="E59" s="223"/>
      <c r="F59" s="223"/>
      <c r="G59" s="223"/>
      <c r="H59" s="223"/>
      <c r="I59" s="223"/>
      <c r="J59" s="223"/>
      <c r="K59" s="223"/>
      <c r="L59" s="223"/>
      <c r="M59" s="223"/>
      <c r="N59" s="223"/>
    </row>
    <row r="60" spans="1:14" x14ac:dyDescent="0.2">
      <c r="A60" s="222"/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23"/>
    </row>
    <row r="61" spans="1:14" x14ac:dyDescent="0.2"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</row>
    <row r="62" spans="1:14" x14ac:dyDescent="0.2">
      <c r="A62" s="222"/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</row>
    <row r="63" spans="1:14" x14ac:dyDescent="0.2">
      <c r="A63" s="222"/>
      <c r="B63" s="223"/>
      <c r="C63" s="223"/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</row>
    <row r="64" spans="1:14" x14ac:dyDescent="0.2">
      <c r="A64" s="222"/>
      <c r="B64" s="223"/>
      <c r="C64" s="223"/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</row>
    <row r="65" spans="1:14" x14ac:dyDescent="0.2">
      <c r="A65" s="222"/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</row>
    <row r="66" spans="1:14" x14ac:dyDescent="0.2">
      <c r="A66" s="222"/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</row>
    <row r="67" spans="1:14" x14ac:dyDescent="0.2">
      <c r="A67" s="222"/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23"/>
    </row>
    <row r="68" spans="1:14" x14ac:dyDescent="0.2">
      <c r="A68" s="222"/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</row>
    <row r="69" spans="1:14" x14ac:dyDescent="0.2">
      <c r="B69" s="223"/>
      <c r="C69" s="223"/>
      <c r="D69" s="223"/>
      <c r="E69" s="223"/>
      <c r="F69" s="223"/>
      <c r="G69" s="223"/>
      <c r="H69" s="223"/>
      <c r="I69" s="223"/>
      <c r="J69" s="223"/>
      <c r="K69" s="223"/>
      <c r="L69" s="223"/>
      <c r="M69" s="223"/>
      <c r="N69" s="223"/>
    </row>
    <row r="71" spans="1:14" x14ac:dyDescent="0.2"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</row>
    <row r="72" spans="1:14" x14ac:dyDescent="0.2"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</row>
  </sheetData>
  <phoneticPr fontId="16" type="noConversion"/>
  <printOptions horizontalCentered="1"/>
  <pageMargins left="0.75" right="0.75" top="1" bottom="1" header="0.5" footer="0.5"/>
  <pageSetup scale="66" orientation="landscape" blackAndWhite="1" r:id="rId1"/>
  <headerFooter alignWithMargins="0">
    <oddFooter>&amp;L&amp;F
&amp;A&amp;RPage &amp;P of &amp;N</oddFooter>
  </headerFooter>
  <customProperties>
    <customPr name="_pios_id" r:id="rId2"/>
  </customProperties>
  <ignoredErrors>
    <ignoredError sqref="N8:N14 N21:N2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F6E554770594EA10CEC380786D935" ma:contentTypeVersion="28" ma:contentTypeDescription="" ma:contentTypeScope="" ma:versionID="3cf45b363fa8d005db8250e395d6064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2022-09-19T07:00:00+00:00</OpenedDate>
    <SignificantOrder xmlns="dc463f71-b30c-4ab2-9473-d307f9d35888">false</SignificantOrder>
    <Date1 xmlns="dc463f71-b30c-4ab2-9473-d307f9d35888">2022-09-19T07:00:00+00:00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220715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E8D6AF0-ECDE-49D8-A952-D905F7F2D6B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224CC3FF-6DAE-4909-83B2-D00DC83417B2}"/>
</file>

<file path=customXml/itemProps3.xml><?xml version="1.0" encoding="utf-8"?>
<ds:datastoreItem xmlns:ds="http://schemas.openxmlformats.org/officeDocument/2006/customXml" ds:itemID="{85F37464-B809-4B19-B473-73B0CECDAB4F}"/>
</file>

<file path=customXml/itemProps4.xml><?xml version="1.0" encoding="utf-8"?>
<ds:datastoreItem xmlns:ds="http://schemas.openxmlformats.org/officeDocument/2006/customXml" ds:itemID="{F94EF561-46E3-4A8C-AD1A-FEE9F65C1323}"/>
</file>

<file path=customXml/itemProps5.xml><?xml version="1.0" encoding="utf-8"?>
<ds:datastoreItem xmlns:ds="http://schemas.openxmlformats.org/officeDocument/2006/customXml" ds:itemID="{14D0EA5B-36E0-4A3F-AA50-FFB410CC0C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REDACTED VERSION</vt:lpstr>
      <vt:lpstr>Sch. 101 PGA Rates</vt:lpstr>
      <vt:lpstr>Rate Impacts-&gt;</vt:lpstr>
      <vt:lpstr>Sch. 101</vt:lpstr>
      <vt:lpstr>Rate Impacts Sch 101</vt:lpstr>
      <vt:lpstr>Rate Impacts Sch 101 &amp; 106</vt:lpstr>
      <vt:lpstr>Typical Res Bill Sch 101 &amp; 106</vt:lpstr>
      <vt:lpstr>Work Papers --&gt;</vt:lpstr>
      <vt:lpstr>Therm Forecast</vt:lpstr>
      <vt:lpstr>PGA Cost Summary (R)</vt:lpstr>
      <vt:lpstr>Gas Resource Allocation Study</vt:lpstr>
      <vt:lpstr>Conversion Factor</vt:lpstr>
      <vt:lpstr>'Gas Resource Allocation Study'!Print_Area</vt:lpstr>
      <vt:lpstr>'PGA Cost Summary (R)'!Print_Area</vt:lpstr>
      <vt:lpstr>'Rate Impacts Sch 101'!Print_Area</vt:lpstr>
      <vt:lpstr>'Rate Impacts Sch 101 &amp; 106'!Print_Area</vt:lpstr>
      <vt:lpstr>'REDACTED VERSION'!Print_Area</vt:lpstr>
      <vt:lpstr>'Sch. 101'!Print_Area</vt:lpstr>
      <vt:lpstr>'Sch. 101 PGA Rates'!Print_Area</vt:lpstr>
      <vt:lpstr>'Typical Res Bill Sch 101 &amp; 106'!Print_Area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PSE;Kelima.Yakupova@pse.com;Paul.Schmidt@pse.com</dc:creator>
  <cp:lastModifiedBy>Traore, Lori</cp:lastModifiedBy>
  <cp:lastPrinted>2022-09-16T20:27:38Z</cp:lastPrinted>
  <dcterms:created xsi:type="dcterms:W3CDTF">2003-08-13T16:19:50Z</dcterms:created>
  <dcterms:modified xsi:type="dcterms:W3CDTF">2022-09-19T22:07:19Z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0x0101006E56B4D1795A2E4DB2F0B01679ED314A00A76F6E554770594EA10CEC380786D935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