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UBLIC\# Commission Basis Report\Dec_31_21\To File 2021 WP\"/>
    </mc:Choice>
  </mc:AlternateContent>
  <bookViews>
    <workbookView xWindow="0" yWindow="180" windowWidth="20496" windowHeight="7368" tabRatio="713"/>
  </bookViews>
  <sheets>
    <sheet name="Electric" sheetId="24" r:id="rId1"/>
    <sheet name="Gas" sheetId="25" r:id="rId2"/>
    <sheet name="2021 AMI in  Ratebase" sheetId="22" r:id="rId3"/>
    <sheet name="Plant Assets" sheetId="20" r:id="rId4"/>
    <sheet name="DFIT" sheetId="23" r:id="rId5"/>
    <sheet name="WBS &amp; WO" sheetId="26" r:id="rId6"/>
  </sheets>
  <externalReferences>
    <externalReference r:id="rId7"/>
    <externalReference r:id="rId8"/>
  </externalReferences>
  <definedNames>
    <definedName name="__123Graph_ECURRENT" hidden="1">[1]ConsolidatingPL!#REF!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a" hidden="1">{#N/A,#N/A,FALSE,"Coversheet";#N/A,#N/A,FALSE,"QA"}</definedName>
    <definedName name="AccessDatabase" hidden="1">"I:\COMTREL\FINICLE\TradeSummary.mdb"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new" hidden="1">{#N/A,#N/A,FALSE,"Summ";#N/A,#N/A,FALSE,"General"}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u" hidden="1">{#N/A,#N/A,FALSE,"Summ";#N/A,#N/A,FALSE,"General"}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3" l="1"/>
  <c r="C14" i="23"/>
  <c r="G77" i="26" l="1"/>
  <c r="G78" i="26" s="1"/>
  <c r="G79" i="26" s="1"/>
  <c r="G61" i="26"/>
  <c r="G62" i="26" s="1"/>
  <c r="G63" i="26" s="1"/>
  <c r="G64" i="26" s="1"/>
  <c r="G65" i="26" s="1"/>
  <c r="G66" i="26" s="1"/>
  <c r="G67" i="26" s="1"/>
  <c r="G68" i="26" s="1"/>
  <c r="G69" i="26" s="1"/>
  <c r="G70" i="26" s="1"/>
  <c r="G71" i="26" s="1"/>
  <c r="G72" i="26" s="1"/>
  <c r="G73" i="26" s="1"/>
  <c r="G74" i="26" s="1"/>
  <c r="G75" i="26" s="1"/>
  <c r="G1" i="20" l="1"/>
  <c r="D1" i="20"/>
  <c r="D17" i="24" l="1"/>
  <c r="D17" i="25"/>
  <c r="J19" i="20" l="1"/>
  <c r="I19" i="20"/>
  <c r="G19" i="20"/>
  <c r="F19" i="20"/>
  <c r="D19" i="20"/>
  <c r="C19" i="20"/>
  <c r="C21" i="23" l="1"/>
  <c r="D21" i="23" s="1"/>
  <c r="E21" i="23" s="1"/>
  <c r="F21" i="23" s="1"/>
  <c r="G21" i="23" s="1"/>
  <c r="H21" i="23" s="1"/>
  <c r="I21" i="23" s="1"/>
  <c r="J21" i="23" s="1"/>
  <c r="K21" i="23" s="1"/>
  <c r="L21" i="23" s="1"/>
  <c r="M21" i="23" s="1"/>
  <c r="N21" i="23" s="1"/>
  <c r="C20" i="23"/>
  <c r="D20" i="23" s="1"/>
  <c r="E20" i="23" s="1"/>
  <c r="F20" i="23" s="1"/>
  <c r="G20" i="23" s="1"/>
  <c r="H20" i="23" s="1"/>
  <c r="I20" i="23" s="1"/>
  <c r="J20" i="23" s="1"/>
  <c r="K20" i="23" s="1"/>
  <c r="L20" i="23" s="1"/>
  <c r="M20" i="23" s="1"/>
  <c r="N20" i="23" s="1"/>
  <c r="C19" i="23"/>
  <c r="D19" i="23" s="1"/>
  <c r="E19" i="23" s="1"/>
  <c r="F19" i="23" s="1"/>
  <c r="G19" i="23" s="1"/>
  <c r="H19" i="23" s="1"/>
  <c r="I19" i="23" s="1"/>
  <c r="J19" i="23" s="1"/>
  <c r="K19" i="23" s="1"/>
  <c r="L19" i="23" s="1"/>
  <c r="M19" i="23" s="1"/>
  <c r="N19" i="23" s="1"/>
  <c r="B21" i="23"/>
  <c r="O21" i="23" s="1"/>
  <c r="B20" i="23"/>
  <c r="O20" i="23" s="1"/>
  <c r="B19" i="23"/>
  <c r="B18" i="23"/>
  <c r="B22" i="23" s="1"/>
  <c r="O16" i="23"/>
  <c r="E12" i="23" l="1"/>
  <c r="F12" i="23"/>
  <c r="O19" i="23"/>
  <c r="F11" i="23" s="1"/>
  <c r="E13" i="23"/>
  <c r="F13" i="23"/>
  <c r="C18" i="23"/>
  <c r="D18" i="23" s="1"/>
  <c r="D22" i="23" s="1"/>
  <c r="C22" i="23"/>
  <c r="E18" i="23"/>
  <c r="F14" i="23" l="1"/>
  <c r="E22" i="23"/>
  <c r="F18" i="23"/>
  <c r="C22" i="20" l="1"/>
  <c r="C24" i="20" s="1"/>
  <c r="D22" i="20"/>
  <c r="D24" i="20" s="1"/>
  <c r="G22" i="20"/>
  <c r="G24" i="20" s="1"/>
  <c r="F22" i="20"/>
  <c r="F24" i="20" s="1"/>
  <c r="G18" i="23"/>
  <c r="F22" i="23"/>
  <c r="D16" i="22" l="1"/>
  <c r="C16" i="25" s="1"/>
  <c r="E16" i="25" s="1"/>
  <c r="G22" i="23"/>
  <c r="H18" i="23"/>
  <c r="I18" i="23" l="1"/>
  <c r="H22" i="23"/>
  <c r="D15" i="22" l="1"/>
  <c r="C15" i="25" s="1"/>
  <c r="E15" i="25" s="1"/>
  <c r="D14" i="22"/>
  <c r="C14" i="25" s="1"/>
  <c r="J18" i="23"/>
  <c r="I22" i="23"/>
  <c r="C17" i="25" l="1"/>
  <c r="E14" i="25"/>
  <c r="E17" i="25" s="1"/>
  <c r="D17" i="22"/>
  <c r="C14" i="22"/>
  <c r="C14" i="24" s="1"/>
  <c r="I22" i="20"/>
  <c r="I24" i="20" s="1"/>
  <c r="C15" i="22"/>
  <c r="J22" i="20"/>
  <c r="J24" i="20" s="1"/>
  <c r="J22" i="23"/>
  <c r="K18" i="23"/>
  <c r="E15" i="22" l="1"/>
  <c r="C15" i="24"/>
  <c r="E15" i="24" s="1"/>
  <c r="E14" i="24"/>
  <c r="E14" i="22"/>
  <c r="L18" i="23"/>
  <c r="K22" i="23"/>
  <c r="M18" i="23" l="1"/>
  <c r="L22" i="23"/>
  <c r="M22" i="23" l="1"/>
  <c r="N18" i="23"/>
  <c r="N22" i="23" l="1"/>
  <c r="N23" i="23" s="1"/>
  <c r="O18" i="23"/>
  <c r="O22" i="23" l="1"/>
  <c r="E10" i="23"/>
  <c r="E14" i="23" s="1"/>
  <c r="C16" i="22" l="1"/>
  <c r="G14" i="23"/>
  <c r="E16" i="22" l="1"/>
  <c r="E17" i="22" s="1"/>
  <c r="C16" i="24"/>
  <c r="C17" i="22"/>
  <c r="E16" i="24" l="1"/>
  <c r="E17" i="24" s="1"/>
  <c r="C17" i="24"/>
</calcChain>
</file>

<file path=xl/sharedStrings.xml><?xml version="1.0" encoding="utf-8"?>
<sst xmlns="http://schemas.openxmlformats.org/spreadsheetml/2006/main" count="119" uniqueCount="80">
  <si>
    <t>AMI SYSTEM INTEGRATION - SW.CN.3YR</t>
  </si>
  <si>
    <t>AMI PROJECT - HW.3YR</t>
  </si>
  <si>
    <t>AMI PROJECT - SW.3YR.CN</t>
  </si>
  <si>
    <t>MDMS INTEGRATION FOR AMI-SW.5Y.CS</t>
  </si>
  <si>
    <t>AMI - MDMS UPGRADE - SW.CN.3YR</t>
  </si>
  <si>
    <t>AMI METER SHOP AUTOMATE UPGRADE-SW.CN.3Y</t>
  </si>
  <si>
    <t>AMI INFRASTR ADVANCEDSECURITY.SW.CN.5Y</t>
  </si>
  <si>
    <t>Description</t>
  </si>
  <si>
    <t>Electric</t>
  </si>
  <si>
    <t>Gas</t>
  </si>
  <si>
    <t>Common</t>
  </si>
  <si>
    <t>AMI Gas Combo Meters - SW.CS.3YR</t>
  </si>
  <si>
    <t>CANCELED-AMI Project - HW.3YR</t>
  </si>
  <si>
    <t>AMI Infrastructure Advanced Security-SOF</t>
  </si>
  <si>
    <t>AMI PROJECT - SW.3YR</t>
  </si>
  <si>
    <t>OPTIONAL NON-COMMUNICATING METER-SW.CS.5</t>
  </si>
  <si>
    <t>AMI - NET METERING BILLING REPORT - SW.C</t>
  </si>
  <si>
    <t>AMI ENHANCEMENTS 2019 - SW.CS.3YR</t>
  </si>
  <si>
    <t>MDMS Archive Capability - SW.CS.3YR</t>
  </si>
  <si>
    <t>Disk capacity expension for MDMS - HW.CE</t>
  </si>
  <si>
    <t>143002450;143002516;143002517;143003176;143003178;143003226;143004821;143004825</t>
  </si>
  <si>
    <t>SW</t>
  </si>
  <si>
    <t>HW</t>
  </si>
  <si>
    <t>143002450;143004826;143004825;143004824;143004821;143004550;143003881;143003685;143003226;143003178;143003176;143003173;143002542;143002517;143002516</t>
  </si>
  <si>
    <t>AMI Plant Assets</t>
  </si>
  <si>
    <t>Gross Plant</t>
  </si>
  <si>
    <t>Reserve</t>
  </si>
  <si>
    <t>R.10009.12.01.06</t>
  </si>
  <si>
    <t>CN45N</t>
  </si>
  <si>
    <t>Can</t>
  </si>
  <si>
    <t>APVN</t>
  </si>
  <si>
    <t>Minor Add</t>
  </si>
  <si>
    <t>R.10009.12.01.02</t>
  </si>
  <si>
    <t>Total PSE</t>
  </si>
  <si>
    <t>Total Gas</t>
  </si>
  <si>
    <t>Total Electric</t>
  </si>
  <si>
    <t>No.</t>
  </si>
  <si>
    <t xml:space="preserve">Line </t>
  </si>
  <si>
    <t>Allocation of Common to Electric and Gas</t>
  </si>
  <si>
    <t>Four Factor Allocator</t>
  </si>
  <si>
    <t>Total After Common Allocation</t>
  </si>
  <si>
    <t>PUGET SOUND ENERGY-ELECTRIC</t>
  </si>
  <si>
    <t>REMOVE AMI RATEBASE</t>
  </si>
  <si>
    <t>COMMMISSION BASIS REPORT</t>
  </si>
  <si>
    <t>per Tax Department:</t>
  </si>
  <si>
    <t>AMI Plant Assets Accumulated Deferred Taxes</t>
  </si>
  <si>
    <t>Beg Bal</t>
  </si>
  <si>
    <t>End Bal</t>
  </si>
  <si>
    <t>Electric Meters</t>
  </si>
  <si>
    <t>Gas Meters</t>
  </si>
  <si>
    <t>Common Comm Eq</t>
  </si>
  <si>
    <t>Common Software</t>
  </si>
  <si>
    <t>Total DR/(CR) Balance</t>
  </si>
  <si>
    <t>End Balance</t>
  </si>
  <si>
    <t>check</t>
  </si>
  <si>
    <t>Common Allocation</t>
  </si>
  <si>
    <t>AMA</t>
  </si>
  <si>
    <t>PUGET SOUND ENERGY-GAS</t>
  </si>
  <si>
    <t>COMMISSION BASIS REPORT</t>
  </si>
  <si>
    <t>LINE</t>
  </si>
  <si>
    <t>NO.</t>
  </si>
  <si>
    <t>DESCRIPTION</t>
  </si>
  <si>
    <t>ACTUAL</t>
  </si>
  <si>
    <t>RESTATED</t>
  </si>
  <si>
    <t>ADJUSTMENT</t>
  </si>
  <si>
    <t>PLANT BALANCE</t>
  </si>
  <si>
    <t xml:space="preserve">ACCUM DEPRECIATION </t>
  </si>
  <si>
    <t>DEFERRED INCOME TAX LIABILITY</t>
  </si>
  <si>
    <t>REMOVE GAS AMI RATEBASE</t>
  </si>
  <si>
    <t>Adj 3.19G</t>
  </si>
  <si>
    <t>Adj 3.19E</t>
  </si>
  <si>
    <t>REMOVE ELECTRIC AMI RATEBASE</t>
  </si>
  <si>
    <t>PUGET SOUND ENERGY- ELECTRIC</t>
  </si>
  <si>
    <t>UTILITY PLANT RATEBASE (AMA)</t>
  </si>
  <si>
    <t>NET  PLANT RATEBASE (AMA)</t>
  </si>
  <si>
    <t>FOR THE TWELVE MONTHS ENDED DECEMBER 31, 2021</t>
  </si>
  <si>
    <t>12/31/2021 AMA</t>
  </si>
  <si>
    <t>Dec-21 AMA Before Common Allocation</t>
  </si>
  <si>
    <t>JK OK 3/6/22</t>
  </si>
  <si>
    <t>2021 ADIT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</si>
</sst>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&quot;PAGE&quot;\ 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color rgb="FF0000FF"/>
      <name val="Times New Roman"/>
      <family val="1"/>
    </font>
    <font>
      <b/>
      <sz val="11"/>
      <color rgb="FFFF0000"/>
      <name val="Times New Roman"/>
      <family val="1"/>
    </font>
    <font>
      <sz val="8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2" borderId="0" xfId="0" applyFill="1"/>
    <xf numFmtId="0" fontId="2" fillId="0" borderId="0" xfId="0" applyNumberFormat="1" applyFont="1" applyFill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NumberFormat="1" applyFont="1" applyFill="1" applyAlignment="1">
      <alignment horizontal="centerContinuous"/>
    </xf>
    <xf numFmtId="0" fontId="3" fillId="0" borderId="0" xfId="0" applyFont="1" applyAlignment="1">
      <alignment horizontal="centerContinuous"/>
    </xf>
    <xf numFmtId="15" fontId="5" fillId="0" borderId="0" xfId="0" applyNumberFormat="1" applyFont="1" applyFill="1" applyAlignment="1">
      <alignment horizontal="centerContinuous"/>
    </xf>
    <xf numFmtId="18" fontId="5" fillId="0" borderId="0" xfId="0" applyNumberFormat="1" applyFont="1" applyFill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2" fontId="6" fillId="0" borderId="0" xfId="0" applyNumberFormat="1" applyFont="1"/>
    <xf numFmtId="41" fontId="6" fillId="0" borderId="0" xfId="0" applyNumberFormat="1" applyFont="1"/>
    <xf numFmtId="0" fontId="7" fillId="0" borderId="0" xfId="0" applyFont="1" applyAlignment="1">
      <alignment vertical="center"/>
    </xf>
    <xf numFmtId="43" fontId="4" fillId="0" borderId="0" xfId="1" applyFont="1" applyAlignment="1">
      <alignment horizontal="right"/>
    </xf>
    <xf numFmtId="10" fontId="4" fillId="0" borderId="0" xfId="1" applyNumberFormat="1" applyFont="1"/>
    <xf numFmtId="43" fontId="4" fillId="0" borderId="0" xfId="1" applyFont="1" applyBorder="1"/>
    <xf numFmtId="43" fontId="4" fillId="0" borderId="0" xfId="1" applyFont="1"/>
    <xf numFmtId="43" fontId="3" fillId="0" borderId="0" xfId="1" applyFont="1" applyBorder="1"/>
    <xf numFmtId="43" fontId="3" fillId="0" borderId="0" xfId="1" applyFont="1"/>
    <xf numFmtId="14" fontId="8" fillId="0" borderId="0" xfId="0" applyNumberFormat="1" applyFont="1" applyAlignment="1">
      <alignment horizontal="center"/>
    </xf>
    <xf numFmtId="14" fontId="8" fillId="0" borderId="0" xfId="0" applyNumberFormat="1" applyFont="1" applyBorder="1" applyAlignment="1">
      <alignment horizontal="center"/>
    </xf>
    <xf numFmtId="0" fontId="3" fillId="0" borderId="0" xfId="0" applyFont="1" applyBorder="1"/>
    <xf numFmtId="43" fontId="4" fillId="0" borderId="2" xfId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17" fontId="3" fillId="0" borderId="0" xfId="0" applyNumberFormat="1" applyFont="1"/>
    <xf numFmtId="43" fontId="3" fillId="0" borderId="0" xfId="0" applyNumberFormat="1" applyFont="1"/>
    <xf numFmtId="0" fontId="4" fillId="0" borderId="1" xfId="0" applyFont="1" applyBorder="1"/>
    <xf numFmtId="0" fontId="4" fillId="0" borderId="0" xfId="0" applyFont="1" applyBorder="1"/>
    <xf numFmtId="43" fontId="4" fillId="0" borderId="1" xfId="1" applyFont="1" applyBorder="1"/>
    <xf numFmtId="0" fontId="4" fillId="0" borderId="0" xfId="0" applyFont="1"/>
    <xf numFmtId="14" fontId="8" fillId="0" borderId="0" xfId="0" applyNumberFormat="1" applyFont="1" applyAlignment="1">
      <alignment horizontal="left"/>
    </xf>
    <xf numFmtId="0" fontId="4" fillId="0" borderId="0" xfId="0" applyFont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164" fontId="3" fillId="0" borderId="0" xfId="1" applyNumberFormat="1" applyFont="1"/>
    <xf numFmtId="164" fontId="3" fillId="0" borderId="0" xfId="0" applyNumberFormat="1" applyFont="1"/>
    <xf numFmtId="0" fontId="3" fillId="0" borderId="0" xfId="0" applyFont="1" applyAlignment="1">
      <alignment horizontal="right"/>
    </xf>
    <xf numFmtId="164" fontId="3" fillId="0" borderId="5" xfId="1" applyNumberFormat="1" applyFont="1" applyBorder="1"/>
    <xf numFmtId="164" fontId="3" fillId="0" borderId="5" xfId="0" applyNumberFormat="1" applyFont="1" applyBorder="1"/>
    <xf numFmtId="43" fontId="9" fillId="0" borderId="0" xfId="0" applyNumberFormat="1" applyFont="1"/>
    <xf numFmtId="0" fontId="9" fillId="0" borderId="0" xfId="0" applyFont="1"/>
    <xf numFmtId="17" fontId="3" fillId="0" borderId="0" xfId="0" applyNumberFormat="1" applyFont="1" applyAlignment="1">
      <alignment horizontal="center"/>
    </xf>
    <xf numFmtId="17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2" fillId="0" borderId="0" xfId="0" quotePrefix="1" applyNumberFormat="1" applyFont="1" applyFill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0" fontId="2" fillId="0" borderId="0" xfId="0" applyNumberFormat="1" applyFont="1" applyFill="1" applyAlignment="1"/>
    <xf numFmtId="0" fontId="2" fillId="0" borderId="0" xfId="0" applyNumberFormat="1" applyFont="1" applyFill="1" applyAlignment="1" applyProtection="1">
      <alignment horizontal="centerContinuous"/>
      <protection locked="0"/>
    </xf>
    <xf numFmtId="0" fontId="2" fillId="0" borderId="0" xfId="0" applyNumberFormat="1" applyFont="1" applyFill="1" applyBorder="1" applyAlignment="1">
      <alignment horizontal="centerContinuous"/>
    </xf>
    <xf numFmtId="0" fontId="10" fillId="0" borderId="0" xfId="0" applyNumberFormat="1" applyFont="1" applyFill="1" applyAlignment="1">
      <alignment horizontal="centerContinuous"/>
    </xf>
    <xf numFmtId="15" fontId="10" fillId="0" borderId="0" xfId="0" applyNumberFormat="1" applyFont="1" applyFill="1" applyAlignment="1">
      <alignment horizontal="centerContinuous"/>
    </xf>
    <xf numFmtId="18" fontId="2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 applyProtection="1">
      <alignment horizontal="center"/>
      <protection locked="0"/>
    </xf>
    <xf numFmtId="0" fontId="2" fillId="0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/>
    <xf numFmtId="0" fontId="2" fillId="0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NumberFormat="1" applyFont="1" applyFill="1" applyAlignment="1"/>
    <xf numFmtId="37" fontId="11" fillId="0" borderId="0" xfId="0" applyNumberFormat="1" applyFont="1" applyFill="1" applyBorder="1" applyAlignment="1"/>
    <xf numFmtId="0" fontId="11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left"/>
    </xf>
    <xf numFmtId="42" fontId="11" fillId="0" borderId="0" xfId="0" applyNumberFormat="1" applyFont="1" applyFill="1" applyBorder="1" applyAlignment="1"/>
    <xf numFmtId="0" fontId="11" fillId="0" borderId="0" xfId="0" applyFont="1" applyFill="1" applyAlignment="1">
      <alignment horizontal="left" indent="2"/>
    </xf>
    <xf numFmtId="0" fontId="11" fillId="0" borderId="2" xfId="0" applyFont="1" applyFill="1" applyBorder="1" applyAlignment="1">
      <alignment horizontal="left" indent="2"/>
    </xf>
    <xf numFmtId="0" fontId="11" fillId="0" borderId="0" xfId="0" applyFont="1" applyFill="1" applyAlignment="1">
      <alignment horizontal="left"/>
    </xf>
    <xf numFmtId="0" fontId="0" fillId="0" borderId="0" xfId="0" applyNumberFormat="1" applyAlignment="1"/>
    <xf numFmtId="42" fontId="11" fillId="0" borderId="0" xfId="0" applyNumberFormat="1" applyFont="1" applyFill="1" applyBorder="1" applyAlignment="1">
      <alignment horizontal="right"/>
    </xf>
    <xf numFmtId="43" fontId="11" fillId="0" borderId="0" xfId="0" applyNumberFormat="1" applyFont="1" applyFill="1" applyBorder="1" applyAlignment="1"/>
    <xf numFmtId="43" fontId="11" fillId="0" borderId="2" xfId="0" applyNumberFormat="1" applyFont="1" applyFill="1" applyBorder="1" applyAlignment="1"/>
    <xf numFmtId="41" fontId="6" fillId="0" borderId="2" xfId="0" applyNumberFormat="1" applyFont="1" applyFill="1" applyBorder="1"/>
    <xf numFmtId="42" fontId="0" fillId="0" borderId="0" xfId="0" applyNumberFormat="1"/>
    <xf numFmtId="164" fontId="11" fillId="0" borderId="0" xfId="0" applyNumberFormat="1" applyFont="1" applyFill="1" applyBorder="1" applyAlignment="1"/>
    <xf numFmtId="164" fontId="11" fillId="0" borderId="2" xfId="0" applyNumberFormat="1" applyFont="1" applyFill="1" applyBorder="1" applyAlignment="1"/>
    <xf numFmtId="0" fontId="0" fillId="0" borderId="0" xfId="0" applyNumberFormat="1"/>
    <xf numFmtId="0" fontId="13" fillId="0" borderId="0" xfId="0" applyFont="1"/>
    <xf numFmtId="0" fontId="14" fillId="0" borderId="0" xfId="0" applyFont="1"/>
    <xf numFmtId="43" fontId="4" fillId="2" borderId="0" xfId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0</xdr:rowOff>
    </xdr:from>
    <xdr:to>
      <xdr:col>17</xdr:col>
      <xdr:colOff>322477</xdr:colOff>
      <xdr:row>58</xdr:row>
      <xdr:rowOff>9429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875520"/>
          <a:ext cx="11043817" cy="740949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30</xdr:col>
      <xdr:colOff>46774</xdr:colOff>
      <xdr:row>66</xdr:row>
      <xdr:rowOff>151619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40540" y="6217920"/>
          <a:ext cx="6828574" cy="6003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16</xdr:col>
      <xdr:colOff>209549</xdr:colOff>
      <xdr:row>138</xdr:row>
      <xdr:rowOff>152984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9568160"/>
          <a:ext cx="10321289" cy="58222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28575</xdr:rowOff>
    </xdr:from>
    <xdr:to>
      <xdr:col>20</xdr:col>
      <xdr:colOff>141296</xdr:colOff>
      <xdr:row>23</xdr:row>
      <xdr:rowOff>9432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503295"/>
          <a:ext cx="12691436" cy="7123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11</xdr:col>
      <xdr:colOff>332465</xdr:colOff>
      <xdr:row>105</xdr:row>
      <xdr:rowOff>180452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5361920"/>
          <a:ext cx="7320005" cy="40209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19</xdr:col>
      <xdr:colOff>227087</xdr:colOff>
      <xdr:row>19</xdr:row>
      <xdr:rowOff>56714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82880"/>
          <a:ext cx="12167627" cy="3348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1 Dec BS"/>
      <sheetName val="2021 Dec IS "/>
      <sheetName val="SAP DL Downld"/>
      <sheetName val="Meter Count"/>
      <sheetName val="Electric"/>
      <sheetName val="Gas"/>
      <sheetName val="Elect. Customer Counts Pg 10a "/>
      <sheetName val="Gas Customer Counts Pg 10b"/>
      <sheetName val="Combined-2021"/>
      <sheetName val="DLReconBBS"/>
    </sheetNames>
    <sheetDataSet>
      <sheetData sheetId="0">
        <row r="35">
          <cell r="E35">
            <v>0.65980000000000005</v>
          </cell>
          <cell r="F35">
            <v>0.3402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/>
  </sheetViews>
  <sheetFormatPr defaultRowHeight="14.4" x14ac:dyDescent="0.3"/>
  <cols>
    <col min="1" max="1" width="5" bestFit="1" customWidth="1"/>
    <col min="2" max="2" width="56.33203125" customWidth="1"/>
    <col min="3" max="4" width="13.33203125" customWidth="1"/>
    <col min="5" max="5" width="14" bestFit="1" customWidth="1"/>
  </cols>
  <sheetData>
    <row r="1" spans="1:5" ht="15" thickBot="1" x14ac:dyDescent="0.35">
      <c r="A1" s="1"/>
      <c r="B1" s="1"/>
      <c r="C1" s="1"/>
      <c r="D1" s="1"/>
      <c r="E1" s="1"/>
    </row>
    <row r="2" spans="1:5" ht="15" thickBot="1" x14ac:dyDescent="0.35">
      <c r="A2" s="54"/>
      <c r="B2" s="54"/>
      <c r="C2" s="54"/>
      <c r="D2" s="54"/>
      <c r="E2" s="55" t="s">
        <v>70</v>
      </c>
    </row>
    <row r="3" spans="1:5" x14ac:dyDescent="0.3">
      <c r="A3" s="56"/>
      <c r="B3" s="56"/>
      <c r="C3" s="56"/>
      <c r="D3" s="56"/>
      <c r="E3" s="56"/>
    </row>
    <row r="4" spans="1:5" x14ac:dyDescent="0.3">
      <c r="A4" s="57" t="s">
        <v>72</v>
      </c>
      <c r="B4" s="58"/>
      <c r="C4" s="58"/>
      <c r="D4" s="58"/>
      <c r="E4" s="58"/>
    </row>
    <row r="5" spans="1:5" x14ac:dyDescent="0.3">
      <c r="A5" s="59" t="s">
        <v>71</v>
      </c>
      <c r="B5" s="60"/>
      <c r="C5" s="60"/>
      <c r="D5" s="60"/>
      <c r="E5" s="60"/>
    </row>
    <row r="6" spans="1:5" x14ac:dyDescent="0.3">
      <c r="A6" s="3" t="s">
        <v>75</v>
      </c>
      <c r="B6" s="61"/>
      <c r="C6" s="61"/>
      <c r="D6" s="61"/>
      <c r="E6" s="61"/>
    </row>
    <row r="7" spans="1:5" x14ac:dyDescent="0.3">
      <c r="A7" s="57" t="s">
        <v>58</v>
      </c>
      <c r="B7" s="61"/>
      <c r="C7" s="61"/>
      <c r="D7" s="61"/>
      <c r="E7" s="61"/>
    </row>
    <row r="8" spans="1:5" x14ac:dyDescent="0.3">
      <c r="A8" s="62"/>
      <c r="B8" s="62"/>
      <c r="C8" s="62"/>
      <c r="D8" s="62"/>
      <c r="E8" s="62"/>
    </row>
    <row r="9" spans="1:5" x14ac:dyDescent="0.3">
      <c r="A9" s="63" t="s">
        <v>59</v>
      </c>
      <c r="B9" s="56"/>
      <c r="C9" s="63"/>
      <c r="D9" s="63"/>
      <c r="E9" s="63"/>
    </row>
    <row r="10" spans="1:5" x14ac:dyDescent="0.3">
      <c r="A10" s="64" t="s">
        <v>60</v>
      </c>
      <c r="B10" s="65" t="s">
        <v>61</v>
      </c>
      <c r="C10" s="66" t="s">
        <v>62</v>
      </c>
      <c r="D10" s="66" t="s">
        <v>63</v>
      </c>
      <c r="E10" s="66" t="s">
        <v>64</v>
      </c>
    </row>
    <row r="11" spans="1:5" x14ac:dyDescent="0.3">
      <c r="A11" s="67"/>
      <c r="B11" s="68"/>
      <c r="C11" s="68"/>
      <c r="D11" s="68"/>
      <c r="E11" s="68"/>
    </row>
    <row r="12" spans="1:5" x14ac:dyDescent="0.3">
      <c r="A12" s="69">
        <v>1</v>
      </c>
      <c r="B12" s="70"/>
      <c r="C12" s="71"/>
      <c r="D12" s="71"/>
      <c r="E12" s="71"/>
    </row>
    <row r="13" spans="1:5" x14ac:dyDescent="0.3">
      <c r="A13" s="69">
        <v>2</v>
      </c>
      <c r="B13" s="70" t="s">
        <v>73</v>
      </c>
      <c r="C13" s="67"/>
      <c r="D13" s="68"/>
      <c r="E13" s="68"/>
    </row>
    <row r="14" spans="1:5" x14ac:dyDescent="0.3">
      <c r="A14" s="69">
        <v>3</v>
      </c>
      <c r="B14" s="72" t="s">
        <v>65</v>
      </c>
      <c r="C14" s="71">
        <f>'2021 AMI in  Ratebase'!C14</f>
        <v>180169191.71310818</v>
      </c>
      <c r="D14" s="71">
        <v>0</v>
      </c>
      <c r="E14" s="71">
        <f>D14-C14</f>
        <v>-180169191.71310818</v>
      </c>
    </row>
    <row r="15" spans="1:5" x14ac:dyDescent="0.3">
      <c r="A15" s="69">
        <v>4</v>
      </c>
      <c r="B15" s="72" t="s">
        <v>66</v>
      </c>
      <c r="C15" s="81">
        <f>'2021 AMI in  Ratebase'!C15</f>
        <v>-28334669.241575457</v>
      </c>
      <c r="D15" s="77">
        <v>0</v>
      </c>
      <c r="E15" s="81">
        <f>D15-C15</f>
        <v>28334669.241575457</v>
      </c>
    </row>
    <row r="16" spans="1:5" x14ac:dyDescent="0.3">
      <c r="A16" s="69">
        <v>5</v>
      </c>
      <c r="B16" s="73" t="s">
        <v>67</v>
      </c>
      <c r="C16" s="82">
        <f>'2021 AMI in  Ratebase'!C16</f>
        <v>-16922612.970434867</v>
      </c>
      <c r="D16" s="78">
        <v>0</v>
      </c>
      <c r="E16" s="82">
        <f>D16-C16</f>
        <v>16922612.970434867</v>
      </c>
    </row>
    <row r="17" spans="1:5" x14ac:dyDescent="0.3">
      <c r="A17" s="69">
        <v>6</v>
      </c>
      <c r="B17" s="74" t="s">
        <v>74</v>
      </c>
      <c r="C17" s="71">
        <f>SUM(C14:C16)</f>
        <v>134911909.50109786</v>
      </c>
      <c r="D17" s="71">
        <f t="shared" ref="D17:E17" si="0">SUM(D14:D16)</f>
        <v>0</v>
      </c>
      <c r="E17" s="71">
        <f t="shared" si="0"/>
        <v>-134911909.50109786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C16" sqref="C16"/>
    </sheetView>
  </sheetViews>
  <sheetFormatPr defaultRowHeight="14.4" x14ac:dyDescent="0.3"/>
  <cols>
    <col min="1" max="1" width="5" bestFit="1" customWidth="1"/>
    <col min="2" max="2" width="56.33203125" customWidth="1"/>
    <col min="3" max="5" width="13.33203125" customWidth="1"/>
  </cols>
  <sheetData>
    <row r="1" spans="1:5" ht="15" thickBot="1" x14ac:dyDescent="0.35"/>
    <row r="2" spans="1:5" ht="15" thickBot="1" x14ac:dyDescent="0.35">
      <c r="A2" s="54"/>
      <c r="B2" s="54"/>
      <c r="C2" s="54"/>
      <c r="D2" s="54"/>
      <c r="E2" s="55" t="s">
        <v>69</v>
      </c>
    </row>
    <row r="3" spans="1:5" x14ac:dyDescent="0.3">
      <c r="A3" s="56"/>
      <c r="B3" s="56"/>
      <c r="C3" s="56"/>
      <c r="D3" s="56"/>
      <c r="E3" s="56"/>
    </row>
    <row r="4" spans="1:5" x14ac:dyDescent="0.3">
      <c r="A4" s="57" t="s">
        <v>57</v>
      </c>
      <c r="B4" s="58"/>
      <c r="C4" s="58"/>
      <c r="D4" s="58"/>
      <c r="E4" s="58"/>
    </row>
    <row r="5" spans="1:5" x14ac:dyDescent="0.3">
      <c r="A5" s="59" t="s">
        <v>68</v>
      </c>
      <c r="B5" s="60"/>
      <c r="C5" s="60"/>
      <c r="D5" s="60"/>
      <c r="E5" s="60"/>
    </row>
    <row r="6" spans="1:5" x14ac:dyDescent="0.3">
      <c r="A6" s="3" t="s">
        <v>75</v>
      </c>
      <c r="B6" s="61"/>
      <c r="C6" s="61"/>
      <c r="D6" s="61"/>
      <c r="E6" s="61"/>
    </row>
    <row r="7" spans="1:5" x14ac:dyDescent="0.3">
      <c r="A7" s="57" t="s">
        <v>58</v>
      </c>
      <c r="B7" s="61"/>
      <c r="C7" s="61"/>
      <c r="D7" s="61"/>
      <c r="E7" s="61"/>
    </row>
    <row r="8" spans="1:5" x14ac:dyDescent="0.3">
      <c r="A8" s="62"/>
      <c r="B8" s="62"/>
      <c r="C8" s="62"/>
      <c r="D8" s="62"/>
      <c r="E8" s="62"/>
    </row>
    <row r="9" spans="1:5" x14ac:dyDescent="0.3">
      <c r="A9" s="63" t="s">
        <v>59</v>
      </c>
      <c r="B9" s="56"/>
      <c r="C9" s="63"/>
      <c r="D9" s="63"/>
      <c r="E9" s="63"/>
    </row>
    <row r="10" spans="1:5" x14ac:dyDescent="0.3">
      <c r="A10" s="64" t="s">
        <v>60</v>
      </c>
      <c r="B10" s="65" t="s">
        <v>61</v>
      </c>
      <c r="C10" s="66" t="s">
        <v>62</v>
      </c>
      <c r="D10" s="66" t="s">
        <v>63</v>
      </c>
      <c r="E10" s="66" t="s">
        <v>64</v>
      </c>
    </row>
    <row r="11" spans="1:5" x14ac:dyDescent="0.3">
      <c r="A11" s="67"/>
      <c r="B11" s="68"/>
      <c r="C11" s="68"/>
      <c r="D11" s="68"/>
      <c r="E11" s="68"/>
    </row>
    <row r="12" spans="1:5" x14ac:dyDescent="0.3">
      <c r="A12" s="69">
        <v>1</v>
      </c>
      <c r="B12" s="70"/>
      <c r="C12" s="71"/>
      <c r="D12" s="71"/>
      <c r="E12" s="71"/>
    </row>
    <row r="13" spans="1:5" x14ac:dyDescent="0.3">
      <c r="A13" s="69">
        <v>2</v>
      </c>
      <c r="B13" s="70" t="s">
        <v>73</v>
      </c>
      <c r="C13" s="67"/>
      <c r="D13" s="68"/>
      <c r="E13" s="68"/>
    </row>
    <row r="14" spans="1:5" x14ac:dyDescent="0.3">
      <c r="A14" s="69">
        <v>3</v>
      </c>
      <c r="B14" s="72" t="s">
        <v>65</v>
      </c>
      <c r="C14" s="71">
        <f>'2021 AMI in  Ratebase'!D14</f>
        <v>81000246.902725145</v>
      </c>
      <c r="D14" s="71">
        <v>0</v>
      </c>
      <c r="E14" s="71">
        <f>D14-C14</f>
        <v>-81000246.902725145</v>
      </c>
    </row>
    <row r="15" spans="1:5" x14ac:dyDescent="0.3">
      <c r="A15" s="69">
        <v>4</v>
      </c>
      <c r="B15" s="72" t="s">
        <v>66</v>
      </c>
      <c r="C15" s="81">
        <f>'2021 AMI in  Ratebase'!D15</f>
        <v>-11144731.708988881</v>
      </c>
      <c r="D15" s="81">
        <v>0</v>
      </c>
      <c r="E15" s="81">
        <f>D15-C15</f>
        <v>11144731.708988881</v>
      </c>
    </row>
    <row r="16" spans="1:5" x14ac:dyDescent="0.3">
      <c r="A16" s="69">
        <v>5</v>
      </c>
      <c r="B16" s="73" t="s">
        <v>67</v>
      </c>
      <c r="C16" s="82">
        <f>'2021 AMI in  Ratebase'!D16</f>
        <v>-7143203.97955437</v>
      </c>
      <c r="D16" s="82">
        <v>0</v>
      </c>
      <c r="E16" s="82">
        <f>D16-C16</f>
        <v>7143203.97955437</v>
      </c>
    </row>
    <row r="17" spans="1:6" x14ac:dyDescent="0.3">
      <c r="A17" s="69">
        <v>6</v>
      </c>
      <c r="B17" s="74" t="s">
        <v>74</v>
      </c>
      <c r="C17" s="71">
        <f>SUM(C14:C16)</f>
        <v>62712311.2141819</v>
      </c>
      <c r="D17" s="71">
        <f t="shared" ref="D17:E17" si="0">SUM(D14:D16)</f>
        <v>0</v>
      </c>
      <c r="E17" s="71">
        <f t="shared" si="0"/>
        <v>-62712311.2141819</v>
      </c>
      <c r="F17" s="80"/>
    </row>
    <row r="18" spans="1:6" x14ac:dyDescent="0.3">
      <c r="A18" s="75"/>
      <c r="B18" s="75"/>
      <c r="C18" s="75"/>
      <c r="D18" s="75"/>
      <c r="E18" s="75"/>
    </row>
    <row r="19" spans="1:6" x14ac:dyDescent="0.3">
      <c r="A19" s="75"/>
      <c r="B19" s="75"/>
      <c r="C19" s="75"/>
      <c r="D19" s="75"/>
      <c r="E19" s="75"/>
    </row>
    <row r="20" spans="1:6" x14ac:dyDescent="0.3">
      <c r="A20" s="75"/>
      <c r="B20" s="75"/>
      <c r="C20" s="75"/>
      <c r="D20" s="75"/>
      <c r="E20" s="75"/>
    </row>
    <row r="21" spans="1:6" x14ac:dyDescent="0.3">
      <c r="A21" s="76"/>
      <c r="B21" s="76"/>
      <c r="C21" s="76"/>
      <c r="D21" s="76"/>
      <c r="E21" s="7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D14" sqref="D14"/>
    </sheetView>
  </sheetViews>
  <sheetFormatPr defaultColWidth="8.88671875" defaultRowHeight="13.8" x14ac:dyDescent="0.25"/>
  <cols>
    <col min="1" max="1" width="4.88671875" style="4" bestFit="1" customWidth="1"/>
    <col min="2" max="2" width="34.44140625" style="4" bestFit="1" customWidth="1"/>
    <col min="3" max="3" width="14.33203125" style="4" bestFit="1" customWidth="1"/>
    <col min="4" max="4" width="13.109375" style="4" bestFit="1" customWidth="1"/>
    <col min="5" max="5" width="14.33203125" style="4" bestFit="1" customWidth="1"/>
    <col min="6" max="16384" width="8.88671875" style="4"/>
  </cols>
  <sheetData>
    <row r="1" spans="1:5" ht="15" x14ac:dyDescent="0.25">
      <c r="E1" s="5"/>
    </row>
    <row r="2" spans="1:5" ht="15" x14ac:dyDescent="0.25">
      <c r="A2" s="6" t="s">
        <v>41</v>
      </c>
      <c r="B2" s="7"/>
      <c r="C2" s="7"/>
      <c r="D2" s="7"/>
      <c r="E2" s="7"/>
    </row>
    <row r="3" spans="1:5" ht="15" x14ac:dyDescent="0.25">
      <c r="A3" s="8" t="s">
        <v>42</v>
      </c>
      <c r="B3" s="7"/>
      <c r="C3" s="7"/>
      <c r="D3" s="7"/>
      <c r="E3" s="7"/>
    </row>
    <row r="4" spans="1:5" ht="15" x14ac:dyDescent="0.25">
      <c r="A4" s="9" t="s">
        <v>75</v>
      </c>
      <c r="B4" s="7"/>
      <c r="C4" s="7"/>
      <c r="D4" s="7"/>
      <c r="E4" s="7"/>
    </row>
    <row r="5" spans="1:5" ht="15" x14ac:dyDescent="0.25">
      <c r="A5" s="6" t="s">
        <v>43</v>
      </c>
      <c r="B5" s="7"/>
      <c r="C5" s="7"/>
      <c r="D5" s="7"/>
      <c r="E5" s="7"/>
    </row>
    <row r="6" spans="1:5" ht="15" x14ac:dyDescent="0.25">
      <c r="A6" s="3"/>
      <c r="B6" s="7"/>
      <c r="C6" s="7"/>
      <c r="D6" s="7"/>
      <c r="E6" s="7"/>
    </row>
    <row r="7" spans="1:5" ht="15" x14ac:dyDescent="0.25">
      <c r="A7" s="3"/>
      <c r="B7" s="7"/>
      <c r="C7" s="7"/>
      <c r="D7" s="7"/>
      <c r="E7" s="7"/>
    </row>
    <row r="8" spans="1:5" ht="15" x14ac:dyDescent="0.25">
      <c r="A8" s="3"/>
      <c r="B8" s="7"/>
      <c r="C8" s="7"/>
      <c r="D8" s="7"/>
      <c r="E8" s="7"/>
    </row>
    <row r="9" spans="1:5" ht="15" x14ac:dyDescent="0.25">
      <c r="A9" s="10" t="s">
        <v>37</v>
      </c>
    </row>
    <row r="10" spans="1:5" ht="15" x14ac:dyDescent="0.25">
      <c r="A10" s="11" t="s">
        <v>36</v>
      </c>
      <c r="B10" s="11" t="s">
        <v>7</v>
      </c>
      <c r="C10" s="12" t="s">
        <v>35</v>
      </c>
      <c r="D10" s="12" t="s">
        <v>34</v>
      </c>
      <c r="E10" s="12" t="s">
        <v>33</v>
      </c>
    </row>
    <row r="11" spans="1:5" ht="15" x14ac:dyDescent="0.25">
      <c r="A11" s="14"/>
      <c r="B11" s="14"/>
      <c r="C11" s="15"/>
      <c r="D11" s="15"/>
      <c r="E11" s="15"/>
    </row>
    <row r="12" spans="1:5" ht="15" x14ac:dyDescent="0.25">
      <c r="A12" s="13">
        <v>1</v>
      </c>
      <c r="B12" s="14"/>
      <c r="C12" s="15"/>
      <c r="D12" s="15"/>
      <c r="E12" s="15"/>
    </row>
    <row r="13" spans="1:5" ht="15" x14ac:dyDescent="0.25">
      <c r="A13" s="16">
        <v>2</v>
      </c>
      <c r="B13" s="70" t="s">
        <v>73</v>
      </c>
    </row>
    <row r="14" spans="1:5" ht="15" x14ac:dyDescent="0.25">
      <c r="A14" s="16">
        <v>3</v>
      </c>
      <c r="B14" s="72" t="s">
        <v>65</v>
      </c>
      <c r="C14" s="17">
        <f>'Plant Assets'!C24</f>
        <v>180169191.71310818</v>
      </c>
      <c r="D14" s="17">
        <f>'Plant Assets'!F24</f>
        <v>81000246.902725145</v>
      </c>
      <c r="E14" s="17">
        <f>C14+D14</f>
        <v>261169438.61583334</v>
      </c>
    </row>
    <row r="15" spans="1:5" ht="15" x14ac:dyDescent="0.25">
      <c r="A15" s="13">
        <v>4</v>
      </c>
      <c r="B15" s="72" t="s">
        <v>66</v>
      </c>
      <c r="C15" s="18">
        <f>-'Plant Assets'!D24</f>
        <v>-28334669.241575457</v>
      </c>
      <c r="D15" s="18">
        <f>-'Plant Assets'!G24</f>
        <v>-11144731.708988881</v>
      </c>
      <c r="E15" s="18">
        <f>D15+C15</f>
        <v>-39479400.95056434</v>
      </c>
    </row>
    <row r="16" spans="1:5" ht="15" x14ac:dyDescent="0.25">
      <c r="A16" s="13">
        <v>5</v>
      </c>
      <c r="B16" s="73" t="s">
        <v>67</v>
      </c>
      <c r="C16" s="79">
        <f>DFIT!E14</f>
        <v>-16922612.970434867</v>
      </c>
      <c r="D16" s="79">
        <f>DFIT!F14</f>
        <v>-7143203.97955437</v>
      </c>
      <c r="E16" s="79">
        <f>D16+C16</f>
        <v>-24065816.949989237</v>
      </c>
    </row>
    <row r="17" spans="1:5" ht="15" x14ac:dyDescent="0.25">
      <c r="A17" s="13">
        <v>6</v>
      </c>
      <c r="B17" s="74" t="s">
        <v>74</v>
      </c>
      <c r="C17" s="17">
        <f>SUM(C14:C16)</f>
        <v>134911909.50109786</v>
      </c>
      <c r="D17" s="17">
        <f>SUM(D14:D16)</f>
        <v>62712311.2141819</v>
      </c>
      <c r="E17" s="17">
        <f>SUM(E14:E16)</f>
        <v>197624220.71527979</v>
      </c>
    </row>
    <row r="24" spans="1:5" ht="14.4" x14ac:dyDescent="0.25">
      <c r="B24" s="19"/>
    </row>
    <row r="25" spans="1:5" ht="14.4" x14ac:dyDescent="0.25">
      <c r="B25" s="1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pane ySplit="3" topLeftCell="A4" activePane="bottomLeft" state="frozen"/>
      <selection pane="bottomLeft" activeCell="F24" sqref="F24"/>
    </sheetView>
  </sheetViews>
  <sheetFormatPr defaultColWidth="8.88671875" defaultRowHeight="13.8" x14ac:dyDescent="0.25"/>
  <cols>
    <col min="1" max="1" width="36.44140625" style="4" bestFit="1" customWidth="1"/>
    <col min="2" max="2" width="6" style="28" customWidth="1"/>
    <col min="3" max="3" width="19.6640625" style="25" bestFit="1" customWidth="1"/>
    <col min="4" max="4" width="15.6640625" style="25" bestFit="1" customWidth="1"/>
    <col min="5" max="5" width="5.44140625" style="24" customWidth="1"/>
    <col min="6" max="7" width="15.6640625" style="25" bestFit="1" customWidth="1"/>
    <col min="8" max="8" width="5.44140625" style="24" customWidth="1"/>
    <col min="9" max="10" width="15.6640625" style="25" bestFit="1" customWidth="1"/>
    <col min="11" max="16384" width="8.88671875" style="4"/>
  </cols>
  <sheetData>
    <row r="1" spans="1:10" x14ac:dyDescent="0.25">
      <c r="A1" s="10" t="s">
        <v>24</v>
      </c>
      <c r="B1" s="14"/>
      <c r="C1" s="20" t="s">
        <v>39</v>
      </c>
      <c r="D1" s="21">
        <f>[2]Lead!$E$35</f>
        <v>0.65980000000000005</v>
      </c>
      <c r="E1" s="22"/>
      <c r="F1" s="23"/>
      <c r="G1" s="21">
        <f>[2]Lead!$F$35</f>
        <v>0.3402</v>
      </c>
    </row>
    <row r="2" spans="1:10" x14ac:dyDescent="0.25">
      <c r="A2" s="26" t="s">
        <v>76</v>
      </c>
      <c r="B2" s="27"/>
      <c r="C2" s="86" t="s">
        <v>8</v>
      </c>
      <c r="D2" s="86"/>
      <c r="F2" s="86" t="s">
        <v>9</v>
      </c>
      <c r="G2" s="86"/>
      <c r="I2" s="86" t="s">
        <v>10</v>
      </c>
      <c r="J2" s="86"/>
    </row>
    <row r="3" spans="1:10" x14ac:dyDescent="0.25">
      <c r="C3" s="29" t="s">
        <v>25</v>
      </c>
      <c r="D3" s="29" t="s">
        <v>26</v>
      </c>
      <c r="E3" s="30"/>
      <c r="F3" s="29" t="s">
        <v>25</v>
      </c>
      <c r="G3" s="29" t="s">
        <v>26</v>
      </c>
      <c r="H3" s="30"/>
      <c r="I3" s="29" t="s">
        <v>25</v>
      </c>
      <c r="J3" s="29" t="s">
        <v>26</v>
      </c>
    </row>
    <row r="4" spans="1:10" x14ac:dyDescent="0.25"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31">
        <v>44166</v>
      </c>
      <c r="B5" s="4"/>
      <c r="C5" s="32">
        <v>129016630.54000001</v>
      </c>
      <c r="D5" s="32">
        <v>9882835.0500183105</v>
      </c>
      <c r="E5" s="32"/>
      <c r="F5" s="32">
        <v>54062516.830000006</v>
      </c>
      <c r="G5" s="32">
        <v>2677058.9475030703</v>
      </c>
      <c r="H5" s="32"/>
      <c r="I5" s="32">
        <v>53133674.620000012</v>
      </c>
      <c r="J5" s="32">
        <v>28806126.465951025</v>
      </c>
    </row>
    <row r="6" spans="1:10" x14ac:dyDescent="0.25">
      <c r="A6" s="31">
        <v>44197</v>
      </c>
      <c r="B6" s="4"/>
      <c r="C6" s="32">
        <v>133406290.62</v>
      </c>
      <c r="D6" s="32">
        <v>10484006.58</v>
      </c>
      <c r="E6" s="32"/>
      <c r="F6" s="32">
        <v>56436673.990000002</v>
      </c>
      <c r="G6" s="32">
        <v>2844329.0600000005</v>
      </c>
      <c r="H6" s="32"/>
      <c r="I6" s="32">
        <v>53133674.620000005</v>
      </c>
      <c r="J6" s="32">
        <v>29761575.489999998</v>
      </c>
    </row>
    <row r="7" spans="1:10" x14ac:dyDescent="0.25">
      <c r="A7" s="31">
        <v>44228</v>
      </c>
      <c r="B7" s="4"/>
      <c r="C7" s="32">
        <v>134059959.81</v>
      </c>
      <c r="D7" s="32">
        <v>11096890.640000001</v>
      </c>
      <c r="E7" s="32"/>
      <c r="F7" s="32">
        <v>56199363.289999999</v>
      </c>
      <c r="G7" s="32">
        <v>3010105.93</v>
      </c>
      <c r="H7" s="32"/>
      <c r="I7" s="32">
        <v>53133674.620000005</v>
      </c>
      <c r="J7" s="32">
        <v>30717306</v>
      </c>
    </row>
    <row r="8" spans="1:10" x14ac:dyDescent="0.25">
      <c r="A8" s="31">
        <v>44256</v>
      </c>
      <c r="B8" s="4"/>
      <c r="C8" s="32">
        <v>142424871.41</v>
      </c>
      <c r="D8" s="32">
        <v>11729974.15</v>
      </c>
      <c r="E8" s="32"/>
      <c r="F8" s="32">
        <v>60922588.960000001</v>
      </c>
      <c r="G8" s="32">
        <v>3165425.3800000004</v>
      </c>
      <c r="H8" s="32"/>
      <c r="I8" s="32">
        <v>55532293.240000002</v>
      </c>
      <c r="J8" s="32">
        <v>31679484.280000001</v>
      </c>
    </row>
    <row r="9" spans="1:10" x14ac:dyDescent="0.25">
      <c r="A9" s="31">
        <v>44287</v>
      </c>
      <c r="B9" s="4"/>
      <c r="C9" s="32">
        <v>142709554.23999998</v>
      </c>
      <c r="D9" s="32">
        <v>12382822.130000001</v>
      </c>
      <c r="E9" s="32"/>
      <c r="F9" s="32">
        <v>60624799.419999994</v>
      </c>
      <c r="G9" s="32">
        <v>3335516.03</v>
      </c>
      <c r="H9" s="32"/>
      <c r="I9" s="32">
        <v>55568980.040000007</v>
      </c>
      <c r="J9" s="32">
        <v>32648638.190000009</v>
      </c>
    </row>
    <row r="10" spans="1:10" x14ac:dyDescent="0.25">
      <c r="A10" s="31">
        <v>44317</v>
      </c>
      <c r="B10" s="4"/>
      <c r="C10" s="32">
        <v>146553360.65000001</v>
      </c>
      <c r="D10" s="32">
        <v>13045410.67</v>
      </c>
      <c r="E10" s="32"/>
      <c r="F10" s="32">
        <v>61458931.599999994</v>
      </c>
      <c r="G10" s="32">
        <v>3495870.47</v>
      </c>
      <c r="H10" s="32"/>
      <c r="I10" s="32">
        <v>56005874.969999999</v>
      </c>
      <c r="J10" s="32">
        <v>33619106.25</v>
      </c>
    </row>
    <row r="11" spans="1:10" x14ac:dyDescent="0.25">
      <c r="A11" s="31">
        <v>44348</v>
      </c>
      <c r="B11" s="4"/>
      <c r="C11" s="32">
        <v>157426932.03999999</v>
      </c>
      <c r="D11" s="32">
        <v>13741815.41</v>
      </c>
      <c r="E11" s="32"/>
      <c r="F11" s="32">
        <v>67644556.329999998</v>
      </c>
      <c r="G11" s="32">
        <v>3680948.2</v>
      </c>
      <c r="H11" s="32"/>
      <c r="I11" s="32">
        <v>56005874.969999999</v>
      </c>
      <c r="J11" s="32">
        <v>34237167.800000004</v>
      </c>
    </row>
    <row r="12" spans="1:10" x14ac:dyDescent="0.25">
      <c r="A12" s="31">
        <v>44378</v>
      </c>
      <c r="B12" s="4"/>
      <c r="C12" s="32">
        <v>156253083.16</v>
      </c>
      <c r="D12" s="32">
        <v>14460119.555240599</v>
      </c>
      <c r="E12" s="32"/>
      <c r="F12" s="32">
        <v>67626869.939999998</v>
      </c>
      <c r="G12" s="32">
        <v>3858264.892992327</v>
      </c>
      <c r="H12" s="32"/>
      <c r="I12" s="32">
        <v>31177433.339999996</v>
      </c>
      <c r="J12" s="32">
        <v>9676965.5672448985</v>
      </c>
    </row>
    <row r="13" spans="1:10" x14ac:dyDescent="0.25">
      <c r="A13" s="31">
        <v>44409</v>
      </c>
      <c r="B13" s="4"/>
      <c r="C13" s="32">
        <v>156653632.02000001</v>
      </c>
      <c r="D13" s="32">
        <v>15176973.300481001</v>
      </c>
      <c r="E13" s="32"/>
      <c r="F13" s="32">
        <v>69948991.599999994</v>
      </c>
      <c r="G13" s="32">
        <v>4000573.2300765039</v>
      </c>
      <c r="H13" s="32"/>
      <c r="I13" s="32">
        <v>31177433.339999996</v>
      </c>
      <c r="J13" s="32">
        <v>9941390.37190721</v>
      </c>
    </row>
    <row r="14" spans="1:10" x14ac:dyDescent="0.25">
      <c r="A14" s="31">
        <v>44440</v>
      </c>
      <c r="B14" s="4"/>
      <c r="C14" s="32">
        <v>160459858.38999999</v>
      </c>
      <c r="D14" s="32">
        <v>15903633.4149468</v>
      </c>
      <c r="E14" s="32"/>
      <c r="F14" s="32">
        <v>71482111.420000002</v>
      </c>
      <c r="G14" s="32">
        <v>4117070.1552742911</v>
      </c>
      <c r="H14" s="32"/>
      <c r="I14" s="32">
        <v>31177433.339999996</v>
      </c>
      <c r="J14" s="32">
        <v>10205805.226807849</v>
      </c>
    </row>
    <row r="15" spans="1:10" x14ac:dyDescent="0.25">
      <c r="A15" s="31">
        <v>44470</v>
      </c>
      <c r="B15" s="4"/>
      <c r="C15" s="32">
        <v>160827235.63999999</v>
      </c>
      <c r="D15" s="32">
        <v>16639518.485840701</v>
      </c>
      <c r="E15" s="32"/>
      <c r="F15" s="32">
        <v>73048649.179999992</v>
      </c>
      <c r="G15" s="32">
        <v>4315308.574580525</v>
      </c>
      <c r="H15" s="32"/>
      <c r="I15" s="32">
        <v>32838521.209999993</v>
      </c>
      <c r="J15" s="32">
        <v>10474830.06166856</v>
      </c>
    </row>
    <row r="16" spans="1:10" x14ac:dyDescent="0.25">
      <c r="A16" s="31">
        <v>44501</v>
      </c>
      <c r="B16" s="4"/>
      <c r="C16" s="32">
        <v>162513837.61000001</v>
      </c>
      <c r="D16" s="32">
        <v>17380108.565514199</v>
      </c>
      <c r="E16" s="32"/>
      <c r="F16" s="32">
        <v>73669103.929999992</v>
      </c>
      <c r="G16" s="32">
        <v>4505767.9085268388</v>
      </c>
      <c r="H16" s="32"/>
      <c r="I16" s="32">
        <v>32845868.829999998</v>
      </c>
      <c r="J16" s="32">
        <v>10748473.180358319</v>
      </c>
    </row>
    <row r="17" spans="1:10" x14ac:dyDescent="0.25">
      <c r="A17" s="31">
        <v>44531</v>
      </c>
      <c r="B17" s="4"/>
      <c r="C17" s="32">
        <v>166330918.37</v>
      </c>
      <c r="D17" s="32">
        <v>18129967.037717599</v>
      </c>
      <c r="E17" s="32"/>
      <c r="F17" s="32">
        <v>79477107.519999996</v>
      </c>
      <c r="G17" s="32">
        <v>4738218.0785166007</v>
      </c>
      <c r="H17" s="32"/>
      <c r="I17" s="32">
        <v>64149043.360000007</v>
      </c>
      <c r="J17" s="32">
        <v>11109026.930916309</v>
      </c>
    </row>
    <row r="18" spans="1:10" x14ac:dyDescent="0.25">
      <c r="B18" s="4"/>
      <c r="C18" s="4"/>
      <c r="D18" s="4"/>
      <c r="E18" s="4"/>
      <c r="F18" s="4"/>
      <c r="G18" s="4"/>
      <c r="H18" s="4"/>
      <c r="I18" s="4"/>
      <c r="J18" s="4"/>
    </row>
    <row r="19" spans="1:10" ht="14.4" thickBot="1" x14ac:dyDescent="0.3">
      <c r="A19" s="33" t="s">
        <v>77</v>
      </c>
      <c r="B19" s="34"/>
      <c r="C19" s="35">
        <f>((C5+C17)+(2*(SUM(C6:C16))))/24</f>
        <v>150080199.17041668</v>
      </c>
      <c r="D19" s="35">
        <f>((D5+D17)+(2*(SUM(D6:D16))))/24</f>
        <v>13837306.162157604</v>
      </c>
      <c r="E19" s="22"/>
      <c r="F19" s="35">
        <f>((F5+F17)+(2*(SUM(F6:F16))))/24</f>
        <v>65486037.652916647</v>
      </c>
      <c r="G19" s="35">
        <f>((G5+G17)+(2*(SUM(G6:G16))))/24</f>
        <v>3669734.8620383604</v>
      </c>
      <c r="H19" s="22"/>
      <c r="I19" s="35">
        <f>((I5+I17)+(2*(SUM(I6:I16))))/24</f>
        <v>45603201.792499997</v>
      </c>
      <c r="J19" s="35">
        <f>((J5+J17)+(2*(SUM(J6:J16))))/24</f>
        <v>21972359.926368374</v>
      </c>
    </row>
    <row r="20" spans="1:10" ht="14.4" thickTop="1" x14ac:dyDescent="0.25"/>
    <row r="22" spans="1:10" x14ac:dyDescent="0.25">
      <c r="A22" s="36" t="s">
        <v>38</v>
      </c>
      <c r="C22" s="25">
        <f>$D$1*I19</f>
        <v>30088992.542691499</v>
      </c>
      <c r="D22" s="25">
        <f>$D$1*J19</f>
        <v>14497363.079417855</v>
      </c>
      <c r="F22" s="25">
        <f>I19*$G$1</f>
        <v>15514209.2498085</v>
      </c>
      <c r="G22" s="25">
        <f>J19*$G$1</f>
        <v>7474996.8469505208</v>
      </c>
      <c r="I22" s="25">
        <f>-C22-F22</f>
        <v>-45603201.792499997</v>
      </c>
      <c r="J22" s="25">
        <f>-D22-G22</f>
        <v>-21972359.926368374</v>
      </c>
    </row>
    <row r="24" spans="1:10" ht="14.4" thickBot="1" x14ac:dyDescent="0.3">
      <c r="A24" s="33" t="s">
        <v>40</v>
      </c>
      <c r="B24" s="34"/>
      <c r="C24" s="35">
        <f>C19+C22</f>
        <v>180169191.71310818</v>
      </c>
      <c r="D24" s="35">
        <f>D19+D22</f>
        <v>28334669.241575457</v>
      </c>
      <c r="E24" s="22"/>
      <c r="F24" s="35">
        <f>F19+F22</f>
        <v>81000246.902725145</v>
      </c>
      <c r="G24" s="35">
        <f>G19+G22</f>
        <v>11144731.708988881</v>
      </c>
      <c r="H24" s="22"/>
      <c r="I24" s="35">
        <f>I19+I22</f>
        <v>0</v>
      </c>
      <c r="J24" s="35">
        <f>J19+J22</f>
        <v>0</v>
      </c>
    </row>
    <row r="25" spans="1:10" ht="14.4" thickTop="1" x14ac:dyDescent="0.25"/>
  </sheetData>
  <mergeCells count="3">
    <mergeCell ref="C2:D2"/>
    <mergeCell ref="F2:G2"/>
    <mergeCell ref="I2:J2"/>
  </mergeCells>
  <pageMargins left="0.7" right="0.7" top="0.75" bottom="0.75" header="0.3" footer="0.3"/>
  <pageSetup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workbookViewId="0"/>
  </sheetViews>
  <sheetFormatPr defaultColWidth="8.88671875" defaultRowHeight="13.8" x14ac:dyDescent="0.25"/>
  <cols>
    <col min="1" max="1" width="21.6640625" style="4" customWidth="1"/>
    <col min="2" max="2" width="13.33203125" style="4" bestFit="1" customWidth="1"/>
    <col min="3" max="3" width="14.33203125" style="4" bestFit="1" customWidth="1"/>
    <col min="4" max="15" width="12.109375" style="4" bestFit="1" customWidth="1"/>
    <col min="16" max="16384" width="8.88671875" style="4"/>
  </cols>
  <sheetData>
    <row r="2" spans="1:15" ht="15" x14ac:dyDescent="0.25">
      <c r="A2" s="4" t="s">
        <v>44</v>
      </c>
    </row>
    <row r="4" spans="1:15" ht="14.4" x14ac:dyDescent="0.3">
      <c r="A4" s="36" t="s">
        <v>45</v>
      </c>
      <c r="E4" s="85" t="s">
        <v>78</v>
      </c>
    </row>
    <row r="5" spans="1:15" ht="15" x14ac:dyDescent="0.25">
      <c r="A5" s="37">
        <v>44561</v>
      </c>
    </row>
    <row r="7" spans="1:15" ht="15" x14ac:dyDescent="0.25">
      <c r="E7" s="38" t="s">
        <v>55</v>
      </c>
      <c r="F7" s="38"/>
    </row>
    <row r="8" spans="1:15" ht="15" x14ac:dyDescent="0.25">
      <c r="B8" s="39" t="s">
        <v>79</v>
      </c>
      <c r="C8" s="40"/>
      <c r="E8" s="39" t="s">
        <v>53</v>
      </c>
      <c r="F8" s="40"/>
    </row>
    <row r="9" spans="1:15" ht="15" x14ac:dyDescent="0.25">
      <c r="B9" s="41" t="s">
        <v>46</v>
      </c>
      <c r="C9" s="41" t="s">
        <v>47</v>
      </c>
      <c r="E9" s="41" t="s">
        <v>8</v>
      </c>
      <c r="F9" s="41" t="s">
        <v>9</v>
      </c>
    </row>
    <row r="10" spans="1:15" ht="15" x14ac:dyDescent="0.25">
      <c r="A10" s="4" t="s">
        <v>48</v>
      </c>
      <c r="B10" s="42">
        <v>-11840080.925063172</v>
      </c>
      <c r="C10" s="42">
        <v>-16916900.561307043</v>
      </c>
      <c r="E10" s="43">
        <f>O18</f>
        <v>-14378490.743185105</v>
      </c>
      <c r="F10" s="43"/>
    </row>
    <row r="11" spans="1:15" ht="15" x14ac:dyDescent="0.25">
      <c r="A11" s="4" t="s">
        <v>49</v>
      </c>
      <c r="B11" s="42">
        <v>-4291755.7325249854</v>
      </c>
      <c r="C11" s="42">
        <v>-7371098.4778405931</v>
      </c>
      <c r="E11" s="43"/>
      <c r="F11" s="43">
        <f>O19</f>
        <v>-5831427.1051827893</v>
      </c>
    </row>
    <row r="12" spans="1:15" ht="15" x14ac:dyDescent="0.25">
      <c r="A12" s="4" t="s">
        <v>50</v>
      </c>
      <c r="B12" s="42">
        <v>-1035670.4595215009</v>
      </c>
      <c r="C12" s="42">
        <v>-991555.28147229168</v>
      </c>
      <c r="E12" s="43">
        <f>O20*'Plant Assets'!$D$1</f>
        <v>-668781.7719538525</v>
      </c>
      <c r="F12" s="43">
        <f>O20*'Plant Assets'!$G$1</f>
        <v>-344831.09854304424</v>
      </c>
    </row>
    <row r="13" spans="1:15" ht="15" x14ac:dyDescent="0.25">
      <c r="A13" s="4" t="s">
        <v>51</v>
      </c>
      <c r="B13" s="42">
        <v>196706.54328540387</v>
      </c>
      <c r="C13" s="42">
        <v>-5881279.0055342941</v>
      </c>
      <c r="E13" s="43">
        <f>O21*'Plant Assets'!$D$1</f>
        <v>-1875340.4552959092</v>
      </c>
      <c r="F13" s="43">
        <f>O21*'Plant Assets'!$G$1</f>
        <v>-966945.77582853625</v>
      </c>
    </row>
    <row r="14" spans="1:15" ht="15" x14ac:dyDescent="0.25">
      <c r="A14" s="44" t="s">
        <v>52</v>
      </c>
      <c r="B14" s="45">
        <f t="shared" ref="B14:C14" si="0">SUM(B10:B13)</f>
        <v>-16970800.573824257</v>
      </c>
      <c r="C14" s="45">
        <f t="shared" si="0"/>
        <v>-31160833.326154225</v>
      </c>
      <c r="E14" s="46">
        <f>SUM(E10:E13)</f>
        <v>-16922612.970434867</v>
      </c>
      <c r="F14" s="46">
        <f>SUM(F10:F13)</f>
        <v>-7143203.97955437</v>
      </c>
      <c r="G14" s="47">
        <f>SUM(E14:F14)-O22</f>
        <v>0</v>
      </c>
      <c r="H14" s="48" t="s">
        <v>54</v>
      </c>
    </row>
    <row r="16" spans="1:15" ht="15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49">
        <f>N17</f>
        <v>44531</v>
      </c>
    </row>
    <row r="17" spans="1:15" ht="15" x14ac:dyDescent="0.25">
      <c r="B17" s="50">
        <v>44166</v>
      </c>
      <c r="C17" s="50">
        <v>44197</v>
      </c>
      <c r="D17" s="50">
        <v>44228</v>
      </c>
      <c r="E17" s="50">
        <v>44256</v>
      </c>
      <c r="F17" s="50">
        <v>44287</v>
      </c>
      <c r="G17" s="50">
        <v>44317</v>
      </c>
      <c r="H17" s="50">
        <v>44348</v>
      </c>
      <c r="I17" s="50">
        <v>44378</v>
      </c>
      <c r="J17" s="50">
        <v>44409</v>
      </c>
      <c r="K17" s="50">
        <v>44440</v>
      </c>
      <c r="L17" s="50">
        <v>44470</v>
      </c>
      <c r="M17" s="50">
        <v>44501</v>
      </c>
      <c r="N17" s="50">
        <v>44531</v>
      </c>
      <c r="O17" s="51" t="s">
        <v>56</v>
      </c>
    </row>
    <row r="18" spans="1:15" ht="15" x14ac:dyDescent="0.25">
      <c r="A18" s="4" t="s">
        <v>48</v>
      </c>
      <c r="B18" s="42">
        <f>B10</f>
        <v>-11840080.925063172</v>
      </c>
      <c r="C18" s="42">
        <f>B18+(($C$10-$B$10)/12)</f>
        <v>-12263149.228083495</v>
      </c>
      <c r="D18" s="42">
        <f t="shared" ref="D18:N18" si="1">C18+(($C$10-$B$10)/12)</f>
        <v>-12686217.531103818</v>
      </c>
      <c r="E18" s="42">
        <f t="shared" si="1"/>
        <v>-13109285.83412414</v>
      </c>
      <c r="F18" s="42">
        <f t="shared" si="1"/>
        <v>-13532354.137144463</v>
      </c>
      <c r="G18" s="42">
        <f t="shared" si="1"/>
        <v>-13955422.440164786</v>
      </c>
      <c r="H18" s="42">
        <f t="shared" si="1"/>
        <v>-14378490.743185109</v>
      </c>
      <c r="I18" s="42">
        <f t="shared" si="1"/>
        <v>-14801559.046205431</v>
      </c>
      <c r="J18" s="42">
        <f t="shared" si="1"/>
        <v>-15224627.349225754</v>
      </c>
      <c r="K18" s="42">
        <f t="shared" si="1"/>
        <v>-15647695.652246077</v>
      </c>
      <c r="L18" s="42">
        <f t="shared" si="1"/>
        <v>-16070763.955266399</v>
      </c>
      <c r="M18" s="42">
        <f t="shared" si="1"/>
        <v>-16493832.258286722</v>
      </c>
      <c r="N18" s="42">
        <f t="shared" si="1"/>
        <v>-16916900.561307043</v>
      </c>
      <c r="O18" s="42">
        <f>((B18+N18)+(2*(SUM(C18:M18))))/24</f>
        <v>-14378490.743185105</v>
      </c>
    </row>
    <row r="19" spans="1:15" ht="15" x14ac:dyDescent="0.25">
      <c r="A19" s="4" t="s">
        <v>49</v>
      </c>
      <c r="B19" s="42">
        <f t="shared" ref="B19:B21" si="2">B11</f>
        <v>-4291755.7325249854</v>
      </c>
      <c r="C19" s="42">
        <f>B19+(($C$11-$B$11)/12)</f>
        <v>-4548367.6279679528</v>
      </c>
      <c r="D19" s="42">
        <f t="shared" ref="D19:N19" si="3">C19+(($C$11-$B$11)/12)</f>
        <v>-4804979.5234109201</v>
      </c>
      <c r="E19" s="42">
        <f t="shared" si="3"/>
        <v>-5061591.4188538874</v>
      </c>
      <c r="F19" s="42">
        <f t="shared" si="3"/>
        <v>-5318203.3142968547</v>
      </c>
      <c r="G19" s="42">
        <f t="shared" si="3"/>
        <v>-5574815.209739822</v>
      </c>
      <c r="H19" s="42">
        <f t="shared" si="3"/>
        <v>-5831427.1051827893</v>
      </c>
      <c r="I19" s="42">
        <f t="shared" si="3"/>
        <v>-6088039.0006257566</v>
      </c>
      <c r="J19" s="42">
        <f t="shared" si="3"/>
        <v>-6344650.8960687239</v>
      </c>
      <c r="K19" s="42">
        <f t="shared" si="3"/>
        <v>-6601262.7915116912</v>
      </c>
      <c r="L19" s="42">
        <f t="shared" si="3"/>
        <v>-6857874.6869546585</v>
      </c>
      <c r="M19" s="42">
        <f t="shared" si="3"/>
        <v>-7114486.5823976258</v>
      </c>
      <c r="N19" s="42">
        <f t="shared" si="3"/>
        <v>-7371098.4778405931</v>
      </c>
      <c r="O19" s="42">
        <f t="shared" ref="O19:O21" si="4">((B19+N19)+(2*(SUM(C19:M19))))/24</f>
        <v>-5831427.1051827893</v>
      </c>
    </row>
    <row r="20" spans="1:15" ht="15" x14ac:dyDescent="0.25">
      <c r="A20" s="4" t="s">
        <v>50</v>
      </c>
      <c r="B20" s="42">
        <f t="shared" si="2"/>
        <v>-1035670.4595215009</v>
      </c>
      <c r="C20" s="42">
        <f>B20+(($C$12-$B$12)/12)</f>
        <v>-1031994.1946840668</v>
      </c>
      <c r="D20" s="42">
        <f t="shared" ref="D20:N20" si="5">C20+(($C$12-$B$12)/12)</f>
        <v>-1028317.9298466328</v>
      </c>
      <c r="E20" s="42">
        <f t="shared" si="5"/>
        <v>-1024641.6650091987</v>
      </c>
      <c r="F20" s="42">
        <f t="shared" si="5"/>
        <v>-1020965.4001717647</v>
      </c>
      <c r="G20" s="42">
        <f t="shared" si="5"/>
        <v>-1017289.1353343306</v>
      </c>
      <c r="H20" s="42">
        <f t="shared" si="5"/>
        <v>-1013612.8704968966</v>
      </c>
      <c r="I20" s="42">
        <f t="shared" si="5"/>
        <v>-1009936.6056594625</v>
      </c>
      <c r="J20" s="42">
        <f t="shared" si="5"/>
        <v>-1006260.3408220285</v>
      </c>
      <c r="K20" s="42">
        <f t="shared" si="5"/>
        <v>-1002584.0759845944</v>
      </c>
      <c r="L20" s="42">
        <f t="shared" si="5"/>
        <v>-998907.81114716036</v>
      </c>
      <c r="M20" s="42">
        <f t="shared" si="5"/>
        <v>-995231.54630972631</v>
      </c>
      <c r="N20" s="42">
        <f t="shared" si="5"/>
        <v>-991555.28147229226</v>
      </c>
      <c r="O20" s="42">
        <f t="shared" si="4"/>
        <v>-1013612.8704968967</v>
      </c>
    </row>
    <row r="21" spans="1:15" ht="15" x14ac:dyDescent="0.25">
      <c r="A21" s="4" t="s">
        <v>51</v>
      </c>
      <c r="B21" s="42">
        <f t="shared" si="2"/>
        <v>196706.54328540387</v>
      </c>
      <c r="C21" s="42">
        <f>B21+(($C$13-$B$13)/12)</f>
        <v>-309792.25244957098</v>
      </c>
      <c r="D21" s="42">
        <f t="shared" ref="D21:N21" si="6">C21+(($C$13-$B$13)/12)</f>
        <v>-816291.04818454583</v>
      </c>
      <c r="E21" s="42">
        <f t="shared" si="6"/>
        <v>-1322789.8439195207</v>
      </c>
      <c r="F21" s="42">
        <f t="shared" si="6"/>
        <v>-1829288.6396544955</v>
      </c>
      <c r="G21" s="42">
        <f t="shared" si="6"/>
        <v>-2335787.4353894703</v>
      </c>
      <c r="H21" s="42">
        <f t="shared" si="6"/>
        <v>-2842286.2311244453</v>
      </c>
      <c r="I21" s="42">
        <f t="shared" si="6"/>
        <v>-3348785.0268594204</v>
      </c>
      <c r="J21" s="42">
        <f t="shared" si="6"/>
        <v>-3855283.8225943954</v>
      </c>
      <c r="K21" s="42">
        <f t="shared" si="6"/>
        <v>-4361782.6183293704</v>
      </c>
      <c r="L21" s="42">
        <f t="shared" si="6"/>
        <v>-4868281.414064345</v>
      </c>
      <c r="M21" s="42">
        <f t="shared" si="6"/>
        <v>-5374780.2097993195</v>
      </c>
      <c r="N21" s="42">
        <f t="shared" si="6"/>
        <v>-5881279.0055342941</v>
      </c>
      <c r="O21" s="42">
        <f t="shared" si="4"/>
        <v>-2842286.2311244453</v>
      </c>
    </row>
    <row r="22" spans="1:15" ht="15" x14ac:dyDescent="0.25">
      <c r="A22" s="44" t="s">
        <v>52</v>
      </c>
      <c r="B22" s="45">
        <f t="shared" ref="B22" si="7">SUM(B18:B21)</f>
        <v>-16970800.573824257</v>
      </c>
      <c r="C22" s="45">
        <f t="shared" ref="C22" si="8">SUM(C18:C21)</f>
        <v>-18153303.303185087</v>
      </c>
      <c r="D22" s="45">
        <f t="shared" ref="D22" si="9">SUM(D18:D21)</f>
        <v>-19335806.032545917</v>
      </c>
      <c r="E22" s="45">
        <f t="shared" ref="E22" si="10">SUM(E18:E21)</f>
        <v>-20518308.761906747</v>
      </c>
      <c r="F22" s="45">
        <f t="shared" ref="F22" si="11">SUM(F18:F21)</f>
        <v>-21700811.491267577</v>
      </c>
      <c r="G22" s="45">
        <f t="shared" ref="G22" si="12">SUM(G18:G21)</f>
        <v>-22883314.220628411</v>
      </c>
      <c r="H22" s="45">
        <f t="shared" ref="H22" si="13">SUM(H18:H21)</f>
        <v>-24065816.949989241</v>
      </c>
      <c r="I22" s="45">
        <f t="shared" ref="I22" si="14">SUM(I18:I21)</f>
        <v>-25248319.679350071</v>
      </c>
      <c r="J22" s="45">
        <f t="shared" ref="J22" si="15">SUM(J18:J21)</f>
        <v>-26430822.408710904</v>
      </c>
      <c r="K22" s="45">
        <f t="shared" ref="K22" si="16">SUM(K18:K21)</f>
        <v>-27613325.138071731</v>
      </c>
      <c r="L22" s="45">
        <f t="shared" ref="L22" si="17">SUM(L18:L21)</f>
        <v>-28795827.867432561</v>
      </c>
      <c r="M22" s="45">
        <f t="shared" ref="M22" si="18">SUM(M18:M21)</f>
        <v>-29978330.596793391</v>
      </c>
      <c r="N22" s="45">
        <f t="shared" ref="N22" si="19">SUM(N18:N21)</f>
        <v>-31160833.326154225</v>
      </c>
      <c r="O22" s="45">
        <f t="shared" ref="O22" si="20">SUM(O18:O21)</f>
        <v>-24065816.949989233</v>
      </c>
    </row>
    <row r="23" spans="1:15" ht="15" x14ac:dyDescent="0.25">
      <c r="M23" s="52" t="s">
        <v>54</v>
      </c>
      <c r="N23" s="53">
        <f>N22-C14</f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3"/>
  <sheetViews>
    <sheetView workbookViewId="0"/>
  </sheetViews>
  <sheetFormatPr defaultColWidth="8.88671875" defaultRowHeight="14.4" x14ac:dyDescent="0.3"/>
  <cols>
    <col min="1" max="1" width="10" style="1" bestFit="1" customWidth="1"/>
    <col min="2" max="6" width="8.88671875" style="1"/>
    <col min="7" max="7" width="11.88671875" style="1" customWidth="1"/>
    <col min="8" max="14" width="8.88671875" style="1"/>
    <col min="15" max="15" width="10" style="1" bestFit="1" customWidth="1"/>
    <col min="16" max="21" width="8.88671875" style="1"/>
    <col min="22" max="22" width="10" style="1" bestFit="1" customWidth="1"/>
    <col min="23" max="16384" width="8.88671875" style="1"/>
  </cols>
  <sheetData>
    <row r="1" spans="1:23" x14ac:dyDescent="0.3">
      <c r="A1" s="1" t="s">
        <v>28</v>
      </c>
      <c r="B1" s="1" t="s">
        <v>27</v>
      </c>
      <c r="D1" s="1" t="s">
        <v>32</v>
      </c>
      <c r="F1" s="1" t="s">
        <v>28</v>
      </c>
      <c r="V1" s="83">
        <v>143002516</v>
      </c>
    </row>
    <row r="2" spans="1:23" x14ac:dyDescent="0.3">
      <c r="V2" s="83">
        <v>143002517</v>
      </c>
    </row>
    <row r="3" spans="1:23" x14ac:dyDescent="0.3">
      <c r="V3" s="83">
        <v>143002542</v>
      </c>
      <c r="W3" s="1" t="s">
        <v>29</v>
      </c>
    </row>
    <row r="4" spans="1:23" x14ac:dyDescent="0.3">
      <c r="V4" s="83">
        <v>143003019</v>
      </c>
      <c r="W4" s="1" t="s">
        <v>29</v>
      </c>
    </row>
    <row r="5" spans="1:23" x14ac:dyDescent="0.3">
      <c r="V5" s="83">
        <v>143003060</v>
      </c>
      <c r="W5" s="1" t="s">
        <v>22</v>
      </c>
    </row>
    <row r="6" spans="1:23" x14ac:dyDescent="0.3">
      <c r="V6" s="83">
        <v>143003173</v>
      </c>
      <c r="W6" s="1" t="s">
        <v>30</v>
      </c>
    </row>
    <row r="7" spans="1:23" x14ac:dyDescent="0.3">
      <c r="V7" s="83">
        <v>143003176</v>
      </c>
    </row>
    <row r="8" spans="1:23" x14ac:dyDescent="0.3">
      <c r="V8" s="83">
        <v>143003178</v>
      </c>
    </row>
    <row r="9" spans="1:23" x14ac:dyDescent="0.3">
      <c r="V9" s="83">
        <v>143003226</v>
      </c>
    </row>
    <row r="10" spans="1:23" x14ac:dyDescent="0.3">
      <c r="V10" s="83">
        <v>143003685</v>
      </c>
      <c r="W10" s="1" t="s">
        <v>30</v>
      </c>
    </row>
    <row r="11" spans="1:23" x14ac:dyDescent="0.3">
      <c r="V11" s="83">
        <v>143003881</v>
      </c>
      <c r="W11" s="1" t="s">
        <v>31</v>
      </c>
    </row>
    <row r="12" spans="1:23" x14ac:dyDescent="0.3">
      <c r="V12" s="83">
        <v>143004550</v>
      </c>
    </row>
    <row r="13" spans="1:23" x14ac:dyDescent="0.3">
      <c r="V13" s="83">
        <v>143004821</v>
      </c>
    </row>
    <row r="14" spans="1:23" x14ac:dyDescent="0.3">
      <c r="V14" s="83">
        <v>143004824</v>
      </c>
      <c r="W14" s="1" t="s">
        <v>31</v>
      </c>
    </row>
    <row r="15" spans="1:23" x14ac:dyDescent="0.3">
      <c r="V15" s="83">
        <v>143004825</v>
      </c>
    </row>
    <row r="16" spans="1:23" x14ac:dyDescent="0.3">
      <c r="V16" s="83">
        <v>143004826</v>
      </c>
      <c r="W16" s="1" t="s">
        <v>31</v>
      </c>
    </row>
    <row r="17" spans="22:23" x14ac:dyDescent="0.3">
      <c r="V17" s="83">
        <v>143005167</v>
      </c>
      <c r="W17" s="1" t="s">
        <v>29</v>
      </c>
    </row>
    <row r="18" spans="22:23" x14ac:dyDescent="0.3">
      <c r="V18" s="83">
        <v>143005361</v>
      </c>
    </row>
    <row r="60" spans="1:7" x14ac:dyDescent="0.3">
      <c r="A60" s="1" t="s">
        <v>21</v>
      </c>
    </row>
    <row r="61" spans="1:7" x14ac:dyDescent="0.3">
      <c r="A61" s="84">
        <v>143002516</v>
      </c>
      <c r="B61" s="1" t="s">
        <v>0</v>
      </c>
      <c r="G61" s="1">
        <f>A61</f>
        <v>143002516</v>
      </c>
    </row>
    <row r="62" spans="1:7" x14ac:dyDescent="0.3">
      <c r="A62" s="84">
        <v>143002517</v>
      </c>
      <c r="B62" s="1" t="s">
        <v>4</v>
      </c>
      <c r="G62" s="1" t="str">
        <f>A62&amp;";"&amp;G61</f>
        <v>143002517;143002516</v>
      </c>
    </row>
    <row r="63" spans="1:7" x14ac:dyDescent="0.3">
      <c r="A63" s="1">
        <v>143002542</v>
      </c>
      <c r="B63" s="1" t="s">
        <v>5</v>
      </c>
      <c r="G63" s="1" t="str">
        <f t="shared" ref="G63:G75" si="0">A63&amp;";"&amp;G62</f>
        <v>143002542;143002517;143002516</v>
      </c>
    </row>
    <row r="64" spans="1:7" x14ac:dyDescent="0.3">
      <c r="A64" s="1">
        <v>143003173</v>
      </c>
      <c r="B64" s="1" t="s">
        <v>13</v>
      </c>
      <c r="G64" s="1" t="str">
        <f t="shared" si="0"/>
        <v>143003173;143002542;143002517;143002516</v>
      </c>
    </row>
    <row r="65" spans="1:7" x14ac:dyDescent="0.3">
      <c r="A65" s="84">
        <v>143003176</v>
      </c>
      <c r="B65" s="1" t="s">
        <v>6</v>
      </c>
      <c r="G65" s="1" t="str">
        <f t="shared" si="0"/>
        <v>143003176;143003173;143002542;143002517;143002516</v>
      </c>
    </row>
    <row r="66" spans="1:7" x14ac:dyDescent="0.3">
      <c r="A66" s="84">
        <v>143003178</v>
      </c>
      <c r="B66" s="1" t="s">
        <v>5</v>
      </c>
      <c r="G66" s="1" t="str">
        <f t="shared" si="0"/>
        <v>143003178;143003176;143003173;143002542;143002517;143002516</v>
      </c>
    </row>
    <row r="67" spans="1:7" x14ac:dyDescent="0.3">
      <c r="A67" s="84">
        <v>143003226</v>
      </c>
      <c r="B67" s="1" t="s">
        <v>3</v>
      </c>
      <c r="G67" s="1" t="str">
        <f t="shared" si="0"/>
        <v>143003226;143003178;143003176;143003173;143002542;143002517;143002516</v>
      </c>
    </row>
    <row r="68" spans="1:7" x14ac:dyDescent="0.3">
      <c r="A68" s="1">
        <v>143003685</v>
      </c>
      <c r="B68" s="1" t="s">
        <v>14</v>
      </c>
      <c r="G68" s="1" t="str">
        <f t="shared" si="0"/>
        <v>143003685;143003226;143003178;143003176;143003173;143002542;143002517;143002516</v>
      </c>
    </row>
    <row r="69" spans="1:7" x14ac:dyDescent="0.3">
      <c r="A69" s="1">
        <v>143003881</v>
      </c>
      <c r="B69" s="1" t="s">
        <v>2</v>
      </c>
      <c r="G69" s="1" t="str">
        <f t="shared" si="0"/>
        <v>143003881;143003685;143003226;143003178;143003176;143003173;143002542;143002517;143002516</v>
      </c>
    </row>
    <row r="70" spans="1:7" x14ac:dyDescent="0.3">
      <c r="A70" s="1">
        <v>143004550</v>
      </c>
      <c r="B70" s="1" t="s">
        <v>15</v>
      </c>
      <c r="G70" s="1" t="str">
        <f t="shared" si="0"/>
        <v>143004550;143003881;143003685;143003226;143003178;143003176;143003173;143002542;143002517;143002516</v>
      </c>
    </row>
    <row r="71" spans="1:7" x14ac:dyDescent="0.3">
      <c r="A71" s="84">
        <v>143004821</v>
      </c>
      <c r="B71" s="1" t="s">
        <v>16</v>
      </c>
      <c r="G71" s="1" t="str">
        <f t="shared" si="0"/>
        <v>143004821;143004550;143003881;143003685;143003226;143003178;143003176;143003173;143002542;143002517;143002516</v>
      </c>
    </row>
    <row r="72" spans="1:7" x14ac:dyDescent="0.3">
      <c r="A72" s="1">
        <v>143004824</v>
      </c>
      <c r="B72" s="1" t="s">
        <v>17</v>
      </c>
      <c r="G72" s="1" t="str">
        <f t="shared" si="0"/>
        <v>143004824;143004821;143004550;143003881;143003685;143003226;143003178;143003176;143003173;143002542;143002517;143002516</v>
      </c>
    </row>
    <row r="73" spans="1:7" x14ac:dyDescent="0.3">
      <c r="A73" s="84">
        <v>143004825</v>
      </c>
      <c r="B73" s="1" t="s">
        <v>11</v>
      </c>
      <c r="G73" s="1" t="str">
        <f t="shared" si="0"/>
        <v>143004825;143004824;143004821;143004550;143003881;143003685;143003226;143003178;143003176;143003173;143002542;143002517;143002516</v>
      </c>
    </row>
    <row r="74" spans="1:7" x14ac:dyDescent="0.3">
      <c r="A74" s="1">
        <v>143004826</v>
      </c>
      <c r="B74" s="1" t="s">
        <v>18</v>
      </c>
      <c r="G74" s="1" t="str">
        <f t="shared" si="0"/>
        <v>143004826;143004825;143004824;143004821;143004550;143003881;143003685;143003226;143003178;143003176;143003173;143002542;143002517;143002516</v>
      </c>
    </row>
    <row r="75" spans="1:7" x14ac:dyDescent="0.3">
      <c r="A75" s="84">
        <v>143002450</v>
      </c>
      <c r="G75" s="1" t="str">
        <f t="shared" si="0"/>
        <v>143002450;143004826;143004825;143004824;143004821;143004550;143003881;143003685;143003226;143003178;143003176;143003173;143002542;143002517;143002516</v>
      </c>
    </row>
    <row r="76" spans="1:7" x14ac:dyDescent="0.3">
      <c r="A76" s="1" t="s">
        <v>22</v>
      </c>
      <c r="G76" s="1" t="s">
        <v>23</v>
      </c>
    </row>
    <row r="77" spans="1:7" x14ac:dyDescent="0.3">
      <c r="A77" s="1">
        <v>143003019</v>
      </c>
      <c r="B77" s="2" t="s">
        <v>12</v>
      </c>
      <c r="G77" s="1">
        <f>A77</f>
        <v>143003019</v>
      </c>
    </row>
    <row r="78" spans="1:7" x14ac:dyDescent="0.3">
      <c r="A78" s="1">
        <v>143003060</v>
      </c>
      <c r="B78" s="2" t="s">
        <v>1</v>
      </c>
      <c r="G78" s="1" t="str">
        <f>A78&amp;";"&amp;G77</f>
        <v>143003060;143003019</v>
      </c>
    </row>
    <row r="79" spans="1:7" x14ac:dyDescent="0.3">
      <c r="A79" s="1">
        <v>143005167</v>
      </c>
      <c r="B79" s="2" t="s">
        <v>19</v>
      </c>
      <c r="G79" s="1" t="str">
        <f t="shared" ref="G79" si="1">A79&amp;";"&amp;G78</f>
        <v>143005167;143003060;143003019</v>
      </c>
    </row>
    <row r="83" spans="1:1" x14ac:dyDescent="0.3">
      <c r="A83" s="1" t="s">
        <v>20</v>
      </c>
    </row>
  </sheetData>
  <pageMargins left="0.7" right="0.7" top="0.75" bottom="0.75" header="0.3" footer="0.3"/>
  <pageSetup scale="4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AD0D4F6BF7344299F812ABC97FDE97" ma:contentTypeVersion="28" ma:contentTypeDescription="" ma:contentTypeScope="" ma:versionID="485382a3aea5a0e98f81d6e6f8b948c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2022-03-31T07:00:00+00:00</OpenedDate>
    <SignificantOrder xmlns="dc463f71-b30c-4ab2-9473-d307f9d35888">false</SignificantOrder>
    <Date1 xmlns="dc463f71-b30c-4ab2-9473-d307f9d35888">2022-03-31T07:00:00+00:00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C9B0C33-7DC5-4439-880D-1F32F16E4B15}"/>
</file>

<file path=customXml/itemProps2.xml><?xml version="1.0" encoding="utf-8"?>
<ds:datastoreItem xmlns:ds="http://schemas.openxmlformats.org/officeDocument/2006/customXml" ds:itemID="{B0F93D5C-9047-4920-B469-AAFBAE126529}"/>
</file>

<file path=customXml/itemProps3.xml><?xml version="1.0" encoding="utf-8"?>
<ds:datastoreItem xmlns:ds="http://schemas.openxmlformats.org/officeDocument/2006/customXml" ds:itemID="{4867D218-173E-4793-B67F-2A9EAF58C5A0}"/>
</file>

<file path=customXml/itemProps4.xml><?xml version="1.0" encoding="utf-8"?>
<ds:datastoreItem xmlns:ds="http://schemas.openxmlformats.org/officeDocument/2006/customXml" ds:itemID="{9B0E7AB0-B7CF-49A4-A67A-43571C051D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Electric</vt:lpstr>
      <vt:lpstr>Gas</vt:lpstr>
      <vt:lpstr>2021 AMI in  Ratebase</vt:lpstr>
      <vt:lpstr>Plant Assets</vt:lpstr>
      <vt:lpstr>DFIT</vt:lpstr>
      <vt:lpstr>WBS &amp; WO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Oliver</dc:creator>
  <cp:lastModifiedBy>Peterson, Pete</cp:lastModifiedBy>
  <cp:lastPrinted>2021-02-03T23:52:48Z</cp:lastPrinted>
  <dcterms:created xsi:type="dcterms:W3CDTF">2019-03-25T22:33:27Z</dcterms:created>
  <dcterms:modified xsi:type="dcterms:W3CDTF">2022-03-28T22:29:24Z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0x0101006E56B4D1795A2E4DB2F0B01679ED314A00C4AD0D4F6BF7344299F812ABC97FDE97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