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ates215\OneDrive - Washington State Executive Branch Agencies\2018\Monthly Dockets\November\29\UG-180788\"/>
    </mc:Choice>
  </mc:AlternateContent>
  <bookViews>
    <workbookView xWindow="0" yWindow="0" windowWidth="24000" windowHeight="9510"/>
  </bookViews>
  <sheets>
    <sheet name="Core Cost Incurred" sheetId="14" r:id="rId1"/>
    <sheet name="WA Rates" sheetId="9" r:id="rId2"/>
    <sheet name="DEFERRALS" sheetId="15" r:id="rId3"/>
  </sheets>
  <externalReferences>
    <externalReference r:id="rId4"/>
    <externalReference r:id="rId5"/>
    <externalReference r:id="rId6"/>
    <externalReference r:id="rId7"/>
  </externalReferences>
  <definedNames>
    <definedName name="FERCINT13">'[1]FERC Interest Rates'!$A$10:$C$21</definedName>
    <definedName name="FERCINT14">'[1]FERC Interest Rates'!$A$22:$C$33</definedName>
    <definedName name="FERCINT15">'[1]FERC Interest Rates'!$A$34:$C$45</definedName>
    <definedName name="FERCINT16">'[1]FERC Interest Rates'!$A$46:$C$57</definedName>
    <definedName name="FERCINT17">'[1]FERC Interest Rates'!$A$58:$C$69</definedName>
    <definedName name="FERCINT18">'[1]FERC Interest Rates'!$A$70:$C$81</definedName>
    <definedName name="_xlnm.Print_Area" localSheetId="0">'Core Cost Incurred'!$B$1:$Z$48</definedName>
    <definedName name="_xlnm.Print_Area" localSheetId="2">DEFERRALS!$B$1:$H$22</definedName>
    <definedName name="_xlnm.Print_Area" localSheetId="1">'WA Rates'!$B$1:$N$52</definedName>
    <definedName name="_xlnm.Print_Titles" localSheetId="0">'Core Cost Incurred'!$B:$F</definedName>
    <definedName name="_xlnm.Print_Titles" localSheetId="1">'WA Rates'!$1:$8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5" l="1"/>
  <c r="D8" i="15"/>
  <c r="G8" i="15" s="1"/>
  <c r="G9" i="15" s="1"/>
  <c r="G12" i="15" s="1"/>
  <c r="E8" i="15"/>
  <c r="E9" i="15" s="1"/>
  <c r="D9" i="15"/>
  <c r="F9" i="15"/>
  <c r="F12" i="15"/>
  <c r="F18" i="15"/>
  <c r="E12" i="15" l="1"/>
  <c r="E18" i="15"/>
  <c r="D12" i="15"/>
  <c r="D18" i="15" s="1"/>
  <c r="G18" i="15" s="1"/>
  <c r="V71" i="14"/>
  <c r="S71" i="14"/>
  <c r="AC43" i="14"/>
  <c r="AB43" i="14"/>
  <c r="Z43" i="14"/>
  <c r="W43" i="14"/>
  <c r="AC42" i="14"/>
  <c r="AC44" i="14" s="1"/>
  <c r="AB42" i="14"/>
  <c r="AB44" i="14" s="1"/>
  <c r="Z42" i="14"/>
  <c r="Z44" i="14" s="1"/>
  <c r="W42" i="14"/>
  <c r="W44" i="14" s="1"/>
  <c r="Q47" i="14" s="1"/>
  <c r="V40" i="14"/>
  <c r="AC38" i="14"/>
  <c r="AC40" i="14" s="1"/>
  <c r="AB38" i="14"/>
  <c r="AB40" i="14" s="1"/>
  <c r="Z38" i="14"/>
  <c r="Z40" i="14" s="1"/>
  <c r="W38" i="14"/>
  <c r="W40" i="14" s="1"/>
  <c r="T38" i="14"/>
  <c r="Q38" i="14"/>
  <c r="N37" i="14"/>
  <c r="K37" i="14"/>
  <c r="H37" i="14" s="1"/>
  <c r="N36" i="14"/>
  <c r="K36" i="14"/>
  <c r="H36" i="14" s="1"/>
  <c r="N35" i="14"/>
  <c r="K35" i="14"/>
  <c r="H35" i="14"/>
  <c r="N34" i="14"/>
  <c r="H34" i="14" s="1"/>
  <c r="K34" i="14"/>
  <c r="N33" i="14"/>
  <c r="K33" i="14"/>
  <c r="H33" i="14" s="1"/>
  <c r="N32" i="14"/>
  <c r="K32" i="14"/>
  <c r="H32" i="14" s="1"/>
  <c r="N31" i="14"/>
  <c r="K31" i="14"/>
  <c r="H31" i="14"/>
  <c r="N30" i="14"/>
  <c r="H30" i="14" s="1"/>
  <c r="K30" i="14"/>
  <c r="N29" i="14"/>
  <c r="K29" i="14"/>
  <c r="H29" i="14" s="1"/>
  <c r="N28" i="14"/>
  <c r="K28" i="14"/>
  <c r="H28" i="14" s="1"/>
  <c r="N27" i="14"/>
  <c r="K27" i="14"/>
  <c r="H27" i="14"/>
  <c r="N26" i="14"/>
  <c r="H26" i="14" s="1"/>
  <c r="K26" i="14"/>
  <c r="N25" i="14"/>
  <c r="N38" i="14" s="1"/>
  <c r="K25" i="14"/>
  <c r="H25" i="14" s="1"/>
  <c r="N24" i="14"/>
  <c r="K24" i="14"/>
  <c r="H24" i="14" s="1"/>
  <c r="AC22" i="14"/>
  <c r="AB22" i="14"/>
  <c r="Z22" i="14"/>
  <c r="W22" i="14"/>
  <c r="T21" i="14"/>
  <c r="Q21" i="14"/>
  <c r="K21" i="14" s="1"/>
  <c r="H21" i="14" s="1"/>
  <c r="N21" i="14"/>
  <c r="N20" i="14"/>
  <c r="K20" i="14"/>
  <c r="H20" i="14" s="1"/>
  <c r="N19" i="14"/>
  <c r="K19" i="14"/>
  <c r="H19" i="14" s="1"/>
  <c r="N18" i="14"/>
  <c r="K18" i="14"/>
  <c r="H18" i="14"/>
  <c r="T17" i="14"/>
  <c r="T22" i="14" s="1"/>
  <c r="Q17" i="14"/>
  <c r="Q43" i="14" s="1"/>
  <c r="K17" i="14"/>
  <c r="K22" i="14" s="1"/>
  <c r="AC15" i="14"/>
  <c r="AB15" i="14"/>
  <c r="Z15" i="14"/>
  <c r="Y15" i="14"/>
  <c r="Y40" i="14" s="1"/>
  <c r="W15" i="14"/>
  <c r="V15" i="14"/>
  <c r="N14" i="14"/>
  <c r="M14" i="14"/>
  <c r="K14" i="14"/>
  <c r="H14" i="14" s="1"/>
  <c r="J14" i="14"/>
  <c r="G14" i="14" s="1"/>
  <c r="N13" i="14"/>
  <c r="M13" i="14"/>
  <c r="K13" i="14"/>
  <c r="J13" i="14"/>
  <c r="H13" i="14"/>
  <c r="G13" i="14"/>
  <c r="N12" i="14"/>
  <c r="M12" i="14"/>
  <c r="K12" i="14"/>
  <c r="H12" i="14" s="1"/>
  <c r="J12" i="14"/>
  <c r="G12" i="14" s="1"/>
  <c r="T11" i="14"/>
  <c r="T15" i="14" s="1"/>
  <c r="S11" i="14"/>
  <c r="S15" i="14" s="1"/>
  <c r="S40" i="14" s="1"/>
  <c r="Q11" i="14"/>
  <c r="W48" i="14" s="1"/>
  <c r="P11" i="14"/>
  <c r="N11" i="14"/>
  <c r="M11" i="14"/>
  <c r="K11" i="14"/>
  <c r="J11" i="14"/>
  <c r="H11" i="14"/>
  <c r="G11" i="14"/>
  <c r="T10" i="14"/>
  <c r="T42" i="14" s="1"/>
  <c r="S10" i="14"/>
  <c r="Q10" i="14"/>
  <c r="P10" i="14"/>
  <c r="P15" i="14" s="1"/>
  <c r="P40" i="14" s="1"/>
  <c r="N10" i="14"/>
  <c r="M10" i="14"/>
  <c r="K10" i="14"/>
  <c r="H10" i="14" s="1"/>
  <c r="J10" i="14"/>
  <c r="G10" i="14" s="1"/>
  <c r="N9" i="14"/>
  <c r="K9" i="14"/>
  <c r="H9" i="14" s="1"/>
  <c r="Q8" i="14"/>
  <c r="Q42" i="14" s="1"/>
  <c r="Q44" i="14" s="1"/>
  <c r="Q46" i="14" s="1"/>
  <c r="Q48" i="14" s="1"/>
  <c r="N8" i="14"/>
  <c r="N42" i="14" s="1"/>
  <c r="M8" i="14"/>
  <c r="M15" i="14" s="1"/>
  <c r="M40" i="14" s="1"/>
  <c r="K8" i="14"/>
  <c r="K42" i="14" s="1"/>
  <c r="J8" i="14"/>
  <c r="J15" i="14" s="1"/>
  <c r="J40" i="14" s="1"/>
  <c r="H8" i="14"/>
  <c r="G8" i="14"/>
  <c r="N7" i="14"/>
  <c r="K7" i="14"/>
  <c r="H7" i="14"/>
  <c r="N6" i="14"/>
  <c r="N15" i="14" s="1"/>
  <c r="K6" i="14"/>
  <c r="K43" i="14" s="1"/>
  <c r="W3" i="14"/>
  <c r="W1" i="14"/>
  <c r="G59" i="9"/>
  <c r="G58" i="9"/>
  <c r="G57" i="9"/>
  <c r="G56" i="9"/>
  <c r="M46" i="9"/>
  <c r="L46" i="9"/>
  <c r="J46" i="9"/>
  <c r="I46" i="9"/>
  <c r="H46" i="9"/>
  <c r="K46" i="9" s="1"/>
  <c r="N46" i="9" s="1"/>
  <c r="G46" i="9"/>
  <c r="G48" i="9" s="1"/>
  <c r="G50" i="9" s="1"/>
  <c r="G73" i="9" s="1"/>
  <c r="M44" i="9"/>
  <c r="L44" i="9"/>
  <c r="J44" i="9"/>
  <c r="I44" i="9"/>
  <c r="H44" i="9"/>
  <c r="K44" i="9" s="1"/>
  <c r="N44" i="9" s="1"/>
  <c r="L43" i="9"/>
  <c r="K43" i="9"/>
  <c r="J43" i="9"/>
  <c r="M43" i="9" s="1"/>
  <c r="I43" i="9"/>
  <c r="H43" i="9"/>
  <c r="K42" i="9"/>
  <c r="J42" i="9"/>
  <c r="M42" i="9" s="1"/>
  <c r="I42" i="9"/>
  <c r="L42" i="9" s="1"/>
  <c r="N42" i="9" s="1"/>
  <c r="H42" i="9"/>
  <c r="M41" i="9"/>
  <c r="J41" i="9"/>
  <c r="I41" i="9"/>
  <c r="L41" i="9" s="1"/>
  <c r="H41" i="9"/>
  <c r="K41" i="9" s="1"/>
  <c r="M40" i="9"/>
  <c r="L40" i="9"/>
  <c r="J40" i="9"/>
  <c r="I40" i="9"/>
  <c r="H40" i="9"/>
  <c r="K40" i="9" s="1"/>
  <c r="N40" i="9" s="1"/>
  <c r="L39" i="9"/>
  <c r="K39" i="9"/>
  <c r="N39" i="9" s="1"/>
  <c r="J39" i="9"/>
  <c r="M39" i="9" s="1"/>
  <c r="I39" i="9"/>
  <c r="H39" i="9"/>
  <c r="K37" i="9"/>
  <c r="J37" i="9"/>
  <c r="M37" i="9" s="1"/>
  <c r="I37" i="9"/>
  <c r="L37" i="9" s="1"/>
  <c r="N37" i="9" s="1"/>
  <c r="H37" i="9"/>
  <c r="K36" i="9"/>
  <c r="J36" i="9"/>
  <c r="M36" i="9" s="1"/>
  <c r="I36" i="9"/>
  <c r="L36" i="9" s="1"/>
  <c r="N36" i="9" s="1"/>
  <c r="O36" i="9" s="1"/>
  <c r="H36" i="9"/>
  <c r="M35" i="9"/>
  <c r="L35" i="9"/>
  <c r="J35" i="9"/>
  <c r="H35" i="9"/>
  <c r="K35" i="9" s="1"/>
  <c r="N35" i="9" s="1"/>
  <c r="L33" i="9"/>
  <c r="K33" i="9"/>
  <c r="J33" i="9"/>
  <c r="M33" i="9" s="1"/>
  <c r="I33" i="9"/>
  <c r="H33" i="9"/>
  <c r="K32" i="9"/>
  <c r="J32" i="9"/>
  <c r="M32" i="9" s="1"/>
  <c r="I32" i="9"/>
  <c r="L32" i="9" s="1"/>
  <c r="N32" i="9" s="1"/>
  <c r="H32" i="9"/>
  <c r="M31" i="9"/>
  <c r="J31" i="9"/>
  <c r="I31" i="9"/>
  <c r="L31" i="9" s="1"/>
  <c r="H31" i="9"/>
  <c r="K31" i="9" s="1"/>
  <c r="N31" i="9" s="1"/>
  <c r="M29" i="9"/>
  <c r="L29" i="9"/>
  <c r="J29" i="9"/>
  <c r="I29" i="9"/>
  <c r="H29" i="9"/>
  <c r="K29" i="9" s="1"/>
  <c r="N29" i="9" s="1"/>
  <c r="L28" i="9"/>
  <c r="K28" i="9"/>
  <c r="J28" i="9"/>
  <c r="M28" i="9" s="1"/>
  <c r="I28" i="9"/>
  <c r="H28" i="9"/>
  <c r="K27" i="9"/>
  <c r="J27" i="9"/>
  <c r="M27" i="9" s="1"/>
  <c r="I27" i="9"/>
  <c r="L27" i="9" s="1"/>
  <c r="H27" i="9"/>
  <c r="M25" i="9"/>
  <c r="J25" i="9"/>
  <c r="I25" i="9"/>
  <c r="I23" i="9" s="1"/>
  <c r="L23" i="9" s="1"/>
  <c r="H25" i="9"/>
  <c r="K25" i="9" s="1"/>
  <c r="M24" i="9"/>
  <c r="J24" i="9"/>
  <c r="H24" i="9"/>
  <c r="K24" i="9" s="1"/>
  <c r="K23" i="9"/>
  <c r="J23" i="9"/>
  <c r="M23" i="9" s="1"/>
  <c r="H23" i="9"/>
  <c r="K22" i="9"/>
  <c r="J22" i="9"/>
  <c r="M22" i="9" s="1"/>
  <c r="I22" i="9"/>
  <c r="L22" i="9" s="1"/>
  <c r="N22" i="9" s="1"/>
  <c r="H22" i="9"/>
  <c r="U21" i="9"/>
  <c r="R21" i="9"/>
  <c r="L21" i="9"/>
  <c r="K21" i="9"/>
  <c r="N21" i="9" s="1"/>
  <c r="J21" i="9"/>
  <c r="M21" i="9" s="1"/>
  <c r="I21" i="9"/>
  <c r="H21" i="9"/>
  <c r="U20" i="9"/>
  <c r="L20" i="9"/>
  <c r="K20" i="9"/>
  <c r="J20" i="9"/>
  <c r="M20" i="9" s="1"/>
  <c r="H20" i="9"/>
  <c r="L18" i="9"/>
  <c r="J18" i="9"/>
  <c r="I18" i="9"/>
  <c r="H18" i="9"/>
  <c r="K18" i="9" s="1"/>
  <c r="N18" i="9" s="1"/>
  <c r="U17" i="9"/>
  <c r="R17" i="9"/>
  <c r="L17" i="9"/>
  <c r="J17" i="9"/>
  <c r="I17" i="9"/>
  <c r="H17" i="9"/>
  <c r="K17" i="9" s="1"/>
  <c r="N17" i="9" s="1"/>
  <c r="L16" i="9"/>
  <c r="K16" i="9"/>
  <c r="N16" i="9" s="1"/>
  <c r="J16" i="9"/>
  <c r="M16" i="9" s="1"/>
  <c r="I16" i="9"/>
  <c r="H16" i="9"/>
  <c r="K15" i="9"/>
  <c r="J15" i="9"/>
  <c r="M15" i="9" s="1"/>
  <c r="I15" i="9"/>
  <c r="L15" i="9" s="1"/>
  <c r="H15" i="9"/>
  <c r="L13" i="9"/>
  <c r="J13" i="9"/>
  <c r="I13" i="9"/>
  <c r="H13" i="9"/>
  <c r="K13" i="9" s="1"/>
  <c r="N13" i="9" s="1"/>
  <c r="K12" i="9"/>
  <c r="N12" i="9" s="1"/>
  <c r="J12" i="9"/>
  <c r="I12" i="9"/>
  <c r="L12" i="9" s="1"/>
  <c r="H12" i="9"/>
  <c r="M11" i="9"/>
  <c r="L11" i="9"/>
  <c r="J11" i="9"/>
  <c r="H11" i="9"/>
  <c r="K11" i="9" s="1"/>
  <c r="N11" i="9" s="1"/>
  <c r="U10" i="9"/>
  <c r="T10" i="9"/>
  <c r="R10" i="9"/>
  <c r="Q10" i="9"/>
  <c r="L10" i="9"/>
  <c r="K10" i="9"/>
  <c r="J10" i="9"/>
  <c r="M10" i="9" s="1"/>
  <c r="I10" i="9"/>
  <c r="H10" i="9"/>
  <c r="N9" i="9"/>
  <c r="M9" i="9"/>
  <c r="L9" i="9"/>
  <c r="K9" i="9"/>
  <c r="R8" i="9"/>
  <c r="J8" i="9"/>
  <c r="I8" i="9"/>
  <c r="F3" i="9"/>
  <c r="T59" i="14"/>
  <c r="Q60" i="14"/>
  <c r="S59" i="14"/>
  <c r="Q59" i="14"/>
  <c r="T61" i="14"/>
  <c r="P59" i="14"/>
  <c r="P61" i="14"/>
  <c r="Q61" i="14"/>
  <c r="P60" i="14"/>
  <c r="S61" i="14"/>
  <c r="T62" i="14" l="1"/>
  <c r="Q62" i="14"/>
  <c r="G15" i="14"/>
  <c r="G40" i="14" s="1"/>
  <c r="H38" i="14"/>
  <c r="T40" i="14"/>
  <c r="K44" i="14"/>
  <c r="T47" i="14"/>
  <c r="Z46" i="14"/>
  <c r="H6" i="14"/>
  <c r="H15" i="14" s="1"/>
  <c r="N17" i="14"/>
  <c r="N22" i="14" s="1"/>
  <c r="N40" i="14" s="1"/>
  <c r="Q22" i="14"/>
  <c r="T43" i="14"/>
  <c r="T44" i="14" s="1"/>
  <c r="T46" i="14" s="1"/>
  <c r="T48" i="14" s="1"/>
  <c r="K15" i="14"/>
  <c r="Q15" i="14"/>
  <c r="Q40" i="14" s="1"/>
  <c r="K38" i="14"/>
  <c r="K48" i="9"/>
  <c r="K50" i="9" s="1"/>
  <c r="N24" i="9"/>
  <c r="N27" i="9"/>
  <c r="N33" i="9"/>
  <c r="N41" i="9"/>
  <c r="L48" i="9"/>
  <c r="L50" i="9" s="1"/>
  <c r="N28" i="9"/>
  <c r="M48" i="9"/>
  <c r="M50" i="9" s="1"/>
  <c r="N15" i="9"/>
  <c r="N20" i="9"/>
  <c r="N23" i="9"/>
  <c r="N43" i="9"/>
  <c r="N10" i="9"/>
  <c r="L25" i="9"/>
  <c r="N25" i="9" s="1"/>
  <c r="I24" i="9"/>
  <c r="L24" i="9" s="1"/>
  <c r="N43" i="14" l="1"/>
  <c r="N44" i="14" s="1"/>
  <c r="K46" i="14" s="1"/>
  <c r="H17" i="14"/>
  <c r="H22" i="14" s="1"/>
  <c r="H40" i="14" s="1"/>
  <c r="K40" i="14"/>
  <c r="N48" i="9"/>
  <c r="N50" i="9" l="1"/>
  <c r="Q49" i="9"/>
</calcChain>
</file>

<file path=xl/comments1.xml><?xml version="1.0" encoding="utf-8"?>
<comments xmlns="http://schemas.openxmlformats.org/spreadsheetml/2006/main">
  <authors>
    <author>John F</author>
    <author>jfresco</author>
    <author>Jennifer</author>
    <author>sarah.volk</author>
  </authors>
  <commentList>
    <comment ref="K7" authorId="0" shapeId="0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Z46" authorId="3" shapeId="0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2.xml><?xml version="1.0" encoding="utf-8"?>
<comments xmlns="http://schemas.openxmlformats.org/spreadsheetml/2006/main">
  <authors>
    <author>Cascade Natural Gas</author>
    <author>Jim Haug</author>
    <author>sarah.volk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8/9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502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8" authorId="1" shapeId="0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50" authorId="2" shapeId="0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sharedStrings.xml><?xml version="1.0" encoding="utf-8"?>
<sst xmlns="http://schemas.openxmlformats.org/spreadsheetml/2006/main" count="469" uniqueCount="208">
  <si>
    <t xml:space="preserve"> Blue - 1501A</t>
  </si>
  <si>
    <t>Red Cells = Actual Billed Therms 1501</t>
  </si>
  <si>
    <t>Green Cells = Unbilled Therms Incl. LV</t>
  </si>
  <si>
    <t>Gas Cost</t>
  </si>
  <si>
    <t>CC&amp;B</t>
  </si>
  <si>
    <t>WACOG at</t>
  </si>
  <si>
    <t>Amortization</t>
  </si>
  <si>
    <t>CL</t>
  </si>
  <si>
    <t>RS</t>
  </si>
  <si>
    <t>Account Number</t>
  </si>
  <si>
    <t>Subledger</t>
  </si>
  <si>
    <t>Subledger Type</t>
  </si>
  <si>
    <t>Amount</t>
  </si>
  <si>
    <t>Units</t>
  </si>
  <si>
    <t>Unit of Measure</t>
  </si>
  <si>
    <t>Posted Code</t>
  </si>
  <si>
    <t>Remark</t>
  </si>
  <si>
    <t>47WA.4002.4800</t>
  </si>
  <si>
    <t>Firm Res - bldg const</t>
  </si>
  <si>
    <t>502</t>
  </si>
  <si>
    <t>Regular cycle</t>
  </si>
  <si>
    <t>47WA.6011.28040</t>
  </si>
  <si>
    <t>GC RECOGNIZED RS 15020</t>
  </si>
  <si>
    <t>Firm Res - air con</t>
  </si>
  <si>
    <t>541</t>
  </si>
  <si>
    <t>GC RECOGNIZED RS 15410</t>
  </si>
  <si>
    <t>Firm Residentials</t>
  </si>
  <si>
    <t>503</t>
  </si>
  <si>
    <t>GC RECOGNIZED RS 15030</t>
  </si>
  <si>
    <t>47WA.4009.4800</t>
  </si>
  <si>
    <t>Reg. accrual</t>
  </si>
  <si>
    <t>47WA.4002.4810</t>
  </si>
  <si>
    <t>Firm Com - bldg const</t>
  </si>
  <si>
    <t>GC RECOGNIZED RS 25020</t>
  </si>
  <si>
    <t>Firm Commercial</t>
  </si>
  <si>
    <t>504</t>
  </si>
  <si>
    <t>GC RECOGNIZED RS 25040</t>
  </si>
  <si>
    <t>47WA.4009.4810</t>
  </si>
  <si>
    <t>Firm Com - Lg Vol</t>
  </si>
  <si>
    <t>511</t>
  </si>
  <si>
    <t>GC RECOGNIZED RS 25110</t>
  </si>
  <si>
    <t>Firm Com - Compressed NG</t>
  </si>
  <si>
    <t>512</t>
  </si>
  <si>
    <t>GC RECOGNIZED RS 25120</t>
  </si>
  <si>
    <t>Firm Com - air con</t>
  </si>
  <si>
    <t>GC RECOGNIZED RS 25410</t>
  </si>
  <si>
    <t xml:space="preserve">PM Unbilled </t>
  </si>
  <si>
    <t xml:space="preserve">CM Unbilled </t>
  </si>
  <si>
    <t>47WA.4002.4809</t>
  </si>
  <si>
    <t>Firm Ind'l</t>
  </si>
  <si>
    <t>505</t>
  </si>
  <si>
    <t>GC RECOGNIZED RS 35050</t>
  </si>
  <si>
    <t>Firm Industrial</t>
  </si>
  <si>
    <t>GC RECOGNIZED RS 35110</t>
  </si>
  <si>
    <t>Firm Ind'l - compressed NG</t>
  </si>
  <si>
    <t>GC RECOGNIZED RS 35120</t>
  </si>
  <si>
    <t>Firm Ind'l - Lg Vol CNGW05LV</t>
  </si>
  <si>
    <t>47WA.4002.4811</t>
  </si>
  <si>
    <t>Interr Small Commercial</t>
  </si>
  <si>
    <t>4</t>
  </si>
  <si>
    <t>570</t>
  </si>
  <si>
    <t>GC RECOGNIZED RS 55700</t>
  </si>
  <si>
    <t>47WA.4009.4811</t>
  </si>
  <si>
    <t>GC RECOGNIZED RS 45700</t>
  </si>
  <si>
    <t>47WA.4009.4813</t>
  </si>
  <si>
    <t>Interr Industrial</t>
  </si>
  <si>
    <t>5</t>
  </si>
  <si>
    <t>CM Unbilled</t>
  </si>
  <si>
    <t>47WA.4002.4813</t>
  </si>
  <si>
    <t>Interr Industrial - Ltd</t>
  </si>
  <si>
    <t>577</t>
  </si>
  <si>
    <t>GC RECOGNIZED RS 55770</t>
  </si>
  <si>
    <t>Interr Institutional</t>
  </si>
  <si>
    <t>GC RECOGNIZED RS 65700</t>
  </si>
  <si>
    <t xml:space="preserve">Total Gas Cost Recognized </t>
  </si>
  <si>
    <t>Pg 2</t>
  </si>
  <si>
    <t>S003000804009990670001</t>
  </si>
  <si>
    <t>GC RECOGNIZED CORE TOTAL</t>
  </si>
  <si>
    <t>Pg 8</t>
  </si>
  <si>
    <t>A</t>
  </si>
  <si>
    <t xml:space="preserve"> </t>
  </si>
  <si>
    <t>WASHINGTON - New Rates</t>
  </si>
  <si>
    <t>Sales</t>
  </si>
  <si>
    <t>Commodity</t>
  </si>
  <si>
    <t>Demand</t>
  </si>
  <si>
    <t>Total</t>
  </si>
  <si>
    <t>Cost</t>
  </si>
  <si>
    <t>Billed</t>
  </si>
  <si>
    <t>Recongnized</t>
  </si>
  <si>
    <t>Pg 3</t>
  </si>
  <si>
    <t>State</t>
  </si>
  <si>
    <t>Washington</t>
  </si>
  <si>
    <t>47WA.6011.28051</t>
  </si>
  <si>
    <t>47WA.2530.01253</t>
  </si>
  <si>
    <t>47WA.2530.01254</t>
  </si>
  <si>
    <t>Oregon</t>
  </si>
  <si>
    <t xml:space="preserve"> Washington Deferrals</t>
  </si>
  <si>
    <t xml:space="preserve"> Month of</t>
  </si>
  <si>
    <t>Gas Cost Recognized</t>
  </si>
  <si>
    <t>Total Gas Cost Recognized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</si>
  <si>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</si>
  <si>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</si>
  <si>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</si>
  <si>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</si>
  <si>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</si>
  <si>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</si>
  <si>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</si>
  <si>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</si>
  <si>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Therms</t>
  </si>
  <si>
    <t>PM Unbilled - Res</t>
  </si>
  <si>
    <t>CM Unbilled - Res</t>
  </si>
  <si>
    <t>PM Unbilled - Com'l</t>
  </si>
  <si>
    <t>CM Unbilled - Com'l</t>
  </si>
  <si>
    <t>Old Rates</t>
  </si>
  <si>
    <t>Total WA</t>
  </si>
  <si>
    <t xml:space="preserve"> Assignment of Core Gas Cost To</t>
  </si>
  <si>
    <t xml:space="preserve"> Class &amp; Rate Schedule</t>
  </si>
  <si>
    <t xml:space="preserve"> Core Gas Cost</t>
  </si>
  <si>
    <t xml:space="preserve"> Revenue &amp; Cost by Rate Schedule - WA</t>
  </si>
  <si>
    <t>Sep 1 2017</t>
  </si>
  <si>
    <t>CNGWA 502</t>
  </si>
  <si>
    <t>Moved to 503 - 9/18</t>
  </si>
  <si>
    <t>CNGWA 541</t>
  </si>
  <si>
    <t>CNGWA 503</t>
  </si>
  <si>
    <t>CNGWA 504</t>
  </si>
  <si>
    <t>CNGWA 511</t>
  </si>
  <si>
    <t>CNGWA 512</t>
  </si>
  <si>
    <r>
      <t>CNGWA</t>
    </r>
    <r>
      <rPr>
        <b/>
        <sz val="10"/>
        <rFont val="Arial"/>
        <family val="2"/>
      </rPr>
      <t xml:space="preserve"> 04LV</t>
    </r>
  </si>
  <si>
    <t>CNGWA 04LV</t>
  </si>
  <si>
    <t>CNGWA 505</t>
  </si>
  <si>
    <t>CNGWA 05LV</t>
  </si>
  <si>
    <t>CNGWA 570</t>
  </si>
  <si>
    <t>CNGWA 577</t>
  </si>
  <si>
    <t>New Rates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</si>
  <si>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</si>
  <si>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</si>
  <si>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</si>
  <si>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</si>
  <si>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</si>
  <si>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</si>
  <si>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</si>
  <si>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</si>
  <si>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</si>
  <si>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</si>
  <si>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</si>
  <si>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</si>
  <si>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</si>
  <si>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</si>
  <si>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</si>
  <si>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</si>
  <si>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</si>
  <si>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</si>
  <si>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</si>
  <si>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</si>
  <si>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</si>
  <si>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</si>
  <si>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</si>
  <si>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</si>
  <si>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</si>
  <si>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</si>
  <si>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</si>
  <si>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</si>
  <si>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</si>
  <si>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</si>
  <si>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</si>
  <si>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</si>
  <si>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</si>
  <si>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</si>
  <si>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</si>
  <si>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</si>
  <si>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</si>
  <si>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</si>
  <si>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</si>
  <si>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</si>
  <si>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</si>
  <si>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</si>
  <si>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</si>
  <si>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</si>
  <si>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</si>
  <si>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</si>
  <si>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</si>
  <si>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</si>
  <si>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</si>
  <si>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WA &amp; OR</t>
  </si>
  <si>
    <t>JDE Export</t>
  </si>
  <si>
    <t>verified</t>
  </si>
  <si>
    <t>True-up</t>
  </si>
  <si>
    <t>28081/28082/28120</t>
  </si>
  <si>
    <t xml:space="preserve">    </t>
  </si>
  <si>
    <t>AU</t>
  </si>
  <si>
    <t>Ledger Type</t>
  </si>
  <si>
    <t>AA</t>
  </si>
  <si>
    <t>Year</t>
  </si>
  <si>
    <t>2018</t>
  </si>
  <si>
    <t>Format</t>
  </si>
  <si>
    <t>per</t>
  </si>
  <si>
    <t>Period</t>
  </si>
  <si>
    <t>8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</si>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</sst>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mmmm\-yy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[$-409]mmmm\-yy;@"/>
    <numFmt numFmtId="170" formatCode="_(* #,##0.0000_);_(* \(#,##0.0000\);_(* &quot;-&quot;??_);_(@_)"/>
  </numFmts>
  <fonts count="51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.5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theme="4" tint="-0.249977111117893"/>
      <name val="Arial"/>
      <family val="2"/>
    </font>
    <font>
      <i/>
      <sz val="8"/>
      <color indexed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rgb="FFFF0000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5">
    <xf numFmtId="0" fontId="0" fillId="0" borderId="0" xfId="0"/>
    <xf numFmtId="49" fontId="2" fillId="0" borderId="0" xfId="0" applyNumberFormat="1" applyFont="1"/>
    <xf numFmtId="0" fontId="1" fillId="2" borderId="0" xfId="0" applyFont="1" applyFill="1" applyBorder="1"/>
    <xf numFmtId="49" fontId="1" fillId="2" borderId="0" xfId="1" applyNumberFormat="1" applyFont="1" applyFill="1" applyBorder="1"/>
    <xf numFmtId="49" fontId="1" fillId="2" borderId="0" xfId="0" applyNumberFormat="1" applyFont="1" applyFill="1" applyBorder="1"/>
    <xf numFmtId="0" fontId="9" fillId="0" borderId="0" xfId="0" applyFont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0" xfId="1" applyNumberFormat="1" applyFont="1" applyFill="1" applyBorder="1"/>
    <xf numFmtId="49" fontId="8" fillId="2" borderId="0" xfId="0" applyNumberFormat="1" applyFont="1" applyFill="1" applyBorder="1"/>
    <xf numFmtId="17" fontId="9" fillId="0" borderId="0" xfId="0" applyNumberFormat="1" applyFont="1" applyAlignment="1">
      <alignment horizontal="center"/>
    </xf>
    <xf numFmtId="0" fontId="8" fillId="0" borderId="0" xfId="0" applyFont="1"/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49" fontId="1" fillId="0" borderId="0" xfId="1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Fill="1"/>
    <xf numFmtId="164" fontId="13" fillId="0" borderId="0" xfId="1" applyNumberFormat="1" applyFont="1" applyFill="1"/>
    <xf numFmtId="44" fontId="1" fillId="0" borderId="0" xfId="2" applyNumberFormat="1"/>
    <xf numFmtId="44" fontId="1" fillId="0" borderId="0" xfId="0" applyNumberFormat="1" applyFont="1"/>
    <xf numFmtId="39" fontId="0" fillId="0" borderId="0" xfId="0" applyNumberFormat="1"/>
    <xf numFmtId="164" fontId="15" fillId="0" borderId="0" xfId="1" applyNumberFormat="1" applyFont="1" applyFill="1"/>
    <xf numFmtId="164" fontId="16" fillId="4" borderId="0" xfId="1" applyNumberFormat="1" applyFont="1" applyFill="1"/>
    <xf numFmtId="44" fontId="1" fillId="0" borderId="0" xfId="2" applyNumberFormat="1" applyFill="1"/>
    <xf numFmtId="44" fontId="1" fillId="0" borderId="0" xfId="0" applyNumberFormat="1" applyFont="1" applyFill="1"/>
    <xf numFmtId="44" fontId="0" fillId="0" borderId="0" xfId="0" applyNumberFormat="1"/>
    <xf numFmtId="164" fontId="18" fillId="0" borderId="0" xfId="1" applyNumberFormat="1" applyFont="1" applyFill="1"/>
    <xf numFmtId="164" fontId="9" fillId="0" borderId="0" xfId="1" applyNumberFormat="1" applyFont="1" applyFill="1"/>
    <xf numFmtId="164" fontId="19" fillId="4" borderId="0" xfId="1" applyNumberFormat="1" applyFont="1" applyFill="1"/>
    <xf numFmtId="165" fontId="1" fillId="0" borderId="0" xfId="2" applyNumberFormat="1"/>
    <xf numFmtId="164" fontId="21" fillId="0" borderId="0" xfId="1" applyNumberFormat="1" applyFont="1" applyFill="1"/>
    <xf numFmtId="164" fontId="22" fillId="0" borderId="0" xfId="1" applyNumberFormat="1" applyFont="1" applyFill="1"/>
    <xf numFmtId="165" fontId="23" fillId="0" borderId="0" xfId="2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/>
    <xf numFmtId="164" fontId="2" fillId="0" borderId="0" xfId="1" applyNumberFormat="1" applyFont="1"/>
    <xf numFmtId="164" fontId="8" fillId="0" borderId="0" xfId="1" applyNumberFormat="1" applyFont="1"/>
    <xf numFmtId="44" fontId="8" fillId="0" borderId="0" xfId="2" applyNumberFormat="1" applyFont="1"/>
    <xf numFmtId="164" fontId="2" fillId="4" borderId="0" xfId="1" applyNumberFormat="1" applyFont="1" applyFill="1"/>
    <xf numFmtId="167" fontId="1" fillId="0" borderId="0" xfId="2" applyNumberFormat="1"/>
    <xf numFmtId="44" fontId="18" fillId="0" borderId="0" xfId="2" applyNumberFormat="1" applyFont="1"/>
    <xf numFmtId="164" fontId="24" fillId="0" borderId="0" xfId="1" applyNumberFormat="1" applyFont="1" applyAlignment="1">
      <alignment horizontal="center"/>
    </xf>
    <xf numFmtId="44" fontId="1" fillId="0" borderId="0" xfId="2" applyNumberFormat="1" applyFont="1"/>
    <xf numFmtId="164" fontId="24" fillId="0" borderId="0" xfId="1" applyNumberFormat="1" applyFont="1" applyAlignment="1">
      <alignment horizontal="center" vertical="center"/>
    </xf>
    <xf numFmtId="164" fontId="1" fillId="0" borderId="0" xfId="1" applyNumberFormat="1"/>
    <xf numFmtId="44" fontId="8" fillId="0" borderId="0" xfId="2" applyNumberFormat="1" applyFont="1" applyAlignment="1">
      <alignment horizontal="left"/>
    </xf>
    <xf numFmtId="164" fontId="18" fillId="0" borderId="0" xfId="1" applyNumberFormat="1" applyFont="1"/>
    <xf numFmtId="165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18" fillId="0" borderId="0" xfId="2" applyFont="1" applyFill="1"/>
    <xf numFmtId="44" fontId="1" fillId="0" borderId="0" xfId="2" applyFont="1"/>
    <xf numFmtId="44" fontId="1" fillId="0" borderId="0" xfId="2"/>
    <xf numFmtId="43" fontId="8" fillId="0" borderId="0" xfId="1" applyFont="1" applyAlignment="1">
      <alignment horizontal="left"/>
    </xf>
    <xf numFmtId="44" fontId="14" fillId="0" borderId="0" xfId="2" applyFont="1" applyFill="1"/>
    <xf numFmtId="43" fontId="1" fillId="0" borderId="0" xfId="1"/>
    <xf numFmtId="164" fontId="1" fillId="0" borderId="0" xfId="1" applyNumberFormat="1" applyFont="1"/>
    <xf numFmtId="49" fontId="4" fillId="0" borderId="0" xfId="0" applyNumberFormat="1" applyFont="1" applyAlignment="1">
      <alignment vertical="center"/>
    </xf>
    <xf numFmtId="165" fontId="1" fillId="2" borderId="0" xfId="2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center"/>
    </xf>
    <xf numFmtId="166" fontId="10" fillId="2" borderId="2" xfId="2" applyNumberFormat="1" applyFont="1" applyFill="1" applyBorder="1" applyAlignment="1">
      <alignment horizontal="center"/>
    </xf>
    <xf numFmtId="165" fontId="1" fillId="2" borderId="2" xfId="2" applyNumberFormat="1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165" fontId="14" fillId="6" borderId="0" xfId="2" applyNumberFormat="1" applyFont="1" applyFill="1"/>
    <xf numFmtId="165" fontId="14" fillId="7" borderId="0" xfId="2" applyNumberFormat="1" applyFont="1" applyFill="1"/>
    <xf numFmtId="164" fontId="17" fillId="0" borderId="0" xfId="1" applyNumberFormat="1" applyFont="1" applyFill="1"/>
    <xf numFmtId="165" fontId="10" fillId="7" borderId="0" xfId="2" applyNumberFormat="1" applyFont="1" applyFill="1"/>
    <xf numFmtId="164" fontId="20" fillId="4" borderId="0" xfId="1" applyNumberFormat="1" applyFont="1" applyFill="1"/>
    <xf numFmtId="0" fontId="8" fillId="0" borderId="0" xfId="0" applyFont="1" applyAlignment="1">
      <alignment horizontal="left" indent="1"/>
    </xf>
    <xf numFmtId="44" fontId="8" fillId="0" borderId="0" xfId="0" applyNumberFormat="1" applyFont="1"/>
    <xf numFmtId="44" fontId="8" fillId="0" borderId="0" xfId="2" applyFont="1"/>
    <xf numFmtId="0" fontId="3" fillId="0" borderId="0" xfId="0" applyFont="1" applyAlignment="1">
      <alignment horizontal="center"/>
    </xf>
    <xf numFmtId="0" fontId="32" fillId="0" borderId="0" xfId="0" applyFont="1"/>
    <xf numFmtId="164" fontId="32" fillId="0" borderId="0" xfId="1" applyNumberFormat="1" applyFont="1"/>
    <xf numFmtId="164" fontId="1" fillId="2" borderId="0" xfId="1" applyNumberFormat="1" applyFont="1" applyFill="1" applyBorder="1" applyAlignment="1">
      <alignment horizontal="center"/>
    </xf>
    <xf numFmtId="49" fontId="4" fillId="0" borderId="0" xfId="0" applyNumberFormat="1" applyFont="1" applyAlignment="1">
      <alignment vertical="top"/>
    </xf>
    <xf numFmtId="164" fontId="3" fillId="0" borderId="0" xfId="1" applyNumberFormat="1" applyFont="1"/>
    <xf numFmtId="44" fontId="8" fillId="11" borderId="0" xfId="0" applyNumberFormat="1" applyFont="1" applyFill="1" applyBorder="1" applyAlignment="1">
      <alignment horizontal="center"/>
    </xf>
    <xf numFmtId="44" fontId="8" fillId="12" borderId="0" xfId="0" applyNumberFormat="1" applyFont="1" applyFill="1" applyBorder="1" applyAlignment="1">
      <alignment horizontal="center"/>
    </xf>
    <xf numFmtId="0" fontId="1" fillId="0" borderId="0" xfId="0" applyFont="1" applyAlignment="1"/>
    <xf numFmtId="49" fontId="3" fillId="0" borderId="0" xfId="1" applyNumberFormat="1" applyFont="1" applyAlignment="1"/>
    <xf numFmtId="165" fontId="1" fillId="0" borderId="0" xfId="2" applyNumberFormat="1" applyFont="1" applyFill="1" applyBorder="1" applyAlignment="1">
      <alignment horizontal="center"/>
    </xf>
    <xf numFmtId="39" fontId="6" fillId="0" borderId="0" xfId="0" applyNumberFormat="1" applyFont="1"/>
    <xf numFmtId="164" fontId="1" fillId="2" borderId="2" xfId="1" applyNumberFormat="1" applyFont="1" applyFill="1" applyBorder="1" applyAlignment="1">
      <alignment horizontal="center"/>
    </xf>
    <xf numFmtId="44" fontId="1" fillId="0" borderId="11" xfId="2" applyNumberFormat="1" applyBorder="1"/>
    <xf numFmtId="44" fontId="1" fillId="9" borderId="0" xfId="2" applyNumberFormat="1" applyFill="1"/>
    <xf numFmtId="44" fontId="1" fillId="0" borderId="12" xfId="2" applyNumberFormat="1" applyBorder="1"/>
    <xf numFmtId="44" fontId="6" fillId="0" borderId="0" xfId="0" applyNumberFormat="1" applyFont="1"/>
    <xf numFmtId="44" fontId="8" fillId="0" borderId="0" xfId="0" applyNumberFormat="1" applyFont="1" applyFill="1"/>
    <xf numFmtId="44" fontId="31" fillId="9" borderId="0" xfId="2" applyNumberFormat="1" applyFont="1" applyFill="1"/>
    <xf numFmtId="44" fontId="31" fillId="0" borderId="0" xfId="2" applyNumberFormat="1" applyFont="1" applyFill="1"/>
    <xf numFmtId="44" fontId="1" fillId="3" borderId="0" xfId="2" applyNumberFormat="1" applyFill="1"/>
    <xf numFmtId="44" fontId="8" fillId="9" borderId="0" xfId="2" applyNumberFormat="1" applyFont="1" applyFill="1"/>
    <xf numFmtId="44" fontId="1" fillId="0" borderId="10" xfId="2" applyFont="1" applyBorder="1"/>
    <xf numFmtId="164" fontId="1" fillId="0" borderId="3" xfId="1" applyNumberFormat="1" applyFont="1" applyBorder="1"/>
    <xf numFmtId="44" fontId="1" fillId="0" borderId="3" xfId="2" applyFont="1" applyBorder="1"/>
    <xf numFmtId="43" fontId="1" fillId="0" borderId="0" xfId="1" applyNumberFormat="1" applyFont="1"/>
    <xf numFmtId="164" fontId="32" fillId="0" borderId="0" xfId="1" applyNumberFormat="1" applyFont="1" applyFill="1"/>
    <xf numFmtId="49" fontId="33" fillId="0" borderId="0" xfId="1" applyNumberFormat="1" applyFont="1" applyAlignment="1"/>
    <xf numFmtId="49" fontId="32" fillId="0" borderId="0" xfId="1" applyNumberFormat="1" applyFont="1"/>
    <xf numFmtId="49" fontId="24" fillId="0" borderId="0" xfId="1" applyNumberFormat="1" applyFont="1" applyAlignment="1">
      <alignment horizontal="left"/>
    </xf>
    <xf numFmtId="164" fontId="32" fillId="0" borderId="0" xfId="1" applyNumberFormat="1" applyFont="1" applyAlignment="1">
      <alignment horizontal="left"/>
    </xf>
    <xf numFmtId="43" fontId="32" fillId="0" borderId="0" xfId="1" applyNumberFormat="1" applyFont="1"/>
    <xf numFmtId="164" fontId="32" fillId="14" borderId="0" xfId="1" applyNumberFormat="1" applyFont="1" applyFill="1"/>
    <xf numFmtId="43" fontId="39" fillId="0" borderId="0" xfId="1" applyNumberFormat="1" applyFont="1"/>
    <xf numFmtId="164" fontId="35" fillId="0" borderId="0" xfId="1" applyNumberFormat="1" applyFont="1" applyFill="1"/>
    <xf numFmtId="43" fontId="35" fillId="0" borderId="0" xfId="1" applyFont="1" applyFill="1"/>
    <xf numFmtId="49" fontId="2" fillId="0" borderId="0" xfId="1" applyNumberFormat="1" applyFont="1" applyBorder="1"/>
    <xf numFmtId="43" fontId="32" fillId="0" borderId="0" xfId="1" applyNumberFormat="1" applyFont="1" applyBorder="1"/>
    <xf numFmtId="164" fontId="35" fillId="0" borderId="0" xfId="1" applyNumberFormat="1" applyFont="1"/>
    <xf numFmtId="164" fontId="1" fillId="14" borderId="0" xfId="1" applyNumberFormat="1" applyFont="1" applyFill="1"/>
    <xf numFmtId="169" fontId="22" fillId="0" borderId="0" xfId="1" applyNumberFormat="1" applyFont="1" applyBorder="1" applyAlignment="1"/>
    <xf numFmtId="164" fontId="37" fillId="0" borderId="0" xfId="1" applyNumberFormat="1" applyFont="1" applyAlignment="1">
      <alignment horizontal="center"/>
    </xf>
    <xf numFmtId="49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vertical="center"/>
    </xf>
    <xf numFmtId="164" fontId="3" fillId="14" borderId="0" xfId="1" applyNumberFormat="1" applyFont="1" applyFill="1"/>
    <xf numFmtId="164" fontId="2" fillId="0" borderId="0" xfId="1" applyNumberFormat="1" applyFont="1" applyAlignment="1">
      <alignment vertical="center"/>
    </xf>
    <xf numFmtId="164" fontId="35" fillId="0" borderId="0" xfId="1" applyNumberFormat="1" applyFont="1" applyAlignment="1">
      <alignment horizontal="center"/>
    </xf>
    <xf numFmtId="164" fontId="1" fillId="2" borderId="2" xfId="1" applyNumberFormat="1" applyFont="1" applyFill="1" applyBorder="1"/>
    <xf numFmtId="164" fontId="12" fillId="2" borderId="3" xfId="1" applyNumberFormat="1" applyFont="1" applyFill="1" applyBorder="1" applyAlignment="1">
      <alignment horizontal="center"/>
    </xf>
    <xf numFmtId="43" fontId="12" fillId="2" borderId="3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43" fontId="12" fillId="2" borderId="2" xfId="1" applyNumberFormat="1" applyFont="1" applyFill="1" applyBorder="1" applyAlignment="1">
      <alignment horizontal="center"/>
    </xf>
    <xf numFmtId="164" fontId="30" fillId="2" borderId="2" xfId="1" applyNumberFormat="1" applyFont="1" applyFill="1" applyBorder="1" applyAlignment="1">
      <alignment horizontal="center"/>
    </xf>
    <xf numFmtId="164" fontId="30" fillId="2" borderId="3" xfId="1" applyNumberFormat="1" applyFont="1" applyFill="1" applyBorder="1" applyAlignment="1">
      <alignment horizontal="center"/>
    </xf>
    <xf numFmtId="43" fontId="30" fillId="2" borderId="3" xfId="1" applyNumberFormat="1" applyFont="1" applyFill="1" applyBorder="1" applyAlignment="1">
      <alignment horizontal="center"/>
    </xf>
    <xf numFmtId="43" fontId="30" fillId="2" borderId="2" xfId="1" applyNumberFormat="1" applyFont="1" applyFill="1" applyBorder="1" applyAlignment="1">
      <alignment horizontal="center"/>
    </xf>
    <xf numFmtId="164" fontId="40" fillId="2" borderId="2" xfId="1" applyNumberFormat="1" applyFont="1" applyFill="1" applyBorder="1" applyAlignment="1">
      <alignment horizontal="center"/>
    </xf>
    <xf numFmtId="43" fontId="12" fillId="0" borderId="0" xfId="1" applyNumberFormat="1" applyFont="1" applyAlignment="1">
      <alignment horizontal="center"/>
    </xf>
    <xf numFmtId="49" fontId="1" fillId="15" borderId="0" xfId="1" applyNumberFormat="1" applyFont="1" applyFill="1" applyAlignment="1">
      <alignment horizontal="right"/>
    </xf>
    <xf numFmtId="0" fontId="1" fillId="15" borderId="0" xfId="1" applyNumberFormat="1" applyFont="1" applyFill="1" applyAlignment="1">
      <alignment horizontal="center"/>
    </xf>
    <xf numFmtId="0" fontId="2" fillId="0" borderId="0" xfId="1" applyNumberFormat="1" applyFont="1" applyAlignment="1">
      <alignment horizontal="center"/>
    </xf>
    <xf numFmtId="164" fontId="23" fillId="0" borderId="0" xfId="1" applyNumberFormat="1" applyFont="1" applyAlignment="1">
      <alignment horizontal="center"/>
    </xf>
    <xf numFmtId="44" fontId="23" fillId="0" borderId="0" xfId="2" applyFont="1"/>
    <xf numFmtId="164" fontId="1" fillId="0" borderId="0" xfId="1" applyNumberFormat="1" applyFont="1" applyAlignment="1">
      <alignment horizontal="left" indent="3"/>
    </xf>
    <xf numFmtId="44" fontId="1" fillId="16" borderId="0" xfId="2" applyFont="1" applyFill="1"/>
    <xf numFmtId="164" fontId="1" fillId="0" borderId="0" xfId="1" applyNumberFormat="1" applyFont="1" applyFill="1" applyAlignment="1">
      <alignment horizontal="left"/>
    </xf>
    <xf numFmtId="164" fontId="8" fillId="0" borderId="0" xfId="1" applyNumberFormat="1" applyFont="1" applyAlignment="1">
      <alignment horizontal="left" indent="3"/>
    </xf>
    <xf numFmtId="44" fontId="6" fillId="16" borderId="0" xfId="2" applyFont="1" applyFill="1"/>
    <xf numFmtId="164" fontId="23" fillId="0" borderId="0" xfId="1" applyNumberFormat="1" applyFont="1" applyAlignment="1">
      <alignment horizontal="left"/>
    </xf>
    <xf numFmtId="44" fontId="22" fillId="16" borderId="0" xfId="2" applyFont="1" applyFill="1"/>
    <xf numFmtId="0" fontId="2" fillId="16" borderId="0" xfId="2" applyNumberFormat="1" applyFont="1" applyFill="1" applyAlignment="1">
      <alignment horizontal="center"/>
    </xf>
    <xf numFmtId="164" fontId="41" fillId="0" borderId="0" xfId="1" applyNumberFormat="1" applyFont="1" applyAlignment="1">
      <alignment horizontal="left"/>
    </xf>
    <xf numFmtId="164" fontId="35" fillId="0" borderId="0" xfId="1" applyNumberFormat="1" applyFont="1" applyAlignment="1">
      <alignment horizontal="left"/>
    </xf>
    <xf numFmtId="164" fontId="23" fillId="0" borderId="0" xfId="1" applyNumberFormat="1" applyFont="1"/>
    <xf numFmtId="164" fontId="1" fillId="0" borderId="0" xfId="1" applyNumberFormat="1" applyFont="1" applyFill="1"/>
    <xf numFmtId="44" fontId="1" fillId="17" borderId="0" xfId="2" applyNumberFormat="1" applyFont="1" applyFill="1"/>
    <xf numFmtId="44" fontId="1" fillId="17" borderId="0" xfId="2" applyFont="1" applyFill="1"/>
    <xf numFmtId="164" fontId="6" fillId="0" borderId="0" xfId="1" applyNumberFormat="1" applyFont="1"/>
    <xf numFmtId="44" fontId="6" fillId="17" borderId="0" xfId="2" applyFont="1" applyFill="1"/>
    <xf numFmtId="164" fontId="42" fillId="0" borderId="0" xfId="1" applyNumberFormat="1" applyFont="1" applyAlignment="1">
      <alignment horizontal="left"/>
    </xf>
    <xf numFmtId="164" fontId="42" fillId="0" borderId="0" xfId="1" applyNumberFormat="1" applyFont="1" applyAlignment="1">
      <alignment horizontal="left" indent="1"/>
    </xf>
    <xf numFmtId="44" fontId="36" fillId="18" borderId="0" xfId="2" applyFont="1" applyFill="1"/>
    <xf numFmtId="0" fontId="2" fillId="17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left" indent="3"/>
    </xf>
    <xf numFmtId="164" fontId="1" fillId="0" borderId="0" xfId="1" applyNumberFormat="1" applyFont="1" applyAlignment="1">
      <alignment horizontal="left" indent="4"/>
    </xf>
    <xf numFmtId="164" fontId="42" fillId="0" borderId="0" xfId="1" applyNumberFormat="1" applyFont="1" applyAlignment="1">
      <alignment horizontal="left" indent="4"/>
    </xf>
    <xf numFmtId="164" fontId="43" fillId="0" borderId="0" xfId="1" applyNumberFormat="1" applyFont="1" applyAlignment="1">
      <alignment horizontal="left"/>
    </xf>
    <xf numFmtId="43" fontId="32" fillId="14" borderId="0" xfId="1" applyFont="1" applyFill="1"/>
    <xf numFmtId="44" fontId="6" fillId="17" borderId="0" xfId="2" applyNumberFormat="1" applyFont="1" applyFill="1"/>
    <xf numFmtId="49" fontId="1" fillId="8" borderId="0" xfId="1" applyNumberFormat="1" applyFont="1" applyFill="1" applyAlignment="1">
      <alignment horizontal="right"/>
    </xf>
    <xf numFmtId="0" fontId="1" fillId="8" borderId="0" xfId="1" applyNumberFormat="1" applyFont="1" applyFill="1" applyAlignment="1">
      <alignment horizontal="center"/>
    </xf>
    <xf numFmtId="0" fontId="2" fillId="19" borderId="0" xfId="1" applyNumberFormat="1" applyFont="1" applyFill="1" applyAlignment="1">
      <alignment horizontal="center"/>
    </xf>
    <xf numFmtId="164" fontId="1" fillId="19" borderId="0" xfId="1" applyNumberFormat="1" applyFont="1" applyFill="1"/>
    <xf numFmtId="44" fontId="6" fillId="19" borderId="0" xfId="2" applyFont="1" applyFill="1"/>
    <xf numFmtId="164" fontId="41" fillId="0" borderId="0" xfId="1" applyNumberFormat="1" applyFont="1"/>
    <xf numFmtId="164" fontId="23" fillId="14" borderId="0" xfId="1" applyNumberFormat="1" applyFont="1" applyFill="1" applyAlignment="1">
      <alignment horizontal="left" vertical="top"/>
    </xf>
    <xf numFmtId="43" fontId="44" fillId="0" borderId="0" xfId="1" applyFont="1"/>
    <xf numFmtId="164" fontId="44" fillId="0" borderId="0" xfId="1" applyNumberFormat="1" applyFont="1"/>
    <xf numFmtId="164" fontId="1" fillId="0" borderId="2" xfId="1" applyNumberFormat="1" applyFont="1" applyBorder="1"/>
    <xf numFmtId="44" fontId="1" fillId="17" borderId="2" xfId="2" applyFont="1" applyFill="1" applyBorder="1"/>
    <xf numFmtId="164" fontId="45" fillId="0" borderId="2" xfId="1" applyNumberFormat="1" applyFont="1" applyBorder="1"/>
    <xf numFmtId="44" fontId="45" fillId="17" borderId="0" xfId="2" applyFont="1" applyFill="1"/>
    <xf numFmtId="44" fontId="6" fillId="17" borderId="2" xfId="2" applyFont="1" applyFill="1" applyBorder="1"/>
    <xf numFmtId="49" fontId="1" fillId="15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43" fontId="1" fillId="0" borderId="3" xfId="1" applyNumberFormat="1" applyFont="1" applyBorder="1"/>
    <xf numFmtId="164" fontId="23" fillId="0" borderId="10" xfId="1" applyNumberFormat="1" applyFont="1" applyBorder="1"/>
    <xf numFmtId="44" fontId="23" fillId="0" borderId="10" xfId="2" applyFont="1" applyBorder="1"/>
    <xf numFmtId="164" fontId="1" fillId="0" borderId="10" xfId="1" applyNumberFormat="1" applyFont="1" applyBorder="1"/>
    <xf numFmtId="44" fontId="2" fillId="0" borderId="3" xfId="2" applyFont="1" applyBorder="1"/>
    <xf numFmtId="164" fontId="35" fillId="0" borderId="3" xfId="1" applyNumberFormat="1" applyFont="1" applyBorder="1" applyAlignment="1">
      <alignment horizontal="left"/>
    </xf>
    <xf numFmtId="44" fontId="35" fillId="0" borderId="0" xfId="2" applyFont="1"/>
    <xf numFmtId="43" fontId="23" fillId="0" borderId="10" xfId="1" applyNumberFormat="1" applyFont="1" applyBorder="1"/>
    <xf numFmtId="164" fontId="32" fillId="0" borderId="0" xfId="1" applyNumberFormat="1" applyFont="1" applyFill="1" applyAlignment="1">
      <alignment horizontal="left"/>
    </xf>
    <xf numFmtId="43" fontId="23" fillId="0" borderId="0" xfId="1" applyNumberFormat="1" applyFont="1"/>
    <xf numFmtId="164" fontId="8" fillId="0" borderId="10" xfId="1" applyNumberFormat="1" applyFont="1" applyBorder="1"/>
    <xf numFmtId="164" fontId="41" fillId="0" borderId="0" xfId="1" applyNumberFormat="1" applyFont="1" applyAlignment="1">
      <alignment horizontal="left" indent="4"/>
    </xf>
    <xf numFmtId="164" fontId="23" fillId="0" borderId="0" xfId="1" applyNumberFormat="1" applyFont="1" applyAlignment="1">
      <alignment horizontal="left" indent="3"/>
    </xf>
    <xf numFmtId="164" fontId="41" fillId="0" borderId="0" xfId="1" applyNumberFormat="1" applyFont="1" applyAlignment="1"/>
    <xf numFmtId="44" fontId="6" fillId="16" borderId="0" xfId="2" applyFont="1" applyFill="1" applyAlignment="1"/>
    <xf numFmtId="44" fontId="22" fillId="17" borderId="0" xfId="2" applyFont="1" applyFill="1"/>
    <xf numFmtId="44" fontId="32" fillId="0" borderId="0" xfId="2" applyFont="1"/>
    <xf numFmtId="164" fontId="23" fillId="0" borderId="2" xfId="1" applyNumberFormat="1" applyFont="1" applyBorder="1" applyAlignment="1">
      <alignment horizontal="left" indent="3"/>
    </xf>
    <xf numFmtId="44" fontId="1" fillId="16" borderId="2" xfId="2" applyFont="1" applyFill="1" applyBorder="1"/>
    <xf numFmtId="164" fontId="8" fillId="0" borderId="0" xfId="1" applyNumberFormat="1" applyFont="1" applyAlignment="1">
      <alignment horizontal="center"/>
    </xf>
    <xf numFmtId="164" fontId="8" fillId="0" borderId="2" xfId="1" applyNumberFormat="1" applyFont="1" applyBorder="1" applyAlignment="1">
      <alignment horizontal="left" indent="3"/>
    </xf>
    <xf numFmtId="44" fontId="6" fillId="16" borderId="2" xfId="2" applyFont="1" applyFill="1" applyBorder="1"/>
    <xf numFmtId="164" fontId="23" fillId="0" borderId="3" xfId="1" applyNumberFormat="1" applyFont="1" applyBorder="1"/>
    <xf numFmtId="44" fontId="23" fillId="0" borderId="3" xfId="2" applyFont="1" applyBorder="1"/>
    <xf numFmtId="164" fontId="23" fillId="0" borderId="3" xfId="1" applyNumberFormat="1" applyFont="1" applyBorder="1" applyAlignment="1">
      <alignment horizontal="left" indent="3"/>
    </xf>
    <xf numFmtId="164" fontId="1" fillId="0" borderId="10" xfId="1" applyNumberFormat="1" applyFont="1" applyBorder="1" applyAlignment="1">
      <alignment horizontal="left" indent="3"/>
    </xf>
    <xf numFmtId="44" fontId="3" fillId="0" borderId="3" xfId="2" applyFont="1" applyBorder="1"/>
    <xf numFmtId="164" fontId="8" fillId="0" borderId="0" xfId="1" applyNumberFormat="1" applyFont="1" applyFill="1" applyAlignment="1">
      <alignment horizontal="left"/>
    </xf>
    <xf numFmtId="164" fontId="8" fillId="0" borderId="3" xfId="1" applyNumberFormat="1" applyFont="1" applyBorder="1"/>
    <xf numFmtId="164" fontId="23" fillId="0" borderId="3" xfId="1" applyNumberFormat="1" applyFont="1" applyBorder="1" applyAlignment="1"/>
    <xf numFmtId="44" fontId="3" fillId="0" borderId="10" xfId="2" applyFont="1" applyBorder="1"/>
    <xf numFmtId="164" fontId="32" fillId="0" borderId="10" xfId="1" applyNumberFormat="1" applyFont="1" applyBorder="1"/>
    <xf numFmtId="164" fontId="23" fillId="0" borderId="10" xfId="1" applyNumberFormat="1" applyFont="1" applyBorder="1" applyAlignment="1">
      <alignment horizontal="left" indent="3"/>
    </xf>
    <xf numFmtId="164" fontId="23" fillId="0" borderId="0" xfId="1" applyNumberFormat="1" applyFont="1" applyAlignment="1"/>
    <xf numFmtId="164" fontId="3" fillId="0" borderId="0" xfId="1" applyNumberFormat="1" applyFont="1" applyAlignment="1">
      <alignment horizontal="left"/>
    </xf>
    <xf numFmtId="44" fontId="23" fillId="0" borderId="2" xfId="2" applyFont="1" applyBorder="1"/>
    <xf numFmtId="164" fontId="1" fillId="0" borderId="2" xfId="1" applyNumberFormat="1" applyFont="1" applyBorder="1" applyAlignment="1">
      <alignment horizontal="left" indent="3"/>
    </xf>
    <xf numFmtId="164" fontId="23" fillId="0" borderId="2" xfId="1" applyNumberFormat="1" applyFont="1" applyBorder="1" applyAlignment="1"/>
    <xf numFmtId="164" fontId="32" fillId="0" borderId="0" xfId="1" applyNumberFormat="1" applyFont="1" applyAlignment="1">
      <alignment horizontal="left" indent="1"/>
    </xf>
    <xf numFmtId="43" fontId="32" fillId="0" borderId="3" xfId="1" applyNumberFormat="1" applyFont="1" applyBorder="1"/>
    <xf numFmtId="43" fontId="23" fillId="0" borderId="3" xfId="1" applyNumberFormat="1" applyFont="1" applyBorder="1"/>
    <xf numFmtId="164" fontId="23" fillId="0" borderId="0" xfId="1" applyNumberFormat="1" applyFont="1" applyFill="1" applyAlignment="1">
      <alignment horizontal="left"/>
    </xf>
    <xf numFmtId="44" fontId="8" fillId="0" borderId="3" xfId="2" applyFont="1" applyBorder="1"/>
    <xf numFmtId="164" fontId="32" fillId="0" borderId="3" xfId="1" applyNumberFormat="1" applyFont="1" applyBorder="1"/>
    <xf numFmtId="164" fontId="3" fillId="0" borderId="3" xfId="1" applyNumberFormat="1" applyFont="1" applyBorder="1"/>
    <xf numFmtId="164" fontId="3" fillId="0" borderId="0" xfId="1" applyNumberFormat="1" applyFont="1" applyFill="1" applyAlignment="1">
      <alignment horizontal="left"/>
    </xf>
    <xf numFmtId="164" fontId="2" fillId="0" borderId="3" xfId="1" applyNumberFormat="1" applyFont="1" applyBorder="1"/>
    <xf numFmtId="164" fontId="32" fillId="0" borderId="3" xfId="1" applyNumberFormat="1" applyFont="1" applyBorder="1" applyAlignment="1">
      <alignment horizontal="right"/>
    </xf>
    <xf numFmtId="43" fontId="32" fillId="0" borderId="10" xfId="1" applyNumberFormat="1" applyFont="1" applyBorder="1"/>
    <xf numFmtId="44" fontId="3" fillId="10" borderId="0" xfId="2" applyFont="1" applyFill="1"/>
    <xf numFmtId="44" fontId="3" fillId="13" borderId="0" xfId="2" applyFont="1" applyFill="1"/>
    <xf numFmtId="164" fontId="23" fillId="14" borderId="0" xfId="1" applyNumberFormat="1" applyFont="1" applyFill="1"/>
    <xf numFmtId="44" fontId="2" fillId="17" borderId="0" xfId="2" applyFont="1" applyFill="1"/>
    <xf numFmtId="44" fontId="3" fillId="17" borderId="0" xfId="2" applyFont="1" applyFill="1"/>
    <xf numFmtId="44" fontId="32" fillId="18" borderId="0" xfId="2" applyFont="1" applyFill="1"/>
    <xf numFmtId="44" fontId="2" fillId="16" borderId="0" xfId="2" applyFont="1" applyFill="1"/>
    <xf numFmtId="44" fontId="3" fillId="16" borderId="0" xfId="2" applyFont="1" applyFill="1"/>
    <xf numFmtId="44" fontId="32" fillId="16" borderId="0" xfId="2" applyFont="1" applyFill="1"/>
    <xf numFmtId="164" fontId="23" fillId="0" borderId="0" xfId="1" applyNumberFormat="1" applyFont="1" applyFill="1"/>
    <xf numFmtId="44" fontId="35" fillId="0" borderId="3" xfId="2" applyFont="1" applyBorder="1"/>
    <xf numFmtId="44" fontId="35" fillId="0" borderId="0" xfId="2" applyFont="1" applyBorder="1"/>
    <xf numFmtId="43" fontId="2" fillId="9" borderId="3" xfId="1" applyNumberFormat="1" applyFont="1" applyFill="1" applyBorder="1"/>
    <xf numFmtId="164" fontId="29" fillId="0" borderId="0" xfId="1" applyNumberFormat="1" applyFont="1" applyFill="1"/>
    <xf numFmtId="43" fontId="2" fillId="0" borderId="0" xfId="1" applyNumberFormat="1" applyFont="1" applyFill="1" applyAlignment="1">
      <alignment horizontal="left"/>
    </xf>
    <xf numFmtId="164" fontId="46" fillId="0" borderId="0" xfId="1" applyNumberFormat="1" applyFont="1" applyAlignment="1">
      <alignment horizontal="left" wrapText="1"/>
    </xf>
    <xf numFmtId="43" fontId="32" fillId="0" borderId="0" xfId="1" applyNumberFormat="1" applyFont="1" applyAlignment="1">
      <alignment horizontal="left"/>
    </xf>
    <xf numFmtId="164" fontId="29" fillId="0" borderId="0" xfId="1" applyNumberFormat="1" applyFont="1"/>
    <xf numFmtId="43" fontId="2" fillId="0" borderId="0" xfId="1" applyNumberFormat="1" applyFont="1" applyAlignment="1">
      <alignment horizontal="left"/>
    </xf>
    <xf numFmtId="43" fontId="2" fillId="20" borderId="3" xfId="1" applyNumberFormat="1" applyFont="1" applyFill="1" applyBorder="1" applyAlignment="1">
      <alignment horizontal="left"/>
    </xf>
    <xf numFmtId="164" fontId="35" fillId="0" borderId="0" xfId="1" applyNumberFormat="1" applyFont="1" applyBorder="1"/>
    <xf numFmtId="164" fontId="32" fillId="0" borderId="0" xfId="1" applyNumberFormat="1" applyFont="1" applyBorder="1"/>
    <xf numFmtId="43" fontId="3" fillId="0" borderId="10" xfId="1" applyNumberFormat="1" applyFont="1" applyBorder="1" applyAlignment="1">
      <alignment horizontal="left"/>
    </xf>
    <xf numFmtId="43" fontId="32" fillId="0" borderId="0" xfId="1" applyFont="1"/>
    <xf numFmtId="49" fontId="3" fillId="14" borderId="0" xfId="0" applyNumberFormat="1" applyFont="1" applyFill="1" applyAlignment="1">
      <alignment horizontal="right"/>
    </xf>
    <xf numFmtId="49" fontId="1" fillId="14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center"/>
    </xf>
    <xf numFmtId="43" fontId="2" fillId="0" borderId="0" xfId="1" applyNumberFormat="1" applyFont="1" applyBorder="1" applyAlignment="1">
      <alignment horizontal="left"/>
    </xf>
    <xf numFmtId="0" fontId="32" fillId="0" borderId="0" xfId="1" applyNumberFormat="1" applyFont="1"/>
    <xf numFmtId="15" fontId="32" fillId="0" borderId="0" xfId="1" applyNumberFormat="1" applyFont="1"/>
    <xf numFmtId="49" fontId="3" fillId="5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164" fontId="8" fillId="0" borderId="1" xfId="1" applyNumberFormat="1" applyFont="1" applyBorder="1" applyAlignment="1">
      <alignment horizontal="center" vertical="top"/>
    </xf>
    <xf numFmtId="164" fontId="35" fillId="0" borderId="1" xfId="1" applyNumberFormat="1" applyFont="1" applyBorder="1"/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3" fontId="2" fillId="0" borderId="0" xfId="1" applyFont="1"/>
    <xf numFmtId="164" fontId="23" fillId="0" borderId="0" xfId="1" applyNumberFormat="1" applyFont="1" applyAlignment="1">
      <alignment horizontal="right"/>
    </xf>
    <xf numFmtId="43" fontId="2" fillId="0" borderId="0" xfId="1" applyFont="1" applyFill="1"/>
    <xf numFmtId="43" fontId="2" fillId="0" borderId="10" xfId="1" applyNumberFormat="1" applyFont="1" applyBorder="1" applyAlignment="1">
      <alignment vertical="center"/>
    </xf>
    <xf numFmtId="164" fontId="2" fillId="0" borderId="0" xfId="1" applyNumberFormat="1" applyFont="1" applyBorder="1"/>
    <xf numFmtId="43" fontId="2" fillId="0" borderId="0" xfId="1" applyNumberFormat="1" applyFont="1" applyBorder="1"/>
    <xf numFmtId="170" fontId="35" fillId="0" borderId="0" xfId="1" applyNumberFormat="1" applyFont="1"/>
    <xf numFmtId="170" fontId="32" fillId="0" borderId="0" xfId="1" applyNumberFormat="1" applyFont="1"/>
    <xf numFmtId="0" fontId="1" fillId="0" borderId="0" xfId="3"/>
    <xf numFmtId="0" fontId="1" fillId="0" borderId="0" xfId="3" applyFill="1"/>
    <xf numFmtId="164" fontId="32" fillId="0" borderId="0" xfId="4" applyNumberFormat="1" applyFont="1" applyFill="1"/>
    <xf numFmtId="0" fontId="1" fillId="0" borderId="0" xfId="3" applyFill="1" applyAlignment="1">
      <alignment horizontal="center"/>
    </xf>
    <xf numFmtId="44" fontId="1" fillId="0" borderId="0" xfId="3" applyNumberFormat="1" applyFill="1"/>
    <xf numFmtId="0" fontId="1" fillId="0" borderId="0" xfId="3" applyFont="1" applyFill="1"/>
    <xf numFmtId="0" fontId="1" fillId="0" borderId="0" xfId="3" applyFont="1" applyFill="1" applyBorder="1"/>
    <xf numFmtId="0" fontId="22" fillId="0" borderId="0" xfId="3" applyFont="1" applyFill="1" applyAlignment="1">
      <alignment horizontal="center"/>
    </xf>
    <xf numFmtId="0" fontId="22" fillId="0" borderId="9" xfId="3" applyFont="1" applyFill="1" applyBorder="1" applyAlignment="1">
      <alignment horizontal="center"/>
    </xf>
    <xf numFmtId="0" fontId="3" fillId="0" borderId="0" xfId="3" applyFont="1" applyFill="1" applyAlignment="1">
      <alignment horizontal="right"/>
    </xf>
    <xf numFmtId="44" fontId="3" fillId="0" borderId="0" xfId="3" applyNumberFormat="1" applyFont="1" applyFill="1" applyAlignment="1">
      <alignment horizontal="right"/>
    </xf>
    <xf numFmtId="164" fontId="1" fillId="0" borderId="0" xfId="4" applyNumberFormat="1" applyFont="1" applyFill="1"/>
    <xf numFmtId="44" fontId="3" fillId="0" borderId="0" xfId="3" applyNumberFormat="1" applyFont="1" applyFill="1"/>
    <xf numFmtId="44" fontId="3" fillId="0" borderId="4" xfId="3" applyNumberFormat="1" applyFont="1" applyFill="1" applyBorder="1"/>
    <xf numFmtId="0" fontId="3" fillId="0" borderId="0" xfId="3" applyFont="1" applyFill="1"/>
    <xf numFmtId="49" fontId="34" fillId="0" borderId="4" xfId="3" applyNumberFormat="1" applyFont="1" applyFill="1" applyBorder="1" applyAlignment="1">
      <alignment horizontal="center"/>
    </xf>
    <xf numFmtId="49" fontId="34" fillId="0" borderId="0" xfId="3" applyNumberFormat="1" applyFont="1" applyFill="1" applyAlignment="1">
      <alignment horizontal="center"/>
    </xf>
    <xf numFmtId="44" fontId="22" fillId="0" borderId="4" xfId="3" applyNumberFormat="1" applyFont="1" applyFill="1" applyBorder="1" applyAlignment="1">
      <alignment horizontal="center"/>
    </xf>
    <xf numFmtId="44" fontId="3" fillId="0" borderId="7" xfId="3" applyNumberFormat="1" applyFont="1" applyFill="1" applyBorder="1" applyAlignment="1">
      <alignment horizontal="left"/>
    </xf>
    <xf numFmtId="44" fontId="3" fillId="0" borderId="0" xfId="3" applyNumberFormat="1" applyFont="1" applyFill="1" applyAlignment="1">
      <alignment horizontal="center"/>
    </xf>
    <xf numFmtId="0" fontId="3" fillId="0" borderId="4" xfId="3" applyFont="1" applyFill="1" applyBorder="1"/>
    <xf numFmtId="0" fontId="3" fillId="0" borderId="7" xfId="3" applyFont="1" applyFill="1" applyBorder="1"/>
    <xf numFmtId="44" fontId="2" fillId="0" borderId="3" xfId="3" applyNumberFormat="1" applyFont="1" applyFill="1" applyBorder="1"/>
    <xf numFmtId="44" fontId="2" fillId="0" borderId="8" xfId="3" applyNumberFormat="1" applyFont="1" applyFill="1" applyBorder="1"/>
    <xf numFmtId="0" fontId="8" fillId="0" borderId="3" xfId="3" applyFont="1" applyFill="1" applyBorder="1"/>
    <xf numFmtId="0" fontId="2" fillId="0" borderId="3" xfId="3" applyFont="1" applyFill="1" applyBorder="1" applyAlignment="1">
      <alignment horizontal="left" indent="1"/>
    </xf>
    <xf numFmtId="44" fontId="3" fillId="0" borderId="0" xfId="5" applyFont="1" applyFill="1"/>
    <xf numFmtId="44" fontId="3" fillId="0" borderId="4" xfId="5" applyFont="1" applyFill="1" applyBorder="1"/>
    <xf numFmtId="0" fontId="3" fillId="0" borderId="2" xfId="3" applyFont="1" applyFill="1" applyBorder="1"/>
    <xf numFmtId="0" fontId="3" fillId="0" borderId="2" xfId="3" applyFont="1" applyFill="1" applyBorder="1" applyAlignment="1"/>
    <xf numFmtId="44" fontId="3" fillId="0" borderId="0" xfId="5" applyFont="1" applyFill="1" applyBorder="1"/>
    <xf numFmtId="0" fontId="3" fillId="0" borderId="0" xfId="5" applyNumberFormat="1" applyFont="1" applyFill="1" applyBorder="1" applyAlignment="1">
      <alignment horizontal="left"/>
    </xf>
    <xf numFmtId="44" fontId="3" fillId="0" borderId="7" xfId="5" applyFont="1" applyFill="1" applyBorder="1"/>
    <xf numFmtId="0" fontId="3" fillId="0" borderId="0" xfId="3" applyFont="1" applyFill="1" applyAlignment="1"/>
    <xf numFmtId="44" fontId="3" fillId="0" borderId="6" xfId="5" applyFont="1" applyFill="1" applyBorder="1"/>
    <xf numFmtId="44" fontId="3" fillId="0" borderId="2" xfId="3" applyNumberFormat="1" applyFont="1" applyFill="1" applyBorder="1"/>
    <xf numFmtId="44" fontId="3" fillId="0" borderId="5" xfId="5" applyFont="1" applyFill="1" applyBorder="1"/>
    <xf numFmtId="44" fontId="3" fillId="0" borderId="2" xfId="5" applyFont="1" applyFill="1" applyBorder="1"/>
    <xf numFmtId="44" fontId="3" fillId="0" borderId="0" xfId="3" applyNumberFormat="1" applyFont="1" applyFill="1" applyBorder="1" applyAlignment="1">
      <alignment horizontal="center"/>
    </xf>
    <xf numFmtId="44" fontId="3" fillId="0" borderId="4" xfId="3" applyNumberFormat="1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2" fillId="0" borderId="2" xfId="3" applyFont="1" applyFill="1" applyBorder="1"/>
    <xf numFmtId="0" fontId="34" fillId="0" borderId="0" xfId="3" applyFont="1" applyFill="1" applyBorder="1" applyAlignment="1">
      <alignment horizontal="center"/>
    </xf>
    <xf numFmtId="0" fontId="34" fillId="0" borderId="4" xfId="3" applyFont="1" applyFill="1" applyBorder="1" applyAlignment="1">
      <alignment horizontal="center"/>
    </xf>
    <xf numFmtId="0" fontId="8" fillId="0" borderId="0" xfId="3" applyFont="1" applyFill="1" applyBorder="1"/>
    <xf numFmtId="0" fontId="1" fillId="0" borderId="2" xfId="3" applyFill="1" applyBorder="1" applyAlignment="1">
      <alignment horizontal="center"/>
    </xf>
    <xf numFmtId="0" fontId="1" fillId="0" borderId="1" xfId="3" applyFill="1" applyBorder="1" applyAlignment="1">
      <alignment horizontal="center"/>
    </xf>
    <xf numFmtId="169" fontId="33" fillId="0" borderId="0" xfId="3" applyNumberFormat="1" applyFont="1" applyFill="1" applyBorder="1" applyAlignment="1"/>
    <xf numFmtId="169" fontId="33" fillId="0" borderId="0" xfId="3" applyNumberFormat="1" applyFont="1" applyFill="1" applyBorder="1" applyAlignment="1">
      <alignment horizontal="left"/>
    </xf>
    <xf numFmtId="0" fontId="33" fillId="0" borderId="0" xfId="3" applyFont="1" applyFill="1" applyAlignment="1"/>
    <xf numFmtId="0" fontId="8" fillId="0" borderId="0" xfId="3" applyFont="1" applyFill="1" applyAlignment="1">
      <alignment horizontal="center" vertical="center"/>
    </xf>
    <xf numFmtId="0" fontId="33" fillId="0" borderId="0" xfId="3" applyFont="1" applyFill="1" applyAlignment="1">
      <alignment horizontal="right"/>
    </xf>
    <xf numFmtId="169" fontId="22" fillId="0" borderId="0" xfId="1" applyNumberFormat="1" applyFont="1" applyBorder="1" applyAlignment="1">
      <alignment horizontal="center"/>
    </xf>
    <xf numFmtId="169" fontId="38" fillId="0" borderId="0" xfId="1" applyNumberFormat="1" applyFont="1" applyBorder="1" applyAlignment="1">
      <alignment horizontal="left"/>
    </xf>
    <xf numFmtId="164" fontId="33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49" fontId="8" fillId="2" borderId="2" xfId="1" applyNumberFormat="1" applyFont="1" applyFill="1" applyBorder="1" applyAlignment="1">
      <alignment horizontal="left"/>
    </xf>
    <xf numFmtId="164" fontId="37" fillId="0" borderId="0" xfId="1" applyNumberFormat="1" applyFont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1" fillId="0" borderId="0" xfId="0" applyNumberFormat="1" applyFont="1" applyAlignment="1"/>
    <xf numFmtId="169" fontId="4" fillId="0" borderId="0" xfId="0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left"/>
    </xf>
    <xf numFmtId="49" fontId="1" fillId="0" borderId="0" xfId="0" applyNumberFormat="1" applyFont="1" applyFill="1" applyBorder="1" applyAlignment="1"/>
    <xf numFmtId="164" fontId="7" fillId="0" borderId="0" xfId="1" applyNumberFormat="1" applyFont="1" applyAlignment="1">
      <alignment horizontal="left"/>
    </xf>
    <xf numFmtId="0" fontId="1" fillId="0" borderId="2" xfId="3" applyFill="1" applyBorder="1" applyAlignment="1">
      <alignment horizontal="center"/>
    </xf>
  </cellXfs>
  <cellStyles count="6">
    <cellStyle name="Comma" xfId="1" builtinId="3"/>
    <cellStyle name="Comma 3" xfId="4"/>
    <cellStyle name="Currency" xfId="2" builtinId="4"/>
    <cellStyle name="Currency 3" xfId="5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G-180788%20CNGC%20Monthly%20PGA%20Rpt%20October%202018,%2011.29.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Microsoft%20Office/Office14/Library/GSI_SSJDE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ah.volk/Application%20Data/Microsoft/Excel/11-2010%20Core%20Billed%20Therm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8\10-2018\Core%20GC%20Allocations%201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01253"/>
      <sheetName val="DG 01254"/>
      <sheetName val="DG 01286"/>
      <sheetName val="DEFERRALS"/>
      <sheetName val="RA 1860.20479"/>
      <sheetName val="RA 20430"/>
      <sheetName val="RA 20431"/>
      <sheetName val="RA 20444"/>
      <sheetName val="RA 20449"/>
      <sheetName val="RA 20477"/>
      <sheetName val="RA 1862.20478"/>
      <sheetName val="RA 1860.20481"/>
      <sheetName val="FERC Interest Rates"/>
      <sheetName val="Therm S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11-2013 Rates"/>
      <sheetName val="WA 11-2014 Rates"/>
      <sheetName val="OR 11-2013 Rates"/>
      <sheetName val="JE"/>
      <sheetName val="WA Deferrals"/>
      <sheetName val="OR Old Rates"/>
      <sheetName val="OR Deferrals"/>
      <sheetName val="WA Rates Old Rates"/>
      <sheetName val="WA Rates"/>
      <sheetName val="OR Rates 2015"/>
      <sheetName val="OR Deferrals Incl true-up 2"/>
      <sheetName val="OR Rates Old Rates"/>
      <sheetName val="OR Rates"/>
      <sheetName val="Core Cost Incurre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48">
          <cell r="K48">
            <v>4615134.6999999993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2">
          <cell r="B2">
            <v>43398</v>
          </cell>
        </row>
        <row r="42">
          <cell r="K42">
            <v>5216132.09</v>
          </cell>
        </row>
        <row r="43">
          <cell r="K43">
            <v>3766742.8899999992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71"/>
  <sheetViews>
    <sheetView showGridLines="0" tabSelected="1" zoomScaleNormal="100" zoomScaleSheetLayoutView="100" workbookViewId="0">
      <pane xSplit="6" topLeftCell="G1" activePane="topRight" state="frozen"/>
      <selection activeCell="B6" sqref="B6"/>
      <selection pane="topRight" activeCell="F34" sqref="F34"/>
    </sheetView>
  </sheetViews>
  <sheetFormatPr defaultColWidth="9.140625" defaultRowHeight="14.1" customHeight="1" x14ac:dyDescent="0.25"/>
  <cols>
    <col min="1" max="1" width="1.7109375" style="76" customWidth="1"/>
    <col min="2" max="2" width="3.42578125" style="102" customWidth="1"/>
    <col min="3" max="3" width="5.5703125" style="102" customWidth="1"/>
    <col min="4" max="4" width="6.42578125" style="102" customWidth="1"/>
    <col min="5" max="5" width="7.5703125" style="116" customWidth="1"/>
    <col min="6" max="6" width="29.5703125" style="76" customWidth="1"/>
    <col min="7" max="7" width="11.140625" style="76" bestFit="1" customWidth="1"/>
    <col min="8" max="8" width="14.5703125" style="105" bestFit="1" customWidth="1"/>
    <col min="9" max="9" width="2.7109375" style="76" customWidth="1"/>
    <col min="10" max="10" width="12.7109375" style="76" bestFit="1" customWidth="1"/>
    <col min="11" max="11" width="16.85546875" style="105" bestFit="1" customWidth="1"/>
    <col min="12" max="12" width="2.7109375" style="76" customWidth="1"/>
    <col min="13" max="13" width="13.42578125" style="76" bestFit="1" customWidth="1"/>
    <col min="14" max="14" width="16.28515625" style="105" customWidth="1"/>
    <col min="15" max="15" width="3" style="76" customWidth="1"/>
    <col min="16" max="16" width="12.85546875" style="112" bestFit="1" customWidth="1"/>
    <col min="17" max="17" width="17.42578125" style="112" customWidth="1"/>
    <col min="18" max="18" width="3.7109375" style="112" customWidth="1"/>
    <col min="19" max="19" width="12.85546875" style="112" bestFit="1" customWidth="1"/>
    <col min="20" max="20" width="16.85546875" style="112" customWidth="1"/>
    <col min="21" max="21" width="3.5703125" style="76" customWidth="1"/>
    <col min="22" max="22" width="9.5703125" style="76" bestFit="1" customWidth="1"/>
    <col min="23" max="23" width="16" style="76" bestFit="1" customWidth="1"/>
    <col min="24" max="24" width="1.7109375" style="76" hidden="1" customWidth="1"/>
    <col min="25" max="25" width="10" style="76" bestFit="1" customWidth="1"/>
    <col min="26" max="26" width="14.7109375" style="76" bestFit="1" customWidth="1"/>
    <col min="27" max="27" width="1.7109375" style="76" hidden="1" customWidth="1"/>
    <col min="28" max="29" width="15.7109375" style="76" hidden="1" customWidth="1"/>
    <col min="30" max="30" width="2.140625" style="76" customWidth="1"/>
    <col min="31" max="31" width="11.42578125" style="76" bestFit="1" customWidth="1"/>
    <col min="32" max="32" width="10.7109375" style="76" bestFit="1" customWidth="1"/>
    <col min="33" max="33" width="13.7109375" style="76" bestFit="1" customWidth="1"/>
    <col min="34" max="16384" width="9.140625" style="76"/>
  </cols>
  <sheetData>
    <row r="1" spans="2:33" ht="17.45" customHeight="1" x14ac:dyDescent="0.25">
      <c r="B1" s="101" t="s">
        <v>134</v>
      </c>
      <c r="D1" s="103"/>
      <c r="E1" s="103"/>
      <c r="F1" s="103"/>
      <c r="G1" s="104"/>
      <c r="I1" s="106"/>
      <c r="K1" s="107"/>
      <c r="O1" s="106"/>
      <c r="P1" s="108"/>
      <c r="Q1" s="109"/>
      <c r="R1" s="108"/>
      <c r="S1" s="108"/>
      <c r="T1" s="108"/>
      <c r="U1" s="106"/>
      <c r="W1" s="326">
        <f>B2-31</f>
        <v>43367</v>
      </c>
      <c r="X1" s="326"/>
      <c r="Y1" s="326"/>
    </row>
    <row r="2" spans="2:33" ht="15" customHeight="1" x14ac:dyDescent="0.25">
      <c r="B2" s="327">
        <v>43398</v>
      </c>
      <c r="C2" s="327"/>
      <c r="D2" s="327"/>
      <c r="E2" s="327"/>
      <c r="G2" s="328" t="s">
        <v>85</v>
      </c>
      <c r="H2" s="328"/>
      <c r="I2" s="106"/>
      <c r="J2" s="329" t="s">
        <v>135</v>
      </c>
      <c r="K2" s="329"/>
      <c r="L2" s="329"/>
      <c r="M2" s="329"/>
      <c r="N2" s="329"/>
      <c r="O2" s="106"/>
      <c r="P2" s="330" t="s">
        <v>136</v>
      </c>
      <c r="Q2" s="330"/>
      <c r="R2" s="330"/>
      <c r="S2" s="330"/>
      <c r="T2" s="330"/>
      <c r="U2" s="106"/>
      <c r="W2" s="331" t="s">
        <v>137</v>
      </c>
      <c r="X2" s="331"/>
      <c r="Y2" s="331"/>
    </row>
    <row r="3" spans="2:33" ht="15" x14ac:dyDescent="0.25">
      <c r="E3" s="110"/>
      <c r="H3" s="111"/>
      <c r="I3" s="106"/>
      <c r="K3" s="107"/>
      <c r="O3" s="106"/>
      <c r="U3" s="113"/>
      <c r="W3" s="326">
        <f>B2</f>
        <v>43398</v>
      </c>
      <c r="X3" s="326"/>
      <c r="Y3" s="326"/>
      <c r="Z3" s="114"/>
      <c r="AB3" s="333" t="s">
        <v>138</v>
      </c>
      <c r="AC3" s="333"/>
      <c r="AD3" s="115"/>
    </row>
    <row r="4" spans="2:33" ht="16.5" customHeight="1" x14ac:dyDescent="0.25">
      <c r="F4" s="117" t="s">
        <v>139</v>
      </c>
      <c r="I4" s="106"/>
      <c r="J4" s="334" t="s">
        <v>140</v>
      </c>
      <c r="K4" s="334"/>
      <c r="L4" s="118"/>
      <c r="M4" s="334" t="s">
        <v>141</v>
      </c>
      <c r="N4" s="334"/>
      <c r="O4" s="119"/>
      <c r="P4" s="335" t="s">
        <v>140</v>
      </c>
      <c r="Q4" s="335"/>
      <c r="R4" s="120"/>
      <c r="S4" s="335" t="s">
        <v>141</v>
      </c>
      <c r="T4" s="335"/>
      <c r="U4" s="119"/>
      <c r="V4" s="334" t="s">
        <v>140</v>
      </c>
      <c r="W4" s="334"/>
      <c r="X4" s="118"/>
      <c r="Y4" s="334" t="s">
        <v>141</v>
      </c>
      <c r="Z4" s="334"/>
      <c r="AB4" s="121" t="s">
        <v>91</v>
      </c>
      <c r="AC4" s="121" t="s">
        <v>95</v>
      </c>
      <c r="AD4" s="121"/>
    </row>
    <row r="5" spans="2:33" s="58" customFormat="1" ht="15.75" customHeight="1" x14ac:dyDescent="0.2">
      <c r="B5" s="332" t="s">
        <v>142</v>
      </c>
      <c r="C5" s="332"/>
      <c r="D5" s="332"/>
      <c r="E5" s="332"/>
      <c r="F5" s="122"/>
      <c r="G5" s="123" t="s">
        <v>108</v>
      </c>
      <c r="H5" s="124" t="s">
        <v>143</v>
      </c>
      <c r="I5" s="106"/>
      <c r="J5" s="125" t="s">
        <v>108</v>
      </c>
      <c r="K5" s="126" t="s">
        <v>143</v>
      </c>
      <c r="L5" s="127"/>
      <c r="M5" s="125" t="s">
        <v>108</v>
      </c>
      <c r="N5" s="126" t="s">
        <v>143</v>
      </c>
      <c r="O5" s="106"/>
      <c r="P5" s="128" t="s">
        <v>108</v>
      </c>
      <c r="Q5" s="129" t="s">
        <v>143</v>
      </c>
      <c r="R5" s="127"/>
      <c r="S5" s="127" t="s">
        <v>108</v>
      </c>
      <c r="T5" s="130" t="s">
        <v>143</v>
      </c>
      <c r="U5" s="106"/>
      <c r="V5" s="125" t="s">
        <v>144</v>
      </c>
      <c r="W5" s="130" t="s">
        <v>143</v>
      </c>
      <c r="X5" s="127"/>
      <c r="Y5" s="131" t="s">
        <v>144</v>
      </c>
      <c r="Z5" s="130" t="s">
        <v>143</v>
      </c>
      <c r="AB5" s="132" t="s">
        <v>143</v>
      </c>
      <c r="AC5" s="132" t="s">
        <v>143</v>
      </c>
      <c r="AD5" s="132"/>
    </row>
    <row r="6" spans="2:33" ht="14.25" customHeight="1" x14ac:dyDescent="0.25">
      <c r="B6" s="133" t="s">
        <v>145</v>
      </c>
      <c r="C6" s="134">
        <v>6011</v>
      </c>
      <c r="D6" s="134">
        <v>28040</v>
      </c>
      <c r="E6" s="135">
        <v>671010</v>
      </c>
      <c r="F6" s="58" t="s">
        <v>146</v>
      </c>
      <c r="G6" s="136" t="s">
        <v>147</v>
      </c>
      <c r="H6" s="137">
        <f>K6+N6</f>
        <v>0</v>
      </c>
      <c r="I6" s="106"/>
      <c r="J6" s="138"/>
      <c r="K6" s="139">
        <f>+Q6+W6</f>
        <v>0</v>
      </c>
      <c r="L6" s="140" t="s">
        <v>148</v>
      </c>
      <c r="M6" s="138"/>
      <c r="N6" s="139">
        <f>+T6+Z6</f>
        <v>0</v>
      </c>
      <c r="O6" s="106" t="s">
        <v>148</v>
      </c>
      <c r="P6" s="141"/>
      <c r="Q6" s="142"/>
      <c r="R6" s="38"/>
      <c r="S6" s="141"/>
      <c r="T6" s="142"/>
      <c r="U6" s="106"/>
      <c r="V6" s="143"/>
      <c r="W6" s="144"/>
      <c r="Y6" s="104"/>
      <c r="Z6" s="144"/>
      <c r="AE6" s="145">
        <v>671010</v>
      </c>
    </row>
    <row r="7" spans="2:33" ht="14.25" customHeight="1" x14ac:dyDescent="0.25">
      <c r="B7" s="133" t="s">
        <v>145</v>
      </c>
      <c r="C7" s="134">
        <v>6011</v>
      </c>
      <c r="D7" s="134">
        <v>28040</v>
      </c>
      <c r="E7" s="135">
        <v>671030</v>
      </c>
      <c r="F7" s="58" t="s">
        <v>149</v>
      </c>
      <c r="G7" s="136" t="s">
        <v>147</v>
      </c>
      <c r="H7" s="137">
        <f t="shared" ref="H7:H13" si="0">+K7+N7</f>
        <v>352893.98</v>
      </c>
      <c r="I7" s="106"/>
      <c r="J7" s="138"/>
      <c r="K7" s="139">
        <f>+Q7+W7</f>
        <v>205307.05</v>
      </c>
      <c r="L7" s="140" t="s">
        <v>148</v>
      </c>
      <c r="M7" s="138"/>
      <c r="N7" s="139">
        <f>+T7+Z7</f>
        <v>147586.93</v>
      </c>
      <c r="O7" s="106" t="s">
        <v>148</v>
      </c>
      <c r="P7" s="141"/>
      <c r="Q7" s="142">
        <v>203068.75</v>
      </c>
      <c r="R7" s="38"/>
      <c r="S7" s="141"/>
      <c r="T7" s="142">
        <v>143245.09</v>
      </c>
      <c r="U7" s="106"/>
      <c r="V7" s="146"/>
      <c r="W7" s="142">
        <v>2238.3000000000002</v>
      </c>
      <c r="X7" s="112"/>
      <c r="Y7" s="147"/>
      <c r="Z7" s="142">
        <v>4341.84</v>
      </c>
      <c r="AE7" s="145">
        <v>671030</v>
      </c>
    </row>
    <row r="8" spans="2:33" ht="14.25" customHeight="1" x14ac:dyDescent="0.25">
      <c r="B8" s="133" t="s">
        <v>145</v>
      </c>
      <c r="C8" s="134">
        <v>6011</v>
      </c>
      <c r="D8" s="134">
        <v>28040</v>
      </c>
      <c r="E8" s="135">
        <v>671050</v>
      </c>
      <c r="F8" s="58" t="s">
        <v>150</v>
      </c>
      <c r="G8" s="148">
        <f t="shared" ref="G8:G14" si="1">+J8+M8</f>
        <v>18118140</v>
      </c>
      <c r="H8" s="137">
        <f t="shared" si="0"/>
        <v>4524141.12</v>
      </c>
      <c r="I8" s="106"/>
      <c r="J8" s="149">
        <f>+P8+V8</f>
        <v>14076925</v>
      </c>
      <c r="K8" s="150">
        <f>+Q8+W8</f>
        <v>3693245.42</v>
      </c>
      <c r="L8" s="140" t="s">
        <v>151</v>
      </c>
      <c r="M8" s="58">
        <f>+S8+Y8</f>
        <v>4041215</v>
      </c>
      <c r="N8" s="151">
        <f>+T8+Z8</f>
        <v>830895.7</v>
      </c>
      <c r="O8" s="106" t="s">
        <v>151</v>
      </c>
      <c r="P8" s="152">
        <v>14077950</v>
      </c>
      <c r="Q8" s="153">
        <f>28255+3665229</f>
        <v>3693484</v>
      </c>
      <c r="R8" s="38"/>
      <c r="S8" s="152">
        <v>4040190</v>
      </c>
      <c r="T8" s="153">
        <v>830657.12</v>
      </c>
      <c r="U8" s="106"/>
      <c r="V8" s="154">
        <v>-1025</v>
      </c>
      <c r="W8" s="153">
        <v>-238.58</v>
      </c>
      <c r="X8" s="112"/>
      <c r="Y8" s="155">
        <v>1025</v>
      </c>
      <c r="Z8" s="153">
        <v>238.58</v>
      </c>
      <c r="AB8" s="156">
        <v>0</v>
      </c>
      <c r="AC8" s="156">
        <v>0</v>
      </c>
      <c r="AE8" s="157">
        <v>671050</v>
      </c>
    </row>
    <row r="9" spans="2:33" ht="14.25" customHeight="1" x14ac:dyDescent="0.25">
      <c r="B9" s="133" t="s">
        <v>145</v>
      </c>
      <c r="C9" s="134">
        <v>6011</v>
      </c>
      <c r="D9" s="134">
        <v>28040</v>
      </c>
      <c r="E9" s="135">
        <v>671051</v>
      </c>
      <c r="F9" s="58" t="s">
        <v>152</v>
      </c>
      <c r="G9" s="136" t="s">
        <v>147</v>
      </c>
      <c r="H9" s="137">
        <f t="shared" si="0"/>
        <v>0</v>
      </c>
      <c r="I9" s="106"/>
      <c r="J9" s="158"/>
      <c r="K9" s="151">
        <f t="shared" ref="J9:K14" si="2">+Q9+W9</f>
        <v>0</v>
      </c>
      <c r="L9" s="140" t="s">
        <v>151</v>
      </c>
      <c r="M9" s="159"/>
      <c r="N9" s="151">
        <f>+T9+Z9</f>
        <v>0</v>
      </c>
      <c r="O9" s="106" t="s">
        <v>151</v>
      </c>
      <c r="P9" s="141"/>
      <c r="Q9" s="153"/>
      <c r="R9" s="38"/>
      <c r="S9" s="141"/>
      <c r="T9" s="153"/>
      <c r="U9" s="106"/>
      <c r="V9" s="160"/>
      <c r="W9" s="153"/>
      <c r="X9" s="147"/>
      <c r="Y9" s="161"/>
      <c r="Z9" s="153"/>
      <c r="AE9" s="157">
        <v>671051</v>
      </c>
    </row>
    <row r="10" spans="2:33" ht="14.25" customHeight="1" x14ac:dyDescent="0.25">
      <c r="B10" s="133" t="s">
        <v>145</v>
      </c>
      <c r="C10" s="134">
        <v>6011</v>
      </c>
      <c r="D10" s="134">
        <v>28040</v>
      </c>
      <c r="E10" s="135">
        <v>671070</v>
      </c>
      <c r="F10" s="58" t="s">
        <v>153</v>
      </c>
      <c r="G10" s="148">
        <f t="shared" si="1"/>
        <v>4257330</v>
      </c>
      <c r="H10" s="137">
        <f>+K10+N10</f>
        <v>1532697.13</v>
      </c>
      <c r="I10" s="106"/>
      <c r="J10" s="149">
        <f t="shared" si="2"/>
        <v>3165526</v>
      </c>
      <c r="K10" s="151">
        <f t="shared" si="2"/>
        <v>1130287.0699999998</v>
      </c>
      <c r="L10" s="140" t="s">
        <v>151</v>
      </c>
      <c r="M10" s="58">
        <f>+S10+Y10</f>
        <v>1091804</v>
      </c>
      <c r="N10" s="151">
        <f>+T10+Z10</f>
        <v>402410.06</v>
      </c>
      <c r="O10" s="162" t="s">
        <v>151</v>
      </c>
      <c r="P10" s="152">
        <f>324187+2841339</f>
        <v>3165526</v>
      </c>
      <c r="Q10" s="163">
        <f>510726.61+619560.46</f>
        <v>1130287.0699999998</v>
      </c>
      <c r="R10" s="38"/>
      <c r="S10" s="152">
        <f>121073+970731</f>
        <v>1091804</v>
      </c>
      <c r="T10" s="153">
        <f>190739.95+211670.11</f>
        <v>402410.06</v>
      </c>
      <c r="U10" s="106"/>
      <c r="V10" s="160"/>
      <c r="W10" s="153"/>
      <c r="X10" s="147">
        <v>0</v>
      </c>
      <c r="Y10" s="161"/>
      <c r="Z10" s="153"/>
      <c r="AE10" s="157">
        <v>671070</v>
      </c>
    </row>
    <row r="11" spans="2:33" ht="14.25" customHeight="1" x14ac:dyDescent="0.25">
      <c r="B11" s="164" t="s">
        <v>145</v>
      </c>
      <c r="C11" s="165">
        <v>6011</v>
      </c>
      <c r="D11" s="165">
        <v>28081</v>
      </c>
      <c r="E11" s="166">
        <v>671050</v>
      </c>
      <c r="F11" s="167" t="s">
        <v>154</v>
      </c>
      <c r="G11" s="148">
        <f t="shared" si="1"/>
        <v>1301470</v>
      </c>
      <c r="H11" s="137">
        <f t="shared" si="0"/>
        <v>386988.07</v>
      </c>
      <c r="I11" s="106"/>
      <c r="J11" s="149">
        <f t="shared" si="2"/>
        <v>1141910</v>
      </c>
      <c r="K11" s="151">
        <f t="shared" si="2"/>
        <v>339543.33</v>
      </c>
      <c r="L11" s="140" t="s">
        <v>151</v>
      </c>
      <c r="M11" s="58">
        <f t="shared" ref="M11:N14" si="3">+S11+Y11</f>
        <v>159560</v>
      </c>
      <c r="N11" s="151">
        <f t="shared" si="3"/>
        <v>47444.740000000005</v>
      </c>
      <c r="O11" s="106" t="s">
        <v>151</v>
      </c>
      <c r="P11" s="152">
        <f>664938+476972</f>
        <v>1141910</v>
      </c>
      <c r="Q11" s="168">
        <f>239178.42+100364.91</f>
        <v>339543.33</v>
      </c>
      <c r="R11" s="169">
        <v>-1</v>
      </c>
      <c r="S11" s="152">
        <f>92912+66648</f>
        <v>159560</v>
      </c>
      <c r="T11" s="168">
        <f>33420.65+14024.09</f>
        <v>47444.740000000005</v>
      </c>
      <c r="U11" s="170">
        <v>-4</v>
      </c>
      <c r="V11" s="160"/>
      <c r="W11" s="153"/>
      <c r="X11" s="147"/>
      <c r="Y11" s="161"/>
      <c r="Z11" s="153"/>
      <c r="AE11" s="166">
        <v>671050</v>
      </c>
      <c r="AF11" s="112"/>
    </row>
    <row r="12" spans="2:33" ht="14.25" customHeight="1" x14ac:dyDescent="0.25">
      <c r="B12" s="164" t="s">
        <v>145</v>
      </c>
      <c r="C12" s="165">
        <v>6011</v>
      </c>
      <c r="D12" s="165">
        <v>28082</v>
      </c>
      <c r="E12" s="166">
        <v>671050</v>
      </c>
      <c r="F12" s="167" t="s">
        <v>155</v>
      </c>
      <c r="G12" s="148">
        <f t="shared" si="1"/>
        <v>0</v>
      </c>
      <c r="H12" s="137">
        <f t="shared" si="0"/>
        <v>0</v>
      </c>
      <c r="I12" s="106"/>
      <c r="J12" s="149">
        <f t="shared" si="2"/>
        <v>0</v>
      </c>
      <c r="K12" s="151">
        <f t="shared" si="2"/>
        <v>0</v>
      </c>
      <c r="L12" s="140" t="s">
        <v>151</v>
      </c>
      <c r="M12" s="48">
        <f t="shared" si="3"/>
        <v>0</v>
      </c>
      <c r="N12" s="151">
        <f t="shared" si="3"/>
        <v>0</v>
      </c>
      <c r="O12" s="106" t="s">
        <v>151</v>
      </c>
      <c r="P12" s="152"/>
      <c r="Q12" s="168"/>
      <c r="R12" s="169">
        <v>-2</v>
      </c>
      <c r="S12" s="171"/>
      <c r="T12" s="168"/>
      <c r="U12" s="170"/>
      <c r="V12" s="154"/>
      <c r="W12" s="153"/>
      <c r="X12" s="147"/>
      <c r="Y12" s="161"/>
      <c r="Z12" s="153"/>
      <c r="AE12" s="166">
        <v>671050</v>
      </c>
      <c r="AF12" s="112"/>
      <c r="AG12" s="152"/>
    </row>
    <row r="13" spans="2:33" ht="14.25" customHeight="1" x14ac:dyDescent="0.25">
      <c r="B13" s="164" t="s">
        <v>145</v>
      </c>
      <c r="C13" s="165">
        <v>6011</v>
      </c>
      <c r="D13" s="165">
        <v>28120</v>
      </c>
      <c r="E13" s="166">
        <v>671070</v>
      </c>
      <c r="F13" s="167" t="s">
        <v>156</v>
      </c>
      <c r="G13" s="148">
        <f t="shared" si="1"/>
        <v>-7978</v>
      </c>
      <c r="H13" s="137">
        <f t="shared" si="0"/>
        <v>-2157.84</v>
      </c>
      <c r="I13" s="106"/>
      <c r="J13" s="149">
        <f t="shared" si="2"/>
        <v>-7253</v>
      </c>
      <c r="K13" s="151">
        <f>+Q13+W13</f>
        <v>-1982.73</v>
      </c>
      <c r="L13" s="140" t="s">
        <v>151</v>
      </c>
      <c r="M13" s="58">
        <f t="shared" si="3"/>
        <v>-725</v>
      </c>
      <c r="N13" s="151">
        <f t="shared" si="3"/>
        <v>-175.11</v>
      </c>
      <c r="O13" s="106" t="s">
        <v>151</v>
      </c>
      <c r="P13" s="152">
        <v>-7253</v>
      </c>
      <c r="Q13" s="168">
        <v>-1982.73</v>
      </c>
      <c r="R13" s="169">
        <v>-3</v>
      </c>
      <c r="S13" s="172">
        <v>-725</v>
      </c>
      <c r="T13" s="168">
        <v>-175.11</v>
      </c>
      <c r="U13" s="170">
        <v>-5</v>
      </c>
      <c r="V13" s="160"/>
      <c r="W13" s="153"/>
      <c r="X13" s="147"/>
      <c r="Y13" s="161">
        <v>0</v>
      </c>
      <c r="Z13" s="153"/>
      <c r="AE13" s="166">
        <v>671070</v>
      </c>
    </row>
    <row r="14" spans="2:33" ht="14.25" customHeight="1" x14ac:dyDescent="0.25">
      <c r="B14" s="133" t="s">
        <v>145</v>
      </c>
      <c r="C14" s="134">
        <v>6011</v>
      </c>
      <c r="D14" s="134">
        <v>28040</v>
      </c>
      <c r="E14" s="135">
        <v>671100</v>
      </c>
      <c r="F14" s="58" t="s">
        <v>157</v>
      </c>
      <c r="G14" s="148">
        <f t="shared" si="1"/>
        <v>0</v>
      </c>
      <c r="H14" s="137">
        <f>+K14+N14</f>
        <v>0</v>
      </c>
      <c r="I14" s="106"/>
      <c r="J14" s="149">
        <f>+P14+V14</f>
        <v>0</v>
      </c>
      <c r="K14" s="151">
        <f t="shared" si="2"/>
        <v>0</v>
      </c>
      <c r="L14" s="140" t="s">
        <v>151</v>
      </c>
      <c r="M14" s="173">
        <f t="shared" si="3"/>
        <v>0</v>
      </c>
      <c r="N14" s="174">
        <f t="shared" si="3"/>
        <v>0</v>
      </c>
      <c r="O14" s="106" t="s">
        <v>151</v>
      </c>
      <c r="P14" s="175"/>
      <c r="Q14" s="176"/>
      <c r="R14" s="38"/>
      <c r="S14" s="175"/>
      <c r="T14" s="153"/>
      <c r="U14" s="106"/>
      <c r="V14" s="160"/>
      <c r="W14" s="153"/>
      <c r="X14" s="147"/>
      <c r="Y14" s="161"/>
      <c r="Z14" s="177"/>
      <c r="AE14" s="157">
        <v>671100</v>
      </c>
    </row>
    <row r="15" spans="2:33" ht="14.25" customHeight="1" x14ac:dyDescent="0.25">
      <c r="B15" s="133"/>
      <c r="C15" s="178"/>
      <c r="D15" s="178"/>
      <c r="E15" s="179"/>
      <c r="F15" s="180" t="s">
        <v>158</v>
      </c>
      <c r="G15" s="181">
        <f>SUM(G6:G14)</f>
        <v>23668962</v>
      </c>
      <c r="H15" s="182">
        <f>SUM(H6:H14)</f>
        <v>6794562.46</v>
      </c>
      <c r="I15" s="106"/>
      <c r="J15" s="183">
        <f>SUM(J6:J14)</f>
        <v>18377108</v>
      </c>
      <c r="K15" s="96">
        <f>SUM(K6:K14)</f>
        <v>5366400.1399999987</v>
      </c>
      <c r="L15" s="140"/>
      <c r="M15" s="58">
        <f>SUM(M6:M14)</f>
        <v>5291854</v>
      </c>
      <c r="N15" s="98">
        <f>SUM(N6:N14)</f>
        <v>1428162.3199999998</v>
      </c>
      <c r="O15" s="106"/>
      <c r="P15" s="38">
        <f>SUM(P6:P14)</f>
        <v>18378133</v>
      </c>
      <c r="Q15" s="184">
        <f>SUM(Q6:Q14)</f>
        <v>5364400.42</v>
      </c>
      <c r="R15" s="38"/>
      <c r="S15" s="38">
        <f>SUM(S6:S14)</f>
        <v>5290829</v>
      </c>
      <c r="T15" s="184">
        <f>SUM(T6:T14)</f>
        <v>1423581.9</v>
      </c>
      <c r="U15" s="106"/>
      <c r="V15" s="185">
        <f>+SUM(V6:V14)</f>
        <v>-1025</v>
      </c>
      <c r="W15" s="184">
        <f>SUM(W6:W14)</f>
        <v>1999.7200000000003</v>
      </c>
      <c r="X15" s="147"/>
      <c r="Y15" s="185">
        <f>SUM(Y6:Y14)</f>
        <v>1025</v>
      </c>
      <c r="Z15" s="184">
        <f>SUM(Z6:Z14)</f>
        <v>4580.42</v>
      </c>
      <c r="AB15" s="186">
        <f>SUM(AB6:AB14)</f>
        <v>0</v>
      </c>
      <c r="AC15" s="186">
        <f>SUM(AC6:AC14)</f>
        <v>0</v>
      </c>
      <c r="AD15" s="186"/>
      <c r="AE15" s="179"/>
    </row>
    <row r="16" spans="2:33" ht="14.25" customHeight="1" x14ac:dyDescent="0.25">
      <c r="B16" s="133"/>
      <c r="C16" s="178"/>
      <c r="D16" s="178"/>
      <c r="E16" s="179"/>
      <c r="G16" s="181"/>
      <c r="H16" s="187"/>
      <c r="I16" s="106"/>
      <c r="J16" s="181"/>
      <c r="K16" s="187"/>
      <c r="L16" s="188"/>
      <c r="M16" s="181"/>
      <c r="N16" s="189"/>
      <c r="O16" s="106"/>
      <c r="P16" s="190"/>
      <c r="Q16" s="73"/>
      <c r="R16" s="38"/>
      <c r="S16" s="190"/>
      <c r="T16" s="73"/>
      <c r="U16" s="106"/>
      <c r="V16" s="191"/>
      <c r="W16" s="73"/>
      <c r="X16" s="147"/>
      <c r="Y16" s="147"/>
      <c r="Z16" s="73"/>
      <c r="AE16" s="179"/>
    </row>
    <row r="17" spans="2:33" ht="14.25" customHeight="1" x14ac:dyDescent="0.25">
      <c r="B17" s="133" t="s">
        <v>145</v>
      </c>
      <c r="C17" s="134">
        <v>6011</v>
      </c>
      <c r="D17" s="134">
        <v>28040</v>
      </c>
      <c r="E17" s="135">
        <v>672010</v>
      </c>
      <c r="F17" s="58" t="s">
        <v>159</v>
      </c>
      <c r="G17" s="136"/>
      <c r="H17" s="137">
        <f>K17+N17</f>
        <v>3891915.67</v>
      </c>
      <c r="I17" s="106"/>
      <c r="J17" s="192"/>
      <c r="K17" s="139">
        <f>+Q17+W17</f>
        <v>3237475.61</v>
      </c>
      <c r="L17" s="140" t="s">
        <v>148</v>
      </c>
      <c r="M17" s="138"/>
      <c r="N17" s="139">
        <f>+T17+Z17</f>
        <v>654440.06000000006</v>
      </c>
      <c r="O17" s="106" t="s">
        <v>148</v>
      </c>
      <c r="P17" s="141"/>
      <c r="Q17" s="144">
        <f>101807.82+3135667.79</f>
        <v>3237475.61</v>
      </c>
      <c r="R17" s="38"/>
      <c r="S17" s="141"/>
      <c r="T17" s="142">
        <f>242253.38+412186.68</f>
        <v>654440.06000000006</v>
      </c>
      <c r="U17" s="106"/>
      <c r="V17" s="193"/>
      <c r="W17" s="142"/>
      <c r="X17" s="147"/>
      <c r="Y17" s="146"/>
      <c r="Z17" s="194"/>
      <c r="AE17" s="145">
        <v>672010</v>
      </c>
    </row>
    <row r="18" spans="2:33" ht="14.25" customHeight="1" x14ac:dyDescent="0.25">
      <c r="B18" s="133" t="s">
        <v>145</v>
      </c>
      <c r="C18" s="134">
        <v>6011</v>
      </c>
      <c r="D18" s="134">
        <v>28040</v>
      </c>
      <c r="E18" s="135">
        <v>672020</v>
      </c>
      <c r="F18" s="58" t="s">
        <v>160</v>
      </c>
      <c r="G18" s="136"/>
      <c r="H18" s="137">
        <f>K18+N18</f>
        <v>64160.37</v>
      </c>
      <c r="I18" s="106"/>
      <c r="J18" s="192"/>
      <c r="K18" s="151">
        <f>+Q18+W18</f>
        <v>55039</v>
      </c>
      <c r="L18" s="140" t="s">
        <v>151</v>
      </c>
      <c r="M18" s="138"/>
      <c r="N18" s="151">
        <f>+T18+Z18</f>
        <v>9121.3700000000008</v>
      </c>
      <c r="O18" s="106" t="s">
        <v>151</v>
      </c>
      <c r="P18" s="141"/>
      <c r="Q18" s="195">
        <v>56367.32</v>
      </c>
      <c r="R18" s="38"/>
      <c r="T18" s="153">
        <v>8352.68</v>
      </c>
      <c r="U18" s="106"/>
      <c r="V18" s="193"/>
      <c r="W18" s="153">
        <v>-1328.32</v>
      </c>
      <c r="X18" s="147"/>
      <c r="Y18" s="146"/>
      <c r="Z18" s="153">
        <v>768.69</v>
      </c>
      <c r="AE18" s="157">
        <v>672020</v>
      </c>
      <c r="AF18" s="196"/>
    </row>
    <row r="19" spans="2:33" ht="14.25" customHeight="1" x14ac:dyDescent="0.25">
      <c r="B19" s="133" t="s">
        <v>145</v>
      </c>
      <c r="C19" s="134">
        <v>6011</v>
      </c>
      <c r="D19" s="134">
        <v>28040</v>
      </c>
      <c r="E19" s="135">
        <v>672030</v>
      </c>
      <c r="F19" s="58" t="s">
        <v>161</v>
      </c>
      <c r="G19" s="136"/>
      <c r="H19" s="137">
        <f>K19+N19</f>
        <v>0</v>
      </c>
      <c r="I19" s="106"/>
      <c r="J19" s="192"/>
      <c r="K19" s="139">
        <f>+Q19+W19</f>
        <v>0</v>
      </c>
      <c r="L19" s="140" t="s">
        <v>148</v>
      </c>
      <c r="M19" s="138"/>
      <c r="N19" s="139">
        <f>+T19+Z19</f>
        <v>0</v>
      </c>
      <c r="O19" s="106" t="s">
        <v>148</v>
      </c>
      <c r="P19" s="141"/>
      <c r="Q19" s="144"/>
      <c r="R19" s="38"/>
      <c r="S19" s="141"/>
      <c r="T19" s="142"/>
      <c r="U19" s="106"/>
      <c r="V19" s="193"/>
      <c r="W19" s="142"/>
      <c r="X19" s="147"/>
      <c r="Y19" s="146"/>
      <c r="Z19" s="142"/>
      <c r="AE19" s="145">
        <v>672030</v>
      </c>
      <c r="AF19" s="196"/>
    </row>
    <row r="20" spans="2:33" ht="14.25" customHeight="1" x14ac:dyDescent="0.25">
      <c r="B20" s="133" t="s">
        <v>145</v>
      </c>
      <c r="C20" s="134">
        <v>6011</v>
      </c>
      <c r="D20" s="134">
        <v>28040</v>
      </c>
      <c r="E20" s="135">
        <v>672040</v>
      </c>
      <c r="F20" s="58" t="s">
        <v>162</v>
      </c>
      <c r="G20" s="136"/>
      <c r="H20" s="137">
        <f>K20+N20</f>
        <v>675459.11</v>
      </c>
      <c r="I20" s="106"/>
      <c r="J20" s="192"/>
      <c r="K20" s="139">
        <f>+Q20+W20</f>
        <v>624749.21</v>
      </c>
      <c r="L20" s="140" t="s">
        <v>148</v>
      </c>
      <c r="M20" s="138"/>
      <c r="N20" s="139">
        <f>+T20+Z20</f>
        <v>50709.899999999994</v>
      </c>
      <c r="O20" s="106" t="s">
        <v>148</v>
      </c>
      <c r="P20" s="141"/>
      <c r="Q20" s="144">
        <v>624749.21</v>
      </c>
      <c r="R20" s="38"/>
      <c r="S20" s="141"/>
      <c r="T20" s="142">
        <v>44072.56</v>
      </c>
      <c r="U20" s="106"/>
      <c r="V20" s="193"/>
      <c r="W20" s="142"/>
      <c r="X20" s="147"/>
      <c r="Y20" s="146"/>
      <c r="Z20" s="142">
        <v>6637.34</v>
      </c>
      <c r="AD20" s="76">
        <v>-64.13</v>
      </c>
      <c r="AE20" s="145">
        <v>672040</v>
      </c>
      <c r="AF20" s="196"/>
      <c r="AG20" s="196"/>
    </row>
    <row r="21" spans="2:33" ht="14.25" customHeight="1" x14ac:dyDescent="0.25">
      <c r="B21" s="133" t="s">
        <v>145</v>
      </c>
      <c r="C21" s="134">
        <v>6011</v>
      </c>
      <c r="D21" s="134">
        <v>28040</v>
      </c>
      <c r="E21" s="135">
        <v>672050</v>
      </c>
      <c r="F21" s="58" t="s">
        <v>163</v>
      </c>
      <c r="G21" s="136"/>
      <c r="H21" s="137">
        <f>K21+N21</f>
        <v>-669538.14</v>
      </c>
      <c r="I21" s="106"/>
      <c r="J21" s="197"/>
      <c r="K21" s="139">
        <f>+Q21+W21</f>
        <v>-587368.06000000006</v>
      </c>
      <c r="L21" s="140" t="s">
        <v>148</v>
      </c>
      <c r="M21" s="138"/>
      <c r="N21" s="198">
        <f>+T21+Z21</f>
        <v>-82170.080000000002</v>
      </c>
      <c r="O21" s="106" t="s">
        <v>148</v>
      </c>
      <c r="P21" s="141"/>
      <c r="Q21" s="144">
        <f>+-79.68-587288.38</f>
        <v>-587368.06000000006</v>
      </c>
      <c r="R21" s="199"/>
      <c r="S21" s="200"/>
      <c r="T21" s="201">
        <f>+-94.97-82075.11</f>
        <v>-82170.080000000002</v>
      </c>
      <c r="U21" s="106"/>
      <c r="V21" s="193"/>
      <c r="W21" s="142"/>
      <c r="X21" s="147"/>
      <c r="Y21" s="146"/>
      <c r="Z21" s="142"/>
      <c r="AE21" s="145">
        <v>672050</v>
      </c>
      <c r="AF21" s="196"/>
      <c r="AG21" s="196"/>
    </row>
    <row r="22" spans="2:33" ht="14.25" customHeight="1" x14ac:dyDescent="0.25">
      <c r="B22" s="133"/>
      <c r="C22" s="178"/>
      <c r="D22" s="178"/>
      <c r="E22" s="179"/>
      <c r="F22" s="183" t="s">
        <v>164</v>
      </c>
      <c r="G22" s="202"/>
      <c r="H22" s="203">
        <f>SUM(H17:H21)</f>
        <v>3961997.0100000002</v>
      </c>
      <c r="I22" s="106"/>
      <c r="J22" s="204"/>
      <c r="K22" s="98">
        <f>SUM(K17:K21)</f>
        <v>3329895.76</v>
      </c>
      <c r="L22" s="140"/>
      <c r="M22" s="205"/>
      <c r="N22" s="98">
        <f>SUM(N17:N21)</f>
        <v>632101.25000000012</v>
      </c>
      <c r="O22" s="106"/>
      <c r="P22" s="190"/>
      <c r="Q22" s="206">
        <f>SUM(Q17:Q21)</f>
        <v>3331224.0799999996</v>
      </c>
      <c r="R22" s="207"/>
      <c r="S22" s="208"/>
      <c r="T22" s="184">
        <f>SUM(T17:T21)</f>
        <v>624695.22000000009</v>
      </c>
      <c r="U22" s="106"/>
      <c r="V22" s="209"/>
      <c r="W22" s="210">
        <f>SUM(W17:W21)</f>
        <v>-1328.32</v>
      </c>
      <c r="X22" s="104"/>
      <c r="Y22" s="143"/>
      <c r="Z22" s="206">
        <f>SUM(Z17:Z21)</f>
        <v>7406.0300000000007</v>
      </c>
      <c r="AB22" s="186">
        <f>SUM(AB17:AB21)</f>
        <v>0</v>
      </c>
      <c r="AC22" s="186">
        <f>SUM(AC17:AC21)</f>
        <v>0</v>
      </c>
      <c r="AD22" s="186"/>
      <c r="AE22" s="179"/>
    </row>
    <row r="23" spans="2:33" ht="14.25" customHeight="1" x14ac:dyDescent="0.25">
      <c r="B23" s="133"/>
      <c r="C23" s="178"/>
      <c r="D23" s="178"/>
      <c r="E23" s="179"/>
      <c r="F23" s="211"/>
      <c r="G23" s="148"/>
      <c r="H23" s="187"/>
      <c r="I23" s="106"/>
      <c r="J23" s="192"/>
      <c r="K23" s="189"/>
      <c r="L23" s="188"/>
      <c r="M23" s="212"/>
      <c r="N23" s="189"/>
      <c r="O23" s="106"/>
      <c r="P23" s="190"/>
      <c r="Q23" s="53"/>
      <c r="R23" s="38"/>
      <c r="S23" s="38"/>
      <c r="T23" s="73"/>
      <c r="U23" s="106"/>
      <c r="V23" s="213"/>
      <c r="W23" s="96"/>
      <c r="X23" s="104"/>
      <c r="Y23" s="143"/>
      <c r="Z23" s="53"/>
      <c r="AE23" s="179"/>
    </row>
    <row r="24" spans="2:33" ht="14.25" customHeight="1" x14ac:dyDescent="0.25">
      <c r="B24" s="133" t="s">
        <v>145</v>
      </c>
      <c r="C24" s="134">
        <v>6011</v>
      </c>
      <c r="D24" s="134">
        <v>28040</v>
      </c>
      <c r="E24" s="135">
        <v>673020</v>
      </c>
      <c r="F24" s="58" t="s">
        <v>165</v>
      </c>
      <c r="G24" s="136"/>
      <c r="H24" s="137">
        <f>K24+N24</f>
        <v>65991.539999999994</v>
      </c>
      <c r="I24" s="106"/>
      <c r="J24" s="192"/>
      <c r="K24" s="139">
        <f t="shared" ref="K24:K37" si="4">+Q24+W24</f>
        <v>57899.56</v>
      </c>
      <c r="L24" s="140" t="s">
        <v>148</v>
      </c>
      <c r="M24" s="138"/>
      <c r="N24" s="139">
        <f t="shared" ref="N24:N33" si="5">+T24+Z24</f>
        <v>8091.98</v>
      </c>
      <c r="O24" s="106" t="s">
        <v>148</v>
      </c>
      <c r="P24" s="141"/>
      <c r="Q24" s="144">
        <v>57899.56</v>
      </c>
      <c r="R24" s="38"/>
      <c r="S24" s="141"/>
      <c r="T24" s="142">
        <v>8091.98</v>
      </c>
      <c r="U24" s="106"/>
      <c r="V24" s="213"/>
      <c r="W24" s="144"/>
      <c r="X24" s="214"/>
      <c r="Y24" s="214"/>
      <c r="Z24" s="144"/>
      <c r="AE24" s="145">
        <v>673020</v>
      </c>
    </row>
    <row r="25" spans="2:33" ht="14.25" customHeight="1" x14ac:dyDescent="0.25">
      <c r="B25" s="133" t="s">
        <v>145</v>
      </c>
      <c r="C25" s="134">
        <v>6011</v>
      </c>
      <c r="D25" s="134">
        <v>28040</v>
      </c>
      <c r="E25" s="135">
        <v>673030</v>
      </c>
      <c r="F25" s="58" t="s">
        <v>166</v>
      </c>
      <c r="G25" s="136"/>
      <c r="H25" s="137">
        <f t="shared" ref="H25:H37" si="6">K25+N25</f>
        <v>67948.34</v>
      </c>
      <c r="I25" s="106"/>
      <c r="J25" s="192"/>
      <c r="K25" s="139">
        <f t="shared" si="4"/>
        <v>61282.61</v>
      </c>
      <c r="L25" s="140" t="s">
        <v>148</v>
      </c>
      <c r="M25" s="138"/>
      <c r="N25" s="139">
        <f t="shared" si="5"/>
        <v>6665.73</v>
      </c>
      <c r="O25" s="106" t="s">
        <v>148</v>
      </c>
      <c r="P25" s="141"/>
      <c r="Q25" s="144">
        <v>61282.61</v>
      </c>
      <c r="R25" s="38"/>
      <c r="S25" s="141"/>
      <c r="T25" s="142">
        <v>6665.73</v>
      </c>
      <c r="U25" s="106"/>
      <c r="V25" s="213"/>
      <c r="W25" s="144"/>
      <c r="X25" s="214"/>
      <c r="Y25" s="214"/>
      <c r="Z25" s="144"/>
      <c r="AE25" s="145">
        <v>673030</v>
      </c>
    </row>
    <row r="26" spans="2:33" ht="14.25" customHeight="1" x14ac:dyDescent="0.25">
      <c r="B26" s="133" t="s">
        <v>145</v>
      </c>
      <c r="C26" s="134">
        <v>6011</v>
      </c>
      <c r="D26" s="134">
        <v>28040</v>
      </c>
      <c r="E26" s="135">
        <v>673040</v>
      </c>
      <c r="F26" s="58" t="s">
        <v>167</v>
      </c>
      <c r="G26" s="136"/>
      <c r="H26" s="137">
        <f t="shared" si="6"/>
        <v>0</v>
      </c>
      <c r="I26" s="106"/>
      <c r="J26" s="192"/>
      <c r="K26" s="151">
        <f t="shared" si="4"/>
        <v>0</v>
      </c>
      <c r="L26" s="140" t="s">
        <v>151</v>
      </c>
      <c r="M26" s="138"/>
      <c r="N26" s="151">
        <f>+T26+Z26</f>
        <v>0</v>
      </c>
      <c r="O26" s="106" t="s">
        <v>151</v>
      </c>
      <c r="P26" s="141"/>
      <c r="Q26" s="195"/>
      <c r="R26" s="38"/>
      <c r="S26" s="141"/>
      <c r="T26" s="153"/>
      <c r="U26" s="106"/>
      <c r="V26" s="213"/>
      <c r="W26" s="195"/>
      <c r="X26" s="214"/>
      <c r="Y26" s="214"/>
      <c r="Z26" s="195"/>
      <c r="AE26" s="157">
        <v>673040</v>
      </c>
    </row>
    <row r="27" spans="2:33" ht="14.25" customHeight="1" x14ac:dyDescent="0.25">
      <c r="B27" s="133" t="s">
        <v>145</v>
      </c>
      <c r="C27" s="134">
        <v>6011</v>
      </c>
      <c r="D27" s="134">
        <v>28040</v>
      </c>
      <c r="E27" s="135">
        <v>673050</v>
      </c>
      <c r="F27" s="58" t="s">
        <v>168</v>
      </c>
      <c r="G27" s="136"/>
      <c r="H27" s="137">
        <f t="shared" si="6"/>
        <v>0</v>
      </c>
      <c r="I27" s="106"/>
      <c r="J27" s="192"/>
      <c r="K27" s="151">
        <f t="shared" si="4"/>
        <v>0</v>
      </c>
      <c r="L27" s="140" t="s">
        <v>151</v>
      </c>
      <c r="M27" s="138"/>
      <c r="N27" s="139">
        <f t="shared" si="5"/>
        <v>0</v>
      </c>
      <c r="O27" s="106" t="s">
        <v>148</v>
      </c>
      <c r="P27" s="141"/>
      <c r="Q27" s="195"/>
      <c r="R27" s="38"/>
      <c r="S27" s="141"/>
      <c r="T27" s="153"/>
      <c r="U27" s="106"/>
      <c r="V27" s="213"/>
      <c r="W27" s="195"/>
      <c r="X27" s="214"/>
      <c r="Y27" s="214"/>
      <c r="Z27" s="195"/>
      <c r="AE27" s="145">
        <v>673050</v>
      </c>
    </row>
    <row r="28" spans="2:33" ht="14.25" customHeight="1" x14ac:dyDescent="0.25">
      <c r="B28" s="133" t="s">
        <v>145</v>
      </c>
      <c r="C28" s="134">
        <v>6011</v>
      </c>
      <c r="D28" s="134">
        <v>28040</v>
      </c>
      <c r="E28" s="135">
        <v>673060</v>
      </c>
      <c r="F28" s="58" t="s">
        <v>169</v>
      </c>
      <c r="G28" s="136"/>
      <c r="H28" s="137">
        <f t="shared" si="6"/>
        <v>0</v>
      </c>
      <c r="I28" s="106"/>
      <c r="J28" s="192"/>
      <c r="K28" s="151">
        <f t="shared" si="4"/>
        <v>0</v>
      </c>
      <c r="L28" s="140" t="s">
        <v>151</v>
      </c>
      <c r="M28" s="138"/>
      <c r="N28" s="139">
        <f t="shared" si="5"/>
        <v>0</v>
      </c>
      <c r="O28" s="106" t="s">
        <v>148</v>
      </c>
      <c r="P28" s="141"/>
      <c r="Q28" s="195"/>
      <c r="R28" s="38"/>
      <c r="S28" s="141"/>
      <c r="T28" s="142"/>
      <c r="U28" s="106"/>
      <c r="V28" s="213"/>
      <c r="W28" s="195"/>
      <c r="X28" s="214"/>
      <c r="Y28" s="214"/>
      <c r="Z28" s="144"/>
      <c r="AE28" s="145">
        <v>673060</v>
      </c>
    </row>
    <row r="29" spans="2:33" ht="14.25" customHeight="1" x14ac:dyDescent="0.25">
      <c r="B29" s="133" t="s">
        <v>145</v>
      </c>
      <c r="C29" s="134">
        <v>6011</v>
      </c>
      <c r="D29" s="134">
        <v>28040</v>
      </c>
      <c r="E29" s="135">
        <v>673070</v>
      </c>
      <c r="F29" s="58" t="s">
        <v>170</v>
      </c>
      <c r="G29" s="136"/>
      <c r="H29" s="137">
        <f t="shared" si="6"/>
        <v>0</v>
      </c>
      <c r="I29" s="106"/>
      <c r="J29" s="192"/>
      <c r="K29" s="151">
        <f t="shared" si="4"/>
        <v>0</v>
      </c>
      <c r="L29" s="140" t="s">
        <v>151</v>
      </c>
      <c r="M29" s="138"/>
      <c r="N29" s="139">
        <f t="shared" si="5"/>
        <v>0</v>
      </c>
      <c r="O29" s="106" t="s">
        <v>148</v>
      </c>
      <c r="P29" s="141"/>
      <c r="Q29" s="195"/>
      <c r="R29" s="38"/>
      <c r="S29" s="141"/>
      <c r="T29" s="142"/>
      <c r="U29" s="106"/>
      <c r="V29" s="213"/>
      <c r="W29" s="195"/>
      <c r="X29" s="214"/>
      <c r="Y29" s="214"/>
      <c r="Z29" s="144"/>
      <c r="AE29" s="145">
        <v>673070</v>
      </c>
    </row>
    <row r="30" spans="2:33" ht="14.25" customHeight="1" x14ac:dyDescent="0.25">
      <c r="B30" s="133" t="s">
        <v>145</v>
      </c>
      <c r="C30" s="134">
        <v>6011</v>
      </c>
      <c r="D30" s="134">
        <v>28040</v>
      </c>
      <c r="E30" s="135">
        <v>673080</v>
      </c>
      <c r="F30" s="58" t="s">
        <v>171</v>
      </c>
      <c r="G30" s="136"/>
      <c r="H30" s="137">
        <f t="shared" si="6"/>
        <v>18758.960000000003</v>
      </c>
      <c r="I30" s="106"/>
      <c r="J30" s="192"/>
      <c r="K30" s="139">
        <f t="shared" si="4"/>
        <v>17029.240000000002</v>
      </c>
      <c r="L30" s="140" t="s">
        <v>148</v>
      </c>
      <c r="M30" s="138"/>
      <c r="N30" s="139">
        <f t="shared" si="5"/>
        <v>1729.72</v>
      </c>
      <c r="O30" s="106" t="s">
        <v>148</v>
      </c>
      <c r="P30" s="141"/>
      <c r="Q30" s="144">
        <v>17029.240000000002</v>
      </c>
      <c r="R30" s="38"/>
      <c r="S30" s="141"/>
      <c r="T30" s="142">
        <v>1729.72</v>
      </c>
      <c r="U30" s="106"/>
      <c r="V30" s="213"/>
      <c r="W30" s="144"/>
      <c r="X30" s="214"/>
      <c r="Y30" s="214"/>
      <c r="Z30" s="144"/>
      <c r="AE30" s="145">
        <v>673080</v>
      </c>
    </row>
    <row r="31" spans="2:33" ht="14.25" customHeight="1" x14ac:dyDescent="0.25">
      <c r="B31" s="133" t="s">
        <v>145</v>
      </c>
      <c r="C31" s="134">
        <v>6011</v>
      </c>
      <c r="D31" s="134">
        <v>28040</v>
      </c>
      <c r="E31" s="135">
        <v>673090</v>
      </c>
      <c r="F31" s="58" t="s">
        <v>172</v>
      </c>
      <c r="G31" s="136"/>
      <c r="H31" s="137">
        <f t="shared" si="6"/>
        <v>0</v>
      </c>
      <c r="I31" s="106"/>
      <c r="J31" s="192"/>
      <c r="K31" s="151">
        <f t="shared" si="4"/>
        <v>0</v>
      </c>
      <c r="L31" s="140" t="s">
        <v>151</v>
      </c>
      <c r="M31" s="138"/>
      <c r="N31" s="151">
        <f>+T31+Z31</f>
        <v>0</v>
      </c>
      <c r="O31" s="106" t="s">
        <v>151</v>
      </c>
      <c r="P31" s="141"/>
      <c r="Q31" s="195"/>
      <c r="R31" s="38"/>
      <c r="S31" s="141"/>
      <c r="T31" s="153"/>
      <c r="U31" s="106"/>
      <c r="V31" s="213"/>
      <c r="W31" s="195"/>
      <c r="X31" s="214"/>
      <c r="Y31" s="214"/>
      <c r="Z31" s="195"/>
      <c r="AE31" s="157">
        <v>673090</v>
      </c>
    </row>
    <row r="32" spans="2:33" ht="14.25" customHeight="1" x14ac:dyDescent="0.25">
      <c r="B32" s="133" t="s">
        <v>145</v>
      </c>
      <c r="C32" s="134">
        <v>6011</v>
      </c>
      <c r="D32" s="134">
        <v>28040</v>
      </c>
      <c r="E32" s="135">
        <v>673120</v>
      </c>
      <c r="F32" s="58" t="s">
        <v>173</v>
      </c>
      <c r="G32" s="136"/>
      <c r="H32" s="137">
        <f t="shared" si="6"/>
        <v>150405.56</v>
      </c>
      <c r="I32" s="106"/>
      <c r="J32" s="192"/>
      <c r="K32" s="139">
        <f t="shared" si="4"/>
        <v>131962.56</v>
      </c>
      <c r="L32" s="140" t="s">
        <v>148</v>
      </c>
      <c r="M32" s="138"/>
      <c r="N32" s="139">
        <f t="shared" si="5"/>
        <v>18443</v>
      </c>
      <c r="O32" s="106" t="s">
        <v>148</v>
      </c>
      <c r="P32" s="141"/>
      <c r="Q32" s="144">
        <v>131962.56</v>
      </c>
      <c r="R32" s="38"/>
      <c r="S32" s="141"/>
      <c r="T32" s="142">
        <v>18443</v>
      </c>
      <c r="U32" s="106"/>
      <c r="V32" s="213"/>
      <c r="W32" s="144"/>
      <c r="X32" s="214"/>
      <c r="Y32" s="214"/>
      <c r="Z32" s="144"/>
      <c r="AE32" s="145">
        <v>673120</v>
      </c>
    </row>
    <row r="33" spans="2:31" ht="14.25" customHeight="1" x14ac:dyDescent="0.25">
      <c r="B33" s="133" t="s">
        <v>145</v>
      </c>
      <c r="C33" s="134">
        <v>6011</v>
      </c>
      <c r="D33" s="134">
        <v>28040</v>
      </c>
      <c r="E33" s="135">
        <v>673130</v>
      </c>
      <c r="F33" s="58" t="s">
        <v>174</v>
      </c>
      <c r="G33" s="136"/>
      <c r="H33" s="137">
        <f t="shared" si="6"/>
        <v>108.5</v>
      </c>
      <c r="I33" s="106"/>
      <c r="J33" s="192"/>
      <c r="K33" s="139">
        <f t="shared" si="4"/>
        <v>97.86</v>
      </c>
      <c r="L33" s="140" t="s">
        <v>148</v>
      </c>
      <c r="M33" s="138"/>
      <c r="N33" s="139">
        <f t="shared" si="5"/>
        <v>10.64</v>
      </c>
      <c r="O33" s="106" t="s">
        <v>148</v>
      </c>
      <c r="P33" s="141"/>
      <c r="Q33" s="144">
        <v>97.86</v>
      </c>
      <c r="R33" s="38"/>
      <c r="S33" s="141"/>
      <c r="T33" s="142">
        <v>10.64</v>
      </c>
      <c r="U33" s="106"/>
      <c r="V33" s="213"/>
      <c r="W33" s="144"/>
      <c r="X33" s="104"/>
      <c r="Y33" s="143"/>
      <c r="Z33" s="144"/>
      <c r="AE33" s="145">
        <v>673130</v>
      </c>
    </row>
    <row r="34" spans="2:31" ht="14.25" customHeight="1" x14ac:dyDescent="0.25">
      <c r="B34" s="133" t="s">
        <v>145</v>
      </c>
      <c r="C34" s="134">
        <v>6011</v>
      </c>
      <c r="D34" s="134">
        <v>28040</v>
      </c>
      <c r="E34" s="135">
        <v>673140</v>
      </c>
      <c r="F34" s="58" t="s">
        <v>175</v>
      </c>
      <c r="G34" s="136"/>
      <c r="H34" s="137">
        <f t="shared" si="6"/>
        <v>0</v>
      </c>
      <c r="I34" s="106"/>
      <c r="J34" s="192"/>
      <c r="K34" s="151">
        <f t="shared" si="4"/>
        <v>0</v>
      </c>
      <c r="L34" s="140" t="s">
        <v>151</v>
      </c>
      <c r="M34" s="138"/>
      <c r="N34" s="151">
        <f>+T34+Z34</f>
        <v>0</v>
      </c>
      <c r="O34" s="106" t="s">
        <v>151</v>
      </c>
      <c r="P34" s="141"/>
      <c r="Q34" s="195"/>
      <c r="R34" s="38"/>
      <c r="S34" s="141"/>
      <c r="T34" s="153"/>
      <c r="U34" s="106"/>
      <c r="V34" s="213"/>
      <c r="W34" s="195"/>
      <c r="X34" s="104"/>
      <c r="Y34" s="143"/>
      <c r="Z34" s="195"/>
      <c r="AE34" s="157">
        <v>673140</v>
      </c>
    </row>
    <row r="35" spans="2:31" ht="14.25" customHeight="1" x14ac:dyDescent="0.25">
      <c r="B35" s="133" t="s">
        <v>145</v>
      </c>
      <c r="C35" s="134">
        <v>6011</v>
      </c>
      <c r="D35" s="134">
        <v>28040</v>
      </c>
      <c r="E35" s="135">
        <v>673160</v>
      </c>
      <c r="F35" s="58" t="s">
        <v>176</v>
      </c>
      <c r="G35" s="136"/>
      <c r="H35" s="137">
        <f t="shared" si="6"/>
        <v>0</v>
      </c>
      <c r="I35" s="106"/>
      <c r="J35" s="192"/>
      <c r="K35" s="151">
        <f t="shared" si="4"/>
        <v>0</v>
      </c>
      <c r="L35" s="140" t="s">
        <v>151</v>
      </c>
      <c r="M35" s="138"/>
      <c r="N35" s="151">
        <f>+T35+Z35</f>
        <v>0</v>
      </c>
      <c r="O35" s="106" t="s">
        <v>151</v>
      </c>
      <c r="P35" s="141"/>
      <c r="Q35" s="195"/>
      <c r="R35" s="38"/>
      <c r="S35" s="141"/>
      <c r="T35" s="153"/>
      <c r="U35" s="106"/>
      <c r="V35" s="213"/>
      <c r="W35" s="195"/>
      <c r="X35" s="104"/>
      <c r="Y35" s="143"/>
      <c r="Z35" s="195"/>
      <c r="AE35" s="157">
        <v>673160</v>
      </c>
    </row>
    <row r="36" spans="2:31" ht="14.25" customHeight="1" x14ac:dyDescent="0.25">
      <c r="B36" s="133" t="s">
        <v>145</v>
      </c>
      <c r="C36" s="134">
        <v>6011</v>
      </c>
      <c r="D36" s="134">
        <v>28040</v>
      </c>
      <c r="E36" s="135">
        <v>673180</v>
      </c>
      <c r="F36" s="58" t="s">
        <v>177</v>
      </c>
      <c r="G36" s="136"/>
      <c r="H36" s="137">
        <f t="shared" si="6"/>
        <v>20166.84</v>
      </c>
      <c r="I36" s="106"/>
      <c r="J36" s="192"/>
      <c r="K36" s="139">
        <f>+Q36+W36</f>
        <v>18307.25</v>
      </c>
      <c r="L36" s="140" t="s">
        <v>148</v>
      </c>
      <c r="M36" s="138"/>
      <c r="N36" s="139">
        <f>+T36+Z36</f>
        <v>1859.59</v>
      </c>
      <c r="O36" s="106" t="s">
        <v>148</v>
      </c>
      <c r="P36" s="141"/>
      <c r="Q36" s="144">
        <v>18307.25</v>
      </c>
      <c r="R36" s="38"/>
      <c r="S36" s="141"/>
      <c r="T36" s="142">
        <v>1859.59</v>
      </c>
      <c r="U36" s="106"/>
      <c r="V36" s="213"/>
      <c r="W36" s="144"/>
      <c r="X36" s="104"/>
      <c r="Y36" s="143"/>
      <c r="Z36" s="144"/>
      <c r="AE36" s="145">
        <v>673180</v>
      </c>
    </row>
    <row r="37" spans="2:31" ht="14.25" customHeight="1" x14ac:dyDescent="0.25">
      <c r="B37" s="133" t="s">
        <v>145</v>
      </c>
      <c r="C37" s="134">
        <v>6011</v>
      </c>
      <c r="D37" s="134">
        <v>28040</v>
      </c>
      <c r="E37" s="135">
        <v>673190</v>
      </c>
      <c r="F37" s="173" t="s">
        <v>178</v>
      </c>
      <c r="G37" s="136"/>
      <c r="H37" s="215">
        <f t="shared" si="6"/>
        <v>0</v>
      </c>
      <c r="I37" s="106"/>
      <c r="J37" s="192"/>
      <c r="K37" s="151">
        <f t="shared" si="4"/>
        <v>0</v>
      </c>
      <c r="L37" s="140" t="s">
        <v>151</v>
      </c>
      <c r="M37" s="216"/>
      <c r="N37" s="151">
        <f>+T37+Z37</f>
        <v>0</v>
      </c>
      <c r="O37" s="106" t="s">
        <v>151</v>
      </c>
      <c r="P37" s="200"/>
      <c r="Q37" s="153"/>
      <c r="R37" s="38"/>
      <c r="S37" s="200"/>
      <c r="T37" s="177"/>
      <c r="U37" s="106"/>
      <c r="V37" s="217"/>
      <c r="W37" s="195"/>
      <c r="X37" s="104"/>
      <c r="Y37" s="143"/>
      <c r="Z37" s="195"/>
      <c r="AE37" s="157">
        <v>673190</v>
      </c>
    </row>
    <row r="38" spans="2:31" ht="15" x14ac:dyDescent="0.25">
      <c r="F38" s="58" t="s">
        <v>179</v>
      </c>
      <c r="G38" s="202"/>
      <c r="H38" s="137">
        <f>SUM(H24:H37)</f>
        <v>323379.74000000005</v>
      </c>
      <c r="I38" s="106"/>
      <c r="J38" s="202"/>
      <c r="K38" s="98">
        <f>SUM(K24:K37)</f>
        <v>286579.07999999996</v>
      </c>
      <c r="L38" s="140"/>
      <c r="M38" s="58"/>
      <c r="N38" s="98">
        <f>SUM(N24:N37)</f>
        <v>36800.659999999996</v>
      </c>
      <c r="O38" s="106"/>
      <c r="P38" s="38"/>
      <c r="Q38" s="184">
        <f>SUM(Q24:Q37)</f>
        <v>286579.07999999996</v>
      </c>
      <c r="R38" s="207"/>
      <c r="S38" s="208"/>
      <c r="T38" s="184">
        <f>SUM(T24:T37)</f>
        <v>36800.659999999996</v>
      </c>
      <c r="U38" s="106"/>
      <c r="W38" s="206">
        <f>SUM(W24:W37)</f>
        <v>0</v>
      </c>
      <c r="Y38" s="218"/>
      <c r="Z38" s="206">
        <f>SUM(Z24:Z37)</f>
        <v>0</v>
      </c>
      <c r="AB38" s="186">
        <f>SUM(AB24:AB37)</f>
        <v>0</v>
      </c>
      <c r="AC38" s="186">
        <f>SUM(AC24:AC37)</f>
        <v>0</v>
      </c>
      <c r="AD38" s="186"/>
    </row>
    <row r="39" spans="2:31" ht="14.1" customHeight="1" x14ac:dyDescent="0.25">
      <c r="F39" s="211"/>
      <c r="H39" s="219"/>
      <c r="I39" s="106"/>
      <c r="J39" s="202"/>
      <c r="K39" s="220"/>
      <c r="L39" s="221"/>
      <c r="M39" s="202"/>
      <c r="N39" s="220"/>
      <c r="O39" s="106"/>
      <c r="P39" s="208"/>
      <c r="Q39" s="222"/>
      <c r="R39" s="38"/>
      <c r="S39" s="208"/>
      <c r="T39" s="222"/>
      <c r="U39" s="106"/>
      <c r="V39" s="223"/>
      <c r="W39" s="180"/>
      <c r="Z39" s="99"/>
      <c r="AB39" s="105"/>
      <c r="AC39" s="105"/>
      <c r="AD39" s="105"/>
    </row>
    <row r="40" spans="2:31" ht="15.75" customHeight="1" x14ac:dyDescent="0.25">
      <c r="F40" s="97" t="s">
        <v>180</v>
      </c>
      <c r="G40" s="202">
        <f>+G38+G22+G15</f>
        <v>23668962</v>
      </c>
      <c r="H40" s="137">
        <f>+H38+H22+H15</f>
        <v>11079939.210000001</v>
      </c>
      <c r="I40" s="106"/>
      <c r="J40" s="224">
        <f>+J38+J22+J15</f>
        <v>18377108</v>
      </c>
      <c r="K40" s="206">
        <f>+K38+K22+K15</f>
        <v>8982874.9799999986</v>
      </c>
      <c r="L40" s="225"/>
      <c r="M40" s="224">
        <f>+M38+M22+M15</f>
        <v>5291854</v>
      </c>
      <c r="N40" s="206">
        <f>+N38+N22+N15</f>
        <v>2097064.23</v>
      </c>
      <c r="O40" s="119"/>
      <c r="P40" s="226">
        <f>+P38+P22+P15</f>
        <v>18378133</v>
      </c>
      <c r="Q40" s="184">
        <f>+Q38+Q22+Q15</f>
        <v>8982203.5800000001</v>
      </c>
      <c r="R40" s="37"/>
      <c r="S40" s="226">
        <f>+S38+S22+S15</f>
        <v>5290829</v>
      </c>
      <c r="T40" s="184">
        <f>+T38+T22+T15</f>
        <v>2085077.78</v>
      </c>
      <c r="U40" s="106"/>
      <c r="V40" s="227">
        <f>+V38+V22+V15</f>
        <v>-1025</v>
      </c>
      <c r="W40" s="206">
        <f>+W38+W22+W15</f>
        <v>671.40000000000032</v>
      </c>
      <c r="Y40" s="76">
        <f>+Y38+Y22+Y15</f>
        <v>1025</v>
      </c>
      <c r="Z40" s="206">
        <f>+Z38+Z22+Z15</f>
        <v>11986.45</v>
      </c>
      <c r="AB40" s="186">
        <f>+AB38+AB22+AB15</f>
        <v>0</v>
      </c>
      <c r="AC40" s="186">
        <f>+AC38+AC22+AC15</f>
        <v>0</v>
      </c>
      <c r="AD40" s="186"/>
      <c r="AE40" s="196"/>
    </row>
    <row r="41" spans="2:31" ht="14.1" customHeight="1" x14ac:dyDescent="0.25">
      <c r="H41" s="228"/>
      <c r="I41" s="106"/>
      <c r="J41" s="148"/>
      <c r="K41" s="189"/>
      <c r="L41" s="221"/>
      <c r="M41" s="148"/>
      <c r="N41" s="189"/>
      <c r="O41" s="106"/>
      <c r="P41" s="38"/>
      <c r="Q41" s="73"/>
      <c r="R41" s="38"/>
      <c r="S41" s="38"/>
      <c r="T41" s="73"/>
      <c r="U41" s="106"/>
      <c r="W41" s="99"/>
      <c r="Z41" s="99"/>
    </row>
    <row r="42" spans="2:31" ht="14.1" customHeight="1" x14ac:dyDescent="0.25">
      <c r="C42" s="148" t="s">
        <v>181</v>
      </c>
      <c r="I42" s="106"/>
      <c r="J42" s="199" t="s">
        <v>75</v>
      </c>
      <c r="K42" s="229">
        <f>+K8+K9+K10+K11+K12+K13+K14+K18+K26+K27+K28+K29+K31+K34+K35+K37</f>
        <v>5216132.09</v>
      </c>
      <c r="L42" s="221" t="s">
        <v>151</v>
      </c>
      <c r="M42" s="148"/>
      <c r="N42" s="230">
        <f>+N8+N9+N10+N11+N12+N13+N14+N18+N26+N31+N34+N35+N37+N27</f>
        <v>1289696.76</v>
      </c>
      <c r="O42" s="231" t="s">
        <v>151</v>
      </c>
      <c r="P42" s="38"/>
      <c r="Q42" s="232">
        <f>+Q8+Q9+Q10+Q11+Q12+Q13+Q14+Q18+Q26+Q27+Q28+Q29+Q31+Q34+Q35+Q37</f>
        <v>5217698.99</v>
      </c>
      <c r="R42" s="38"/>
      <c r="S42" s="199" t="s">
        <v>89</v>
      </c>
      <c r="T42" s="232">
        <f>+T8+T10+T9+T11+T12+T13+T14+T18+T26+T31+T34+T35+T37+T27</f>
        <v>1288689.4899999998</v>
      </c>
      <c r="U42" s="106"/>
      <c r="W42" s="233">
        <f>+W8+W9+W10+W11+W12+W13+W14+W18+W26+W27+W28+W29+W31+W34+W35+W37</f>
        <v>-1566.8999999999999</v>
      </c>
      <c r="Z42" s="233">
        <f>Z9+Z10+Z11+Z12+Z13+Z14+Z18+Z26+Z31+Z34+Z35+Z37+Z8+Z27</f>
        <v>1007.2700000000001</v>
      </c>
      <c r="AB42" s="234">
        <f>+AB8+AB9+AB10+AB11+AB12+AB13+AB14+AB18+AB26+AB27+AB28+AB29+AB31+AB34+AB35+AB37</f>
        <v>0</v>
      </c>
      <c r="AC42" s="234">
        <f>+AC6+AC8+AC9+AC10+AC11+AC12+AC13+AC14+AC18+AC26+AC31+AC34+AC35+AC37</f>
        <v>0</v>
      </c>
    </row>
    <row r="43" spans="2:31" ht="14.1" customHeight="1" x14ac:dyDescent="0.25">
      <c r="C43" s="148" t="s">
        <v>182</v>
      </c>
      <c r="I43" s="106"/>
      <c r="J43" s="199" t="s">
        <v>75</v>
      </c>
      <c r="K43" s="229">
        <f>+K6+K7+K17+K24+K25+K30+K32+K33+K36+K19+K20+K21</f>
        <v>3766742.8899999992</v>
      </c>
      <c r="L43" s="221" t="s">
        <v>148</v>
      </c>
      <c r="M43" s="148"/>
      <c r="N43" s="230">
        <f>N6+N7+N17+N24+N25+N30+N32+N33+N36+N19+N20+N21+N29+N28</f>
        <v>807367.47</v>
      </c>
      <c r="O43" s="231" t="s">
        <v>148</v>
      </c>
      <c r="P43" s="38"/>
      <c r="Q43" s="235">
        <f>Q6+Q7+Q17+Q24+Q25+Q30+Q32+Q33+Q36+Q19+Q20+Q21</f>
        <v>3764504.5900000003</v>
      </c>
      <c r="R43" s="38"/>
      <c r="S43" s="199" t="s">
        <v>89</v>
      </c>
      <c r="T43" s="235">
        <f>+T7+T6+T17+T24+T25+T30+T32+T33+T36+T19+T20+T21+T29+T28</f>
        <v>796388.28999999992</v>
      </c>
      <c r="U43" s="106"/>
      <c r="W43" s="236">
        <f>W6+W7+W17+W24+W25+W30+W32+W33+W36+W19+W20+W21</f>
        <v>2238.3000000000002</v>
      </c>
      <c r="Z43" s="236">
        <f>+Z7+Z17+Z24+Z25+Z30+Z32+Z33+Z36+Z19+Z20+Z21+Z29+Z28+Z6</f>
        <v>10979.18</v>
      </c>
      <c r="AB43" s="237">
        <f>AB6+AB7+AB17+AB24+AB25+AB30+AB32+AB33+AB36</f>
        <v>0</v>
      </c>
      <c r="AC43" s="237">
        <f>+AC7+AC17+AC24+AC25+AC27+AC28+AC29+AC30+AC32+AC33+AC36</f>
        <v>0</v>
      </c>
    </row>
    <row r="44" spans="2:31" ht="15" customHeight="1" x14ac:dyDescent="0.25">
      <c r="C44" s="148" t="s">
        <v>85</v>
      </c>
      <c r="I44" s="106"/>
      <c r="J44" s="148"/>
      <c r="K44" s="206">
        <f>SUM(K42:K43)</f>
        <v>8982874.9799999986</v>
      </c>
      <c r="L44" s="238"/>
      <c r="M44" s="148"/>
      <c r="N44" s="206">
        <f>SUM(N42:N43)</f>
        <v>2097064.23</v>
      </c>
      <c r="O44" s="106"/>
      <c r="P44" s="38"/>
      <c r="Q44" s="184">
        <f>SUM(Q42:Q43)</f>
        <v>8982203.5800000001</v>
      </c>
      <c r="R44" s="38"/>
      <c r="S44" s="38"/>
      <c r="T44" s="184">
        <f>SUM(T42:T43)</f>
        <v>2085077.7799999998</v>
      </c>
      <c r="U44" s="106"/>
      <c r="W44" s="206">
        <f>SUM(W42:W43)</f>
        <v>671.40000000000032</v>
      </c>
      <c r="Z44" s="206">
        <f>SUM(Z42:Z43)</f>
        <v>11986.45</v>
      </c>
      <c r="AB44" s="239">
        <f>SUM(AB42:AB43)</f>
        <v>0</v>
      </c>
      <c r="AC44" s="239">
        <f>SUM(AC42:AC43)</f>
        <v>0</v>
      </c>
      <c r="AD44" s="240"/>
    </row>
    <row r="45" spans="2:31" ht="15" customHeight="1" x14ac:dyDescent="0.25">
      <c r="L45" s="100"/>
    </row>
    <row r="46" spans="2:31" ht="15" customHeight="1" x14ac:dyDescent="0.25">
      <c r="J46" s="58" t="s">
        <v>183</v>
      </c>
      <c r="K46" s="241">
        <f>K44+N44</f>
        <v>11079939.209999999</v>
      </c>
      <c r="P46" s="242" t="s">
        <v>184</v>
      </c>
      <c r="Q46" s="243">
        <f>Q44-Q11-Q12-Q13</f>
        <v>8644642.9800000004</v>
      </c>
      <c r="R46" s="108"/>
      <c r="S46" s="242" t="s">
        <v>184</v>
      </c>
      <c r="T46" s="243">
        <f>T44-T11-T12-T13</f>
        <v>2037808.15</v>
      </c>
      <c r="W46" s="196"/>
      <c r="Z46" s="44">
        <f>+Z44+W44</f>
        <v>12657.85</v>
      </c>
      <c r="AE46" s="58" t="s">
        <v>185</v>
      </c>
    </row>
    <row r="47" spans="2:31" ht="15" customHeight="1" x14ac:dyDescent="0.25">
      <c r="F47" s="244"/>
      <c r="K47" s="245"/>
      <c r="P47" s="246" t="s">
        <v>186</v>
      </c>
      <c r="Q47" s="247">
        <f>W44</f>
        <v>671.40000000000032</v>
      </c>
      <c r="R47" s="169"/>
      <c r="S47" s="246" t="s">
        <v>186</v>
      </c>
      <c r="T47" s="247">
        <f>Z44</f>
        <v>11986.45</v>
      </c>
      <c r="W47" s="76" t="s">
        <v>187</v>
      </c>
      <c r="Z47" s="196"/>
    </row>
    <row r="48" spans="2:31" ht="15" customHeight="1" x14ac:dyDescent="0.25">
      <c r="F48" s="244"/>
      <c r="G48" s="76" t="s">
        <v>188</v>
      </c>
      <c r="Q48" s="248">
        <f>Q46+Q47</f>
        <v>8645314.3800000008</v>
      </c>
      <c r="R48" s="249"/>
      <c r="S48" s="249"/>
      <c r="T48" s="248">
        <f>T46+T47</f>
        <v>2049794.5999999999</v>
      </c>
      <c r="U48" s="250"/>
      <c r="V48" s="250"/>
      <c r="W48" s="251">
        <f>Q11+Q12+Q13+T11+T12+T13</f>
        <v>384830.23000000004</v>
      </c>
      <c r="Z48" s="252"/>
    </row>
    <row r="49" spans="2:26" ht="15" customHeight="1" x14ac:dyDescent="0.25">
      <c r="F49" s="244"/>
      <c r="L49" s="253"/>
      <c r="M49" s="254" t="s">
        <v>90</v>
      </c>
      <c r="N49" s="255" t="s">
        <v>189</v>
      </c>
      <c r="Q49" s="256"/>
      <c r="T49" s="256"/>
      <c r="Z49" s="252"/>
    </row>
    <row r="50" spans="2:26" ht="14.1" customHeight="1" x14ac:dyDescent="0.25">
      <c r="L50" s="113"/>
      <c r="M50" s="254" t="s">
        <v>190</v>
      </c>
      <c r="N50" s="255" t="s">
        <v>191</v>
      </c>
      <c r="P50" s="37"/>
      <c r="Z50" s="252"/>
    </row>
    <row r="51" spans="2:26" ht="14.1" customHeight="1" x14ac:dyDescent="0.25">
      <c r="B51" s="76"/>
      <c r="L51" s="113"/>
      <c r="M51" s="254" t="s">
        <v>192</v>
      </c>
      <c r="N51" s="255" t="s">
        <v>193</v>
      </c>
    </row>
    <row r="52" spans="2:26" ht="14.1" customHeight="1" x14ac:dyDescent="0.25">
      <c r="B52" s="257"/>
      <c r="L52" s="113"/>
      <c r="M52" s="254" t="s">
        <v>194</v>
      </c>
      <c r="N52" s="255" t="s">
        <v>195</v>
      </c>
      <c r="W52" s="258"/>
    </row>
    <row r="53" spans="2:26" ht="14.1" customHeight="1" x14ac:dyDescent="0.25">
      <c r="L53" s="113"/>
      <c r="M53" s="254" t="s">
        <v>196</v>
      </c>
      <c r="N53" s="259" t="s">
        <v>197</v>
      </c>
    </row>
    <row r="54" spans="2:26" ht="14.1" customHeight="1" x14ac:dyDescent="0.25">
      <c r="L54" s="113"/>
      <c r="M54" s="254" t="s">
        <v>198</v>
      </c>
      <c r="N54" s="255" t="s">
        <v>199</v>
      </c>
    </row>
    <row r="55" spans="2:26" ht="14.1" customHeight="1" x14ac:dyDescent="0.25">
      <c r="L55" s="113"/>
      <c r="M55" s="254" t="s">
        <v>200</v>
      </c>
      <c r="N55" s="255" t="s">
        <v>201</v>
      </c>
    </row>
    <row r="56" spans="2:26" ht="14.1" customHeight="1" x14ac:dyDescent="0.25">
      <c r="L56" s="113"/>
      <c r="M56" s="254" t="s">
        <v>202</v>
      </c>
      <c r="N56" s="255" t="s">
        <v>203</v>
      </c>
    </row>
    <row r="57" spans="2:26" ht="14.1" customHeight="1" x14ac:dyDescent="0.25">
      <c r="L57" s="100"/>
      <c r="M57" s="260"/>
      <c r="N57" s="255" t="s">
        <v>204</v>
      </c>
    </row>
    <row r="58" spans="2:26" ht="14.1" customHeight="1" thickBot="1" x14ac:dyDescent="0.3">
      <c r="P58" s="261" t="s">
        <v>144</v>
      </c>
      <c r="Q58" s="262"/>
      <c r="R58" s="261"/>
      <c r="S58" s="261" t="s">
        <v>144</v>
      </c>
      <c r="T58" s="262"/>
    </row>
    <row r="59" spans="2:26" ht="14.1" customHeight="1" x14ac:dyDescent="0.25">
      <c r="B59" s="76"/>
      <c r="J59" s="263" t="s">
        <v>205</v>
      </c>
      <c r="K59" s="264" t="s">
        <v>206</v>
      </c>
      <c r="L59" s="79"/>
      <c r="M59" s="74">
        <v>6011</v>
      </c>
      <c r="N59" s="255" t="s">
        <v>207</v>
      </c>
      <c r="P59" s="37" t="e">
        <f ca="1">[2]!SSGXA4(N$55&amp;"-"&amp;J59&amp;"-"&amp;$M59&amp;"-"&amp;$N59,N$49,N$51,N$52,N$53,N$54)</f>
        <v>#NAME?</v>
      </c>
      <c r="Q59" s="265" t="e">
        <f ca="1">[2]!SSGXA4(N$55&amp;"-"&amp;J59&amp;"-"&amp;$M59&amp;"-"&amp;$N59,N$50,N$51,N$52,N$53,N$54)</f>
        <v>#NAME?</v>
      </c>
      <c r="R59" s="169">
        <v>-1</v>
      </c>
      <c r="S59" s="37" t="e">
        <f ca="1">[2]!SSGXA4(N$55&amp;"-"&amp;K59&amp;"-"&amp;$M59&amp;"-"&amp;$N59,N$49,N$51,N$52,N$53,N$54)</f>
        <v>#NAME?</v>
      </c>
      <c r="T59" s="265" t="e">
        <f ca="1">[2]!SSGXA4(N$55&amp;"-"&amp;K59&amp;"-"&amp;$M59&amp;"-"&amp;$N59,N$50,N$51,N$52,N$53,N$54)</f>
        <v>#NAME?</v>
      </c>
      <c r="U59" s="266">
        <v>-4</v>
      </c>
    </row>
    <row r="60" spans="2:26" ht="14.1" customHeight="1" x14ac:dyDescent="0.25">
      <c r="J60" s="263" t="s">
        <v>205</v>
      </c>
      <c r="K60" s="264" t="s">
        <v>206</v>
      </c>
      <c r="L60" s="79"/>
      <c r="M60" s="74">
        <v>6011</v>
      </c>
      <c r="N60" s="74">
        <v>28082</v>
      </c>
      <c r="P60" s="37" t="e">
        <f ca="1">[2]!SSGXA4(N$55&amp;"-"&amp;J60&amp;"-"&amp;$M60&amp;"-"&amp;$N60,N$49,N$51,N$52,N$53,N$54)</f>
        <v>#NAME?</v>
      </c>
      <c r="Q60" s="267" t="e">
        <f ca="1">[2]!SSGXA4(N$55&amp;"-"&amp;N$56&amp;"-"&amp;$M60&amp;"-"&amp;$N60,N$50,N$51,N$52,N$53,N$54)</f>
        <v>#NAME?</v>
      </c>
      <c r="R60" s="169">
        <v>-2</v>
      </c>
      <c r="S60" s="265"/>
      <c r="T60" s="267"/>
      <c r="U60" s="266"/>
    </row>
    <row r="61" spans="2:26" ht="15" x14ac:dyDescent="0.25">
      <c r="J61" s="263" t="s">
        <v>205</v>
      </c>
      <c r="K61" s="264" t="s">
        <v>206</v>
      </c>
      <c r="L61" s="79"/>
      <c r="M61" s="74">
        <v>6011</v>
      </c>
      <c r="N61" s="74">
        <v>28120</v>
      </c>
      <c r="P61" s="37" t="e">
        <f ca="1">[2]!SSGXA4(N$55&amp;"-"&amp;J61&amp;"-"&amp;$M61&amp;"-"&amp;$N61,N$49,N$51,N$52,N$53,N$54)</f>
        <v>#NAME?</v>
      </c>
      <c r="Q61" s="265" t="e">
        <f ca="1">[2]!SSGXA4(N$55&amp;"-"&amp;J61&amp;"-"&amp;$M61&amp;"-"&amp;$N61,N$50,N$51,N$52,N$53,N$54)</f>
        <v>#NAME?</v>
      </c>
      <c r="R61" s="169">
        <v>-3</v>
      </c>
      <c r="S61" s="37" t="e">
        <f ca="1">[2]!SSGXA4(N$55&amp;"-"&amp;K61&amp;"-"&amp;$M61&amp;"-"&amp;$N61,N$49,N$51,N$52,N$53,N$54)</f>
        <v>#NAME?</v>
      </c>
      <c r="T61" s="265" t="e">
        <f ca="1">[2]!SSGXA4(N$55&amp;"-"&amp;K61&amp;"-"&amp;$M61&amp;"-"&amp;$N61,N$50,N$51,N$52,N$53,N$54)</f>
        <v>#NAME?</v>
      </c>
      <c r="U61" s="266">
        <v>-5</v>
      </c>
    </row>
    <row r="62" spans="2:26" ht="14.1" customHeight="1" x14ac:dyDescent="0.25">
      <c r="B62" s="75"/>
      <c r="P62" s="37"/>
      <c r="Q62" s="268" t="e">
        <f ca="1">SUM(Q59:Q61)</f>
        <v>#NAME?</v>
      </c>
      <c r="R62" s="120"/>
      <c r="S62" s="120"/>
      <c r="T62" s="268" t="e">
        <f ca="1">SUM(T59:T61)</f>
        <v>#NAME?</v>
      </c>
      <c r="U62" s="79"/>
    </row>
    <row r="63" spans="2:26" ht="14.1" customHeight="1" x14ac:dyDescent="0.25">
      <c r="P63" s="269"/>
      <c r="Q63" s="270"/>
      <c r="R63" s="269"/>
      <c r="S63" s="269"/>
      <c r="T63" s="270"/>
      <c r="U63" s="79"/>
    </row>
    <row r="69" spans="17:22" ht="14.1" customHeight="1" x14ac:dyDescent="0.25">
      <c r="Q69" s="112">
        <v>9776852</v>
      </c>
      <c r="S69" s="112">
        <v>2278617.61</v>
      </c>
      <c r="T69" s="112">
        <v>2102518</v>
      </c>
      <c r="V69" s="76">
        <v>317389.78000000003</v>
      </c>
    </row>
    <row r="71" spans="17:22" ht="14.1" customHeight="1" x14ac:dyDescent="0.25">
      <c r="S71" s="271">
        <f>+S69/Q69</f>
        <v>0.23306250416800825</v>
      </c>
      <c r="V71" s="272">
        <f>+V69/T69</f>
        <v>0.15095698586171438</v>
      </c>
    </row>
  </sheetData>
  <mergeCells count="15">
    <mergeCell ref="B5:E5"/>
    <mergeCell ref="W3:Y3"/>
    <mergeCell ref="AB3:AC3"/>
    <mergeCell ref="J4:K4"/>
    <mergeCell ref="M4:N4"/>
    <mergeCell ref="P4:Q4"/>
    <mergeCell ref="S4:T4"/>
    <mergeCell ref="V4:W4"/>
    <mergeCell ref="Y4:Z4"/>
    <mergeCell ref="W1:Y1"/>
    <mergeCell ref="B2:E2"/>
    <mergeCell ref="G2:H2"/>
    <mergeCell ref="J2:N2"/>
    <mergeCell ref="P2:T2"/>
    <mergeCell ref="W2:Y2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112"/>
  <sheetViews>
    <sheetView showGridLines="0" topLeftCell="A16" zoomScaleNormal="100" workbookViewId="0">
      <selection activeCell="F34" sqref="F34"/>
    </sheetView>
  </sheetViews>
  <sheetFormatPr defaultRowHeight="12.75" x14ac:dyDescent="0.2"/>
  <cols>
    <col min="1" max="1" width="1.7109375" customWidth="1"/>
    <col min="2" max="2" width="21.7109375" style="14" customWidth="1"/>
    <col min="3" max="3" width="26.140625" style="15" customWidth="1"/>
    <col min="4" max="4" width="3.5703125" style="17" hidden="1" customWidth="1"/>
    <col min="5" max="5" width="4" style="17" bestFit="1" customWidth="1"/>
    <col min="6" max="6" width="13.7109375" style="17" customWidth="1"/>
    <col min="7" max="7" width="15" style="48" bestFit="1" customWidth="1"/>
    <col min="8" max="8" width="12.140625" style="31" customWidth="1"/>
    <col min="9" max="9" width="11.85546875" style="31" bestFit="1" customWidth="1"/>
    <col min="10" max="10" width="14" style="31" bestFit="1" customWidth="1"/>
    <col min="11" max="12" width="16.140625" style="31" bestFit="1" customWidth="1"/>
    <col min="13" max="13" width="14.5703125" style="31" bestFit="1" customWidth="1"/>
    <col min="14" max="14" width="16.85546875" style="31" bestFit="1" customWidth="1"/>
    <col min="15" max="15" width="16.85546875" style="31" customWidth="1"/>
    <col min="16" max="16" width="1.7109375" customWidth="1"/>
    <col min="17" max="17" width="16.42578125" bestFit="1" customWidth="1"/>
    <col min="18" max="18" width="14.7109375" bestFit="1" customWidth="1"/>
    <col min="19" max="19" width="9.7109375" customWidth="1"/>
    <col min="20" max="20" width="13.85546875" bestFit="1" customWidth="1"/>
    <col min="21" max="21" width="12.85546875" bestFit="1" customWidth="1"/>
    <col min="22" max="28" width="9.7109375" customWidth="1"/>
    <col min="29" max="29" width="25.28515625" customWidth="1"/>
    <col min="30" max="30" width="19.28515625" bestFit="1" customWidth="1"/>
    <col min="31" max="31" width="11.42578125" bestFit="1" customWidth="1"/>
    <col min="32" max="32" width="17" bestFit="1" customWidth="1"/>
    <col min="33" max="33" width="14.7109375" customWidth="1"/>
    <col min="35" max="35" width="17" bestFit="1" customWidth="1"/>
    <col min="36" max="36" width="13.85546875" bestFit="1" customWidth="1"/>
    <col min="37" max="37" width="31.7109375" customWidth="1"/>
  </cols>
  <sheetData>
    <row r="1" spans="2:37" ht="14.25" customHeight="1" x14ac:dyDescent="0.2">
      <c r="B1" s="82" t="s">
        <v>115</v>
      </c>
      <c r="C1" s="83"/>
      <c r="E1" s="337" t="s">
        <v>81</v>
      </c>
      <c r="F1" s="337"/>
      <c r="G1" s="337"/>
      <c r="H1" s="337"/>
      <c r="I1" s="337"/>
      <c r="J1" s="337"/>
      <c r="K1" s="337"/>
      <c r="L1" s="336"/>
      <c r="M1" s="336"/>
      <c r="N1" s="336"/>
      <c r="O1" s="336"/>
      <c r="P1" s="336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2:37" ht="14.25" customHeight="1" x14ac:dyDescent="0.25">
      <c r="B2" s="82" t="s">
        <v>116</v>
      </c>
      <c r="C2" s="83"/>
      <c r="D2" s="59"/>
      <c r="E2" s="337"/>
      <c r="F2" s="337"/>
      <c r="G2" s="337"/>
      <c r="H2" s="337"/>
      <c r="I2" s="337"/>
      <c r="J2" s="337"/>
      <c r="K2" s="337"/>
      <c r="L2" s="338" t="s">
        <v>0</v>
      </c>
      <c r="M2" s="338"/>
      <c r="N2" s="338"/>
      <c r="O2" s="338"/>
      <c r="P2" s="338"/>
    </row>
    <row r="3" spans="2:37" ht="14.25" customHeight="1" x14ac:dyDescent="0.25">
      <c r="B3" s="339" t="s">
        <v>117</v>
      </c>
      <c r="C3" s="339"/>
      <c r="D3" s="59"/>
      <c r="E3" s="78"/>
      <c r="F3" s="340">
        <f>'Core Cost Incurred'!B2</f>
        <v>43398</v>
      </c>
      <c r="G3" s="340"/>
      <c r="H3" s="340"/>
      <c r="I3" s="340"/>
      <c r="J3" s="340"/>
      <c r="K3" s="340"/>
      <c r="L3" s="341" t="s">
        <v>1</v>
      </c>
      <c r="M3" s="341"/>
      <c r="N3" s="341"/>
      <c r="O3" s="341"/>
      <c r="P3" s="341"/>
    </row>
    <row r="4" spans="2:37" ht="14.25" customHeight="1" x14ac:dyDescent="0.25">
      <c r="B4" s="342" t="s">
        <v>118</v>
      </c>
      <c r="C4" s="342"/>
      <c r="D4" s="59"/>
      <c r="E4" s="78"/>
      <c r="F4" s="340"/>
      <c r="G4" s="340"/>
      <c r="H4" s="340"/>
      <c r="I4" s="340"/>
      <c r="J4" s="340"/>
      <c r="K4" s="340"/>
      <c r="L4" s="343" t="s">
        <v>2</v>
      </c>
      <c r="M4" s="343"/>
      <c r="N4" s="343"/>
      <c r="O4" s="343"/>
      <c r="P4" s="343"/>
    </row>
    <row r="5" spans="2:37" ht="14.25" customHeight="1" x14ac:dyDescent="0.2">
      <c r="D5" s="59"/>
      <c r="E5" s="78"/>
      <c r="F5" s="78"/>
      <c r="G5" s="78"/>
      <c r="H5" s="78"/>
      <c r="I5" s="78"/>
      <c r="J5" s="78"/>
      <c r="K5" s="78"/>
      <c r="L5" s="336"/>
      <c r="M5" s="336"/>
      <c r="N5" s="336"/>
      <c r="O5" s="336"/>
      <c r="P5" s="336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2:37" x14ac:dyDescent="0.2">
      <c r="B6" s="2"/>
      <c r="C6" s="3"/>
      <c r="D6" s="4"/>
      <c r="E6" s="4"/>
      <c r="F6" s="4"/>
      <c r="G6" s="77" t="s">
        <v>82</v>
      </c>
      <c r="H6" s="60" t="s">
        <v>83</v>
      </c>
      <c r="I6" s="60" t="s">
        <v>84</v>
      </c>
      <c r="J6" s="60" t="s">
        <v>3</v>
      </c>
      <c r="K6" s="60" t="s">
        <v>83</v>
      </c>
      <c r="L6" s="60" t="s">
        <v>84</v>
      </c>
      <c r="M6" s="60"/>
      <c r="N6" s="60" t="s">
        <v>85</v>
      </c>
      <c r="O6" s="8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5"/>
    </row>
    <row r="7" spans="2:37" ht="15" x14ac:dyDescent="0.25">
      <c r="B7" s="6"/>
      <c r="C7" s="7"/>
      <c r="D7" s="8"/>
      <c r="E7" s="8"/>
      <c r="F7" s="6" t="s">
        <v>4</v>
      </c>
      <c r="G7" s="77" t="s">
        <v>108</v>
      </c>
      <c r="H7" s="60" t="s">
        <v>5</v>
      </c>
      <c r="I7" s="60" t="s">
        <v>5</v>
      </c>
      <c r="J7" s="60" t="s">
        <v>6</v>
      </c>
      <c r="K7" s="60" t="s">
        <v>86</v>
      </c>
      <c r="L7" s="60" t="s">
        <v>86</v>
      </c>
      <c r="M7" s="60" t="s">
        <v>3</v>
      </c>
      <c r="N7" s="60" t="s">
        <v>3</v>
      </c>
      <c r="O7" s="84"/>
      <c r="Q7" s="22"/>
      <c r="R7" s="85">
        <v>200294.94</v>
      </c>
      <c r="S7" s="22"/>
      <c r="T7" s="22"/>
      <c r="U7" s="85">
        <v>140046.39000000001</v>
      </c>
      <c r="V7" s="22"/>
      <c r="W7" s="22"/>
      <c r="X7" s="22"/>
      <c r="Y7" s="22"/>
      <c r="Z7" s="22"/>
      <c r="AA7" s="22"/>
      <c r="AB7" s="22"/>
      <c r="AC7" s="9"/>
      <c r="AD7" s="10"/>
    </row>
    <row r="8" spans="2:37" s="13" customFormat="1" ht="15" x14ac:dyDescent="0.25">
      <c r="B8" s="61"/>
      <c r="C8" s="62"/>
      <c r="D8" s="61" t="s">
        <v>7</v>
      </c>
      <c r="E8" s="61" t="s">
        <v>8</v>
      </c>
      <c r="F8" s="61" t="s">
        <v>8</v>
      </c>
      <c r="G8" s="86" t="s">
        <v>87</v>
      </c>
      <c r="H8" s="63" t="s">
        <v>119</v>
      </c>
      <c r="I8" s="63" t="str">
        <f>+H8</f>
        <v>Sep 1 2017</v>
      </c>
      <c r="J8" s="63" t="str">
        <f>I8</f>
        <v>Sep 1 2017</v>
      </c>
      <c r="K8" s="64" t="s">
        <v>88</v>
      </c>
      <c r="L8" s="64" t="s">
        <v>88</v>
      </c>
      <c r="M8" s="64" t="s">
        <v>6</v>
      </c>
      <c r="N8" s="64" t="s">
        <v>88</v>
      </c>
      <c r="O8" s="84"/>
      <c r="P8"/>
      <c r="Q8" s="85">
        <v>11214374</v>
      </c>
      <c r="R8" s="85">
        <f>2345597.06+78799.97+56688.77</f>
        <v>2481085.8000000003</v>
      </c>
      <c r="S8" s="22"/>
      <c r="T8" s="85">
        <v>2845776</v>
      </c>
      <c r="U8" s="85">
        <v>459339.89</v>
      </c>
      <c r="V8" s="22"/>
      <c r="W8" s="22"/>
      <c r="X8" s="22"/>
      <c r="Y8" s="22"/>
      <c r="Z8" s="22"/>
      <c r="AA8" s="22"/>
      <c r="AB8" s="22"/>
      <c r="AC8" s="11"/>
      <c r="AD8" s="10" t="s">
        <v>9</v>
      </c>
      <c r="AE8" s="10" t="s">
        <v>10</v>
      </c>
      <c r="AF8" s="10" t="s">
        <v>11</v>
      </c>
      <c r="AG8" s="12" t="s">
        <v>12</v>
      </c>
      <c r="AH8" s="10" t="s">
        <v>13</v>
      </c>
      <c r="AI8" s="10" t="s">
        <v>14</v>
      </c>
      <c r="AJ8" s="10" t="s">
        <v>15</v>
      </c>
      <c r="AK8" s="10" t="s">
        <v>16</v>
      </c>
    </row>
    <row r="9" spans="2:37" ht="15" x14ac:dyDescent="0.2">
      <c r="B9" s="65" t="s">
        <v>17</v>
      </c>
      <c r="C9" s="15" t="s">
        <v>18</v>
      </c>
      <c r="D9" s="16">
        <v>1</v>
      </c>
      <c r="E9" s="17" t="s">
        <v>19</v>
      </c>
      <c r="F9" s="18" t="s">
        <v>120</v>
      </c>
      <c r="G9" s="23"/>
      <c r="H9" s="66">
        <v>0.27335999999999999</v>
      </c>
      <c r="I9" s="66">
        <v>0.16533</v>
      </c>
      <c r="J9" s="66">
        <v>5.3220000000000003E-2</v>
      </c>
      <c r="K9" s="20">
        <f>ROUND(H9*G9,2)</f>
        <v>0</v>
      </c>
      <c r="L9" s="20">
        <f>ROUND(G9*I9,2)</f>
        <v>0</v>
      </c>
      <c r="M9" s="87">
        <f>ROUND(G9*J9,2)</f>
        <v>0</v>
      </c>
      <c r="N9" s="88">
        <f>SUM(K9:M9)</f>
        <v>0</v>
      </c>
      <c r="O9" s="25" t="s">
        <v>121</v>
      </c>
      <c r="Q9" s="21" t="s">
        <v>20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  <c r="AD9" t="s">
        <v>21</v>
      </c>
      <c r="AG9" s="22">
        <v>0</v>
      </c>
      <c r="AK9" t="s">
        <v>22</v>
      </c>
    </row>
    <row r="10" spans="2:37" ht="15.75" x14ac:dyDescent="0.25">
      <c r="B10" s="65" t="s">
        <v>17</v>
      </c>
      <c r="C10" s="15" t="s">
        <v>23</v>
      </c>
      <c r="D10" s="16">
        <v>1</v>
      </c>
      <c r="E10" s="17" t="s">
        <v>24</v>
      </c>
      <c r="F10" s="18" t="s">
        <v>122</v>
      </c>
      <c r="G10" s="23">
        <v>0</v>
      </c>
      <c r="H10" s="67">
        <f>$H$9</f>
        <v>0.27335999999999999</v>
      </c>
      <c r="I10" s="67">
        <f>$I$9</f>
        <v>0.16533</v>
      </c>
      <c r="J10" s="67">
        <f>$J$9</f>
        <v>5.3220000000000003E-2</v>
      </c>
      <c r="K10" s="20">
        <f>ROUND(H10*G10,2)</f>
        <v>0</v>
      </c>
      <c r="L10" s="20">
        <f>ROUND(G10*I10,2)</f>
        <v>0</v>
      </c>
      <c r="M10" s="89">
        <f>ROUND(G10*J10,2)</f>
        <v>0</v>
      </c>
      <c r="N10" s="20">
        <f>SUM(K10:M10)</f>
        <v>0</v>
      </c>
      <c r="O10" s="25"/>
      <c r="Q10" s="90">
        <f>+-1529533-194708</f>
        <v>-1724241</v>
      </c>
      <c r="R10" s="90">
        <f>+-304369.99-70364.48</f>
        <v>-374734.47</v>
      </c>
      <c r="S10" s="21"/>
      <c r="T10" s="72">
        <f>+-505447-64182</f>
        <v>-569629</v>
      </c>
      <c r="U10" s="72">
        <f>+-100581.61-23194.4</f>
        <v>-123776.01000000001</v>
      </c>
      <c r="V10" s="21"/>
      <c r="W10" s="21"/>
      <c r="X10" s="21"/>
      <c r="Y10" s="21"/>
      <c r="Z10" s="21"/>
      <c r="AA10" s="21"/>
      <c r="AB10" s="21"/>
      <c r="AC10" s="22"/>
      <c r="AD10" t="s">
        <v>21</v>
      </c>
      <c r="AG10" s="22">
        <v>0</v>
      </c>
      <c r="AK10" t="s">
        <v>25</v>
      </c>
    </row>
    <row r="11" spans="2:37" ht="15.75" x14ac:dyDescent="0.25">
      <c r="B11" s="65" t="s">
        <v>17</v>
      </c>
      <c r="C11" s="15" t="s">
        <v>26</v>
      </c>
      <c r="D11" s="16">
        <v>1</v>
      </c>
      <c r="E11" s="17" t="s">
        <v>27</v>
      </c>
      <c r="F11" s="18" t="s">
        <v>123</v>
      </c>
      <c r="G11" s="19">
        <v>5307116</v>
      </c>
      <c r="H11" s="67">
        <f t="shared" ref="H11:H13" si="0">$H$9</f>
        <v>0.27335999999999999</v>
      </c>
      <c r="I11" s="66">
        <v>0.16786000000000001</v>
      </c>
      <c r="J11" s="67">
        <f>$J$9</f>
        <v>5.3220000000000003E-2</v>
      </c>
      <c r="K11" s="20">
        <f>ROUND(H11*G11,2)</f>
        <v>1450753.23</v>
      </c>
      <c r="L11" s="20">
        <f>ROUND(G11*I11,2)</f>
        <v>890852.49</v>
      </c>
      <c r="M11" s="89">
        <f>ROUND(G11*J11,2)</f>
        <v>282444.71000000002</v>
      </c>
      <c r="N11" s="88">
        <f>SUM(K11:M11)</f>
        <v>2624050.4299999997</v>
      </c>
      <c r="O11" s="25"/>
      <c r="Q11" s="72"/>
      <c r="R11" s="72"/>
      <c r="S11" s="72"/>
      <c r="T11" s="72"/>
      <c r="U11" s="72"/>
      <c r="V11" s="21"/>
      <c r="W11" s="21"/>
      <c r="X11" s="21"/>
      <c r="Y11" s="21"/>
      <c r="Z11" s="21"/>
      <c r="AA11" s="21"/>
      <c r="AB11" s="21"/>
      <c r="AC11" s="22"/>
      <c r="AD11" t="s">
        <v>21</v>
      </c>
      <c r="AG11" s="22">
        <v>0</v>
      </c>
      <c r="AK11" t="s">
        <v>28</v>
      </c>
    </row>
    <row r="12" spans="2:37" ht="15.75" x14ac:dyDescent="0.25">
      <c r="B12" s="65" t="s">
        <v>29</v>
      </c>
      <c r="C12" s="15" t="s">
        <v>109</v>
      </c>
      <c r="D12" s="16">
        <v>1</v>
      </c>
      <c r="E12" s="17" t="s">
        <v>27</v>
      </c>
      <c r="F12" s="18" t="s">
        <v>123</v>
      </c>
      <c r="G12" s="24">
        <v>-1999718</v>
      </c>
      <c r="H12" s="67">
        <f t="shared" si="0"/>
        <v>0.27335999999999999</v>
      </c>
      <c r="I12" s="67">
        <f>$I$11</f>
        <v>0.16786000000000001</v>
      </c>
      <c r="J12" s="67">
        <f>$J$9</f>
        <v>5.3220000000000003E-2</v>
      </c>
      <c r="K12" s="20">
        <f>ROUND(H12*G12,2)</f>
        <v>-546642.91</v>
      </c>
      <c r="L12" s="20">
        <f>ROUND(G12*I12,2)</f>
        <v>-335672.66</v>
      </c>
      <c r="M12" s="89"/>
      <c r="N12" s="88">
        <f>SUM(K12:M12)</f>
        <v>-882315.57000000007</v>
      </c>
      <c r="O12" s="25"/>
      <c r="Q12" s="91"/>
      <c r="R12" s="91"/>
      <c r="S12" s="91"/>
      <c r="T12" s="91"/>
      <c r="U12" s="91"/>
      <c r="V12" s="26"/>
      <c r="W12" s="26"/>
      <c r="X12" s="26"/>
      <c r="Y12" s="26"/>
      <c r="Z12" s="26"/>
      <c r="AA12" s="26"/>
      <c r="AB12" s="26"/>
      <c r="AC12" s="22"/>
      <c r="AD12" t="s">
        <v>21</v>
      </c>
      <c r="AG12" s="22">
        <v>0</v>
      </c>
      <c r="AK12" t="s">
        <v>28</v>
      </c>
    </row>
    <row r="13" spans="2:37" ht="15.75" x14ac:dyDescent="0.25">
      <c r="B13" s="65" t="s">
        <v>29</v>
      </c>
      <c r="C13" s="15" t="s">
        <v>110</v>
      </c>
      <c r="D13" s="16">
        <v>1</v>
      </c>
      <c r="E13" s="17" t="s">
        <v>27</v>
      </c>
      <c r="F13" s="18" t="s">
        <v>123</v>
      </c>
      <c r="G13" s="24">
        <v>4772036</v>
      </c>
      <c r="H13" s="67">
        <f t="shared" si="0"/>
        <v>0.27335999999999999</v>
      </c>
      <c r="I13" s="67">
        <f>$I$11</f>
        <v>0.16786000000000001</v>
      </c>
      <c r="J13" s="67">
        <f>$J$9</f>
        <v>5.3220000000000003E-2</v>
      </c>
      <c r="K13" s="20">
        <f>ROUND(H13*G13,2)</f>
        <v>1304483.76</v>
      </c>
      <c r="L13" s="20">
        <f>ROUND(G13*I13,2)</f>
        <v>801033.96</v>
      </c>
      <c r="M13" s="89"/>
      <c r="N13" s="88">
        <f>SUM(K13:M13)</f>
        <v>2105517.7199999997</v>
      </c>
      <c r="O13" s="25"/>
      <c r="Q13" s="91"/>
      <c r="R13" s="91"/>
      <c r="S13" s="91"/>
      <c r="T13" s="91"/>
      <c r="U13" s="91"/>
      <c r="V13" s="26"/>
      <c r="W13" s="26"/>
      <c r="X13" s="26"/>
      <c r="Y13" s="26"/>
      <c r="Z13" s="26"/>
      <c r="AA13" s="26"/>
      <c r="AB13" s="26"/>
      <c r="AC13" s="22"/>
      <c r="AD13" t="s">
        <v>21</v>
      </c>
      <c r="AG13" s="22">
        <v>0</v>
      </c>
      <c r="AK13" t="s">
        <v>28</v>
      </c>
    </row>
    <row r="14" spans="2:37" ht="12.2" customHeight="1" x14ac:dyDescent="0.2">
      <c r="B14" s="65"/>
      <c r="D14" s="16"/>
      <c r="F14" s="18"/>
      <c r="G14" s="23"/>
      <c r="H14" s="67"/>
      <c r="I14" s="67"/>
      <c r="J14" s="67"/>
      <c r="K14" s="20"/>
      <c r="L14" s="20"/>
      <c r="M14" s="89"/>
      <c r="N14" s="20"/>
      <c r="O14" s="25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2"/>
      <c r="AG14" s="22"/>
    </row>
    <row r="15" spans="2:37" ht="15" x14ac:dyDescent="0.2">
      <c r="B15" s="65" t="s">
        <v>31</v>
      </c>
      <c r="C15" s="15" t="s">
        <v>32</v>
      </c>
      <c r="D15" s="16">
        <v>2</v>
      </c>
      <c r="E15" s="17" t="s">
        <v>19</v>
      </c>
      <c r="F15" s="18" t="s">
        <v>120</v>
      </c>
      <c r="G15" s="23"/>
      <c r="H15" s="67">
        <f t="shared" ref="H15:H18" si="1">$H$9</f>
        <v>0.27335999999999999</v>
      </c>
      <c r="I15" s="67">
        <f t="shared" ref="I15:I18" si="2">$I$9</f>
        <v>0.16533</v>
      </c>
      <c r="J15" s="67">
        <f t="shared" ref="J15:J18" si="3">$J$9</f>
        <v>5.3220000000000003E-2</v>
      </c>
      <c r="K15" s="20">
        <f>ROUND(H15*G15,2)</f>
        <v>0</v>
      </c>
      <c r="L15" s="20">
        <f>ROUND(G15*I15,2)</f>
        <v>0</v>
      </c>
      <c r="M15" s="89">
        <f>ROUND(G15*J15,2)</f>
        <v>0</v>
      </c>
      <c r="N15" s="20">
        <f>SUM(K15:M15)</f>
        <v>0</v>
      </c>
      <c r="O15" s="25"/>
      <c r="Q15" s="21" t="s">
        <v>20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2"/>
      <c r="AD15" t="s">
        <v>21</v>
      </c>
      <c r="AG15" s="22">
        <v>0</v>
      </c>
      <c r="AK15" t="s">
        <v>33</v>
      </c>
    </row>
    <row r="16" spans="2:37" ht="15.75" x14ac:dyDescent="0.25">
      <c r="B16" s="65" t="s">
        <v>31</v>
      </c>
      <c r="C16" s="15" t="s">
        <v>34</v>
      </c>
      <c r="D16" s="16">
        <v>2</v>
      </c>
      <c r="E16" s="17" t="s">
        <v>35</v>
      </c>
      <c r="F16" s="18" t="s">
        <v>124</v>
      </c>
      <c r="G16" s="19">
        <v>4259766</v>
      </c>
      <c r="H16" s="67">
        <f t="shared" si="1"/>
        <v>0.27335999999999999</v>
      </c>
      <c r="I16" s="67">
        <f t="shared" si="2"/>
        <v>0.16533</v>
      </c>
      <c r="J16" s="67">
        <f t="shared" si="3"/>
        <v>5.3220000000000003E-2</v>
      </c>
      <c r="K16" s="20">
        <f>ROUND(H16*G16,2)</f>
        <v>1164449.6299999999</v>
      </c>
      <c r="L16" s="20">
        <f>ROUND(G16*I16,2)</f>
        <v>704267.11</v>
      </c>
      <c r="M16" s="89">
        <f>ROUND(G16*J16,2)</f>
        <v>226704.75</v>
      </c>
      <c r="N16" s="92">
        <f>SUM(K16:M16)</f>
        <v>2095421.4899999998</v>
      </c>
      <c r="O16" s="93">
        <v>-0.02</v>
      </c>
      <c r="Q16" s="21" t="s">
        <v>20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2"/>
      <c r="AD16" t="s">
        <v>21</v>
      </c>
      <c r="AG16" s="22">
        <v>0</v>
      </c>
      <c r="AK16" t="s">
        <v>36</v>
      </c>
    </row>
    <row r="17" spans="2:37" ht="15.75" x14ac:dyDescent="0.25">
      <c r="B17" s="65" t="s">
        <v>37</v>
      </c>
      <c r="C17" s="15" t="s">
        <v>111</v>
      </c>
      <c r="D17" s="16">
        <v>2</v>
      </c>
      <c r="E17" s="17" t="s">
        <v>35</v>
      </c>
      <c r="F17" s="18" t="s">
        <v>124</v>
      </c>
      <c r="G17" s="24">
        <v>-2233399</v>
      </c>
      <c r="H17" s="67">
        <f t="shared" si="1"/>
        <v>0.27335999999999999</v>
      </c>
      <c r="I17" s="67">
        <f t="shared" si="2"/>
        <v>0.16533</v>
      </c>
      <c r="J17" s="67">
        <f t="shared" si="3"/>
        <v>5.3220000000000003E-2</v>
      </c>
      <c r="K17" s="20">
        <f>ROUND(H17*G17,2)</f>
        <v>-610521.94999999995</v>
      </c>
      <c r="L17" s="20">
        <f>ROUND(G17*I17,2)</f>
        <v>-369247.86</v>
      </c>
      <c r="M17" s="89"/>
      <c r="N17" s="92">
        <f>SUM(K17:M17)</f>
        <v>-979769.80999999994</v>
      </c>
      <c r="O17" s="93"/>
      <c r="Q17" s="26" t="s">
        <v>30</v>
      </c>
      <c r="R17" s="26">
        <f>101807.82+3135667.8</f>
        <v>3237475.6199999996</v>
      </c>
      <c r="S17" s="26"/>
      <c r="T17" s="26"/>
      <c r="U17" s="91">
        <f>242253.38+412186.68</f>
        <v>654440.06000000006</v>
      </c>
      <c r="V17" s="26"/>
      <c r="W17" s="26"/>
      <c r="X17" s="26"/>
      <c r="Y17" s="26"/>
      <c r="Z17" s="26"/>
      <c r="AA17" s="26"/>
      <c r="AB17" s="26"/>
      <c r="AC17" s="22"/>
      <c r="AD17" t="s">
        <v>21</v>
      </c>
      <c r="AG17" s="22">
        <v>0</v>
      </c>
      <c r="AK17" t="s">
        <v>36</v>
      </c>
    </row>
    <row r="18" spans="2:37" ht="15.75" x14ac:dyDescent="0.25">
      <c r="B18" s="65" t="s">
        <v>37</v>
      </c>
      <c r="C18" s="15" t="s">
        <v>112</v>
      </c>
      <c r="D18" s="16">
        <v>2</v>
      </c>
      <c r="E18" s="17" t="s">
        <v>35</v>
      </c>
      <c r="F18" s="18" t="s">
        <v>124</v>
      </c>
      <c r="G18" s="24">
        <v>4424005</v>
      </c>
      <c r="H18" s="67">
        <f t="shared" si="1"/>
        <v>0.27335999999999999</v>
      </c>
      <c r="I18" s="67">
        <f t="shared" si="2"/>
        <v>0.16533</v>
      </c>
      <c r="J18" s="67">
        <f t="shared" si="3"/>
        <v>5.3220000000000003E-2</v>
      </c>
      <c r="K18" s="20">
        <f>ROUND(H18*G18,2)</f>
        <v>1209346.01</v>
      </c>
      <c r="L18" s="20">
        <f>ROUND(G18*I18,2)</f>
        <v>731420.75</v>
      </c>
      <c r="M18" s="89"/>
      <c r="N18" s="88">
        <f>SUM(K18:M18)</f>
        <v>1940766.76</v>
      </c>
      <c r="O18" s="25"/>
      <c r="Q18" s="26" t="s">
        <v>30</v>
      </c>
      <c r="R18" s="26">
        <v>55387.57</v>
      </c>
      <c r="S18" s="26"/>
      <c r="T18" s="26"/>
      <c r="U18" s="91">
        <v>7182.43</v>
      </c>
      <c r="V18" s="26"/>
      <c r="W18" s="26"/>
      <c r="X18" s="26"/>
      <c r="Y18" s="26"/>
      <c r="Z18" s="26"/>
      <c r="AA18" s="26"/>
      <c r="AB18" s="26"/>
      <c r="AC18" s="22"/>
      <c r="AD18" t="s">
        <v>21</v>
      </c>
      <c r="AG18" s="22">
        <v>0</v>
      </c>
      <c r="AK18" t="s">
        <v>36</v>
      </c>
    </row>
    <row r="19" spans="2:37" ht="12.2" customHeight="1" x14ac:dyDescent="0.2">
      <c r="B19" s="65"/>
      <c r="D19" s="16"/>
      <c r="F19" s="18"/>
      <c r="G19" s="23"/>
      <c r="H19" s="67"/>
      <c r="I19" s="67"/>
      <c r="J19" s="67"/>
      <c r="K19" s="20"/>
      <c r="L19" s="20"/>
      <c r="M19" s="89"/>
      <c r="N19" s="20"/>
      <c r="O19" s="25"/>
      <c r="Q19" s="27"/>
      <c r="R19" s="27"/>
      <c r="S19" s="27"/>
      <c r="T19" s="27"/>
      <c r="U19" s="72"/>
      <c r="V19" s="27"/>
      <c r="W19" s="27"/>
      <c r="X19" s="27"/>
      <c r="Y19" s="27"/>
      <c r="Z19" s="27"/>
      <c r="AA19" s="27"/>
      <c r="AB19" s="27"/>
      <c r="AC19" s="22"/>
      <c r="AG19" s="22"/>
    </row>
    <row r="20" spans="2:37" ht="15.75" x14ac:dyDescent="0.25">
      <c r="B20" s="65" t="s">
        <v>31</v>
      </c>
      <c r="C20" s="15" t="s">
        <v>38</v>
      </c>
      <c r="D20" s="16">
        <v>2</v>
      </c>
      <c r="E20" s="17" t="s">
        <v>39</v>
      </c>
      <c r="F20" s="18" t="s">
        <v>125</v>
      </c>
      <c r="G20" s="19">
        <v>674628</v>
      </c>
      <c r="H20" s="67">
        <f t="shared" ref="H20:H25" si="4">$H$9</f>
        <v>0.27335999999999999</v>
      </c>
      <c r="I20" s="66">
        <v>0.15284</v>
      </c>
      <c r="J20" s="67">
        <f t="shared" ref="J20:J25" si="5">$J$9</f>
        <v>5.3220000000000003E-2</v>
      </c>
      <c r="K20" s="20">
        <f t="shared" ref="K20:K25" si="6">ROUND(H20*G20,2)</f>
        <v>184416.31</v>
      </c>
      <c r="L20" s="20">
        <f t="shared" ref="L20:L25" si="7">ROUND(G20*I20,2)</f>
        <v>103110.14</v>
      </c>
      <c r="M20" s="89">
        <f t="shared" ref="M20:M25" si="8">ROUND(G20*J20,2)</f>
        <v>35903.699999999997</v>
      </c>
      <c r="N20" s="94">
        <f t="shared" ref="N20:N25" si="9">SUM(K20:M20)</f>
        <v>323430.15000000002</v>
      </c>
      <c r="O20" s="93">
        <v>2.0699999999999998</v>
      </c>
      <c r="Q20" s="21" t="s">
        <v>20</v>
      </c>
      <c r="R20" s="21">
        <v>625208.07999999996</v>
      </c>
      <c r="S20" s="21"/>
      <c r="T20" s="21"/>
      <c r="U20" s="72">
        <f>44136.69+5300</f>
        <v>49436.69</v>
      </c>
      <c r="V20" s="21"/>
      <c r="W20" s="21"/>
      <c r="X20" s="21"/>
      <c r="Y20" s="21"/>
      <c r="Z20" s="21"/>
      <c r="AA20" s="21"/>
      <c r="AB20" s="21"/>
      <c r="AC20" s="22"/>
      <c r="AD20" t="s">
        <v>21</v>
      </c>
      <c r="AG20" s="22">
        <v>0</v>
      </c>
      <c r="AK20" t="s">
        <v>40</v>
      </c>
    </row>
    <row r="21" spans="2:37" ht="15" x14ac:dyDescent="0.2">
      <c r="B21" s="65" t="s">
        <v>31</v>
      </c>
      <c r="C21" s="15" t="s">
        <v>41</v>
      </c>
      <c r="D21" s="16">
        <v>2</v>
      </c>
      <c r="E21" s="17" t="s">
        <v>42</v>
      </c>
      <c r="F21" s="18" t="s">
        <v>126</v>
      </c>
      <c r="G21" s="23"/>
      <c r="H21" s="67">
        <f t="shared" si="4"/>
        <v>0.27335999999999999</v>
      </c>
      <c r="I21" s="67">
        <f>$I$9</f>
        <v>0.16533</v>
      </c>
      <c r="J21" s="67">
        <f t="shared" si="5"/>
        <v>5.3220000000000003E-2</v>
      </c>
      <c r="K21" s="20">
        <f t="shared" si="6"/>
        <v>0</v>
      </c>
      <c r="L21" s="20">
        <f t="shared" si="7"/>
        <v>0</v>
      </c>
      <c r="M21" s="89">
        <f t="shared" si="8"/>
        <v>0</v>
      </c>
      <c r="N21" s="88">
        <f>SUM(K21:M21)</f>
        <v>0</v>
      </c>
      <c r="O21" s="25">
        <v>0.01</v>
      </c>
      <c r="Q21" s="21" t="s">
        <v>20</v>
      </c>
      <c r="R21" s="21">
        <f>+-128.04-565547.01</f>
        <v>-565675.05000000005</v>
      </c>
      <c r="S21" s="21"/>
      <c r="T21" s="21"/>
      <c r="U21" s="72">
        <f>+-193.7-79036.58</f>
        <v>-79230.28</v>
      </c>
      <c r="V21" s="21"/>
      <c r="W21" s="21"/>
      <c r="X21" s="21"/>
      <c r="Y21" s="21"/>
      <c r="Z21" s="21"/>
      <c r="AA21" s="21"/>
      <c r="AB21" s="21"/>
      <c r="AC21" s="28"/>
      <c r="AD21" t="s">
        <v>21</v>
      </c>
      <c r="AG21" s="22">
        <v>0</v>
      </c>
      <c r="AK21" t="s">
        <v>43</v>
      </c>
    </row>
    <row r="22" spans="2:37" ht="15" x14ac:dyDescent="0.2">
      <c r="B22" s="65" t="s">
        <v>31</v>
      </c>
      <c r="C22" s="15" t="s">
        <v>44</v>
      </c>
      <c r="D22" s="16">
        <v>2</v>
      </c>
      <c r="E22" s="17" t="s">
        <v>24</v>
      </c>
      <c r="F22" s="18" t="s">
        <v>122</v>
      </c>
      <c r="G22" s="23">
        <v>0</v>
      </c>
      <c r="H22" s="67">
        <f t="shared" si="4"/>
        <v>0.27335999999999999</v>
      </c>
      <c r="I22" s="67">
        <f>$I$9</f>
        <v>0.16533</v>
      </c>
      <c r="J22" s="67">
        <f t="shared" si="5"/>
        <v>5.3220000000000003E-2</v>
      </c>
      <c r="K22" s="20">
        <f t="shared" si="6"/>
        <v>0</v>
      </c>
      <c r="L22" s="20">
        <f t="shared" si="7"/>
        <v>0</v>
      </c>
      <c r="M22" s="89">
        <f t="shared" si="8"/>
        <v>0</v>
      </c>
      <c r="N22" s="20">
        <f t="shared" si="9"/>
        <v>0</v>
      </c>
      <c r="O22" s="25"/>
      <c r="Q22" s="21" t="s">
        <v>20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8"/>
      <c r="AD22" t="s">
        <v>21</v>
      </c>
      <c r="AG22" s="22">
        <v>0</v>
      </c>
      <c r="AK22" t="s">
        <v>45</v>
      </c>
    </row>
    <row r="23" spans="2:37" ht="15.75" x14ac:dyDescent="0.25">
      <c r="B23" s="65" t="s">
        <v>31</v>
      </c>
      <c r="C23" s="15" t="s">
        <v>38</v>
      </c>
      <c r="D23" s="16">
        <v>2</v>
      </c>
      <c r="E23" s="17" t="s">
        <v>39</v>
      </c>
      <c r="F23" s="18" t="s">
        <v>127</v>
      </c>
      <c r="G23" s="19">
        <v>501</v>
      </c>
      <c r="H23" s="67">
        <f t="shared" si="4"/>
        <v>0.27335999999999999</v>
      </c>
      <c r="I23" s="67">
        <f>+I25</f>
        <v>0.16533</v>
      </c>
      <c r="J23" s="67">
        <f t="shared" si="5"/>
        <v>5.3220000000000003E-2</v>
      </c>
      <c r="K23" s="20">
        <f t="shared" si="6"/>
        <v>136.94999999999999</v>
      </c>
      <c r="L23" s="20">
        <f t="shared" si="7"/>
        <v>82.83</v>
      </c>
      <c r="M23" s="89">
        <f t="shared" si="8"/>
        <v>26.66</v>
      </c>
      <c r="N23" s="92">
        <f t="shared" si="9"/>
        <v>246.43999999999997</v>
      </c>
      <c r="O23" s="93"/>
      <c r="Q23" s="21" t="s">
        <v>20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2"/>
      <c r="AD23" t="s">
        <v>21</v>
      </c>
      <c r="AG23" s="22">
        <v>0</v>
      </c>
      <c r="AK23" t="s">
        <v>40</v>
      </c>
    </row>
    <row r="24" spans="2:37" ht="15.75" x14ac:dyDescent="0.25">
      <c r="B24" s="65" t="s">
        <v>37</v>
      </c>
      <c r="C24" s="15" t="s">
        <v>46</v>
      </c>
      <c r="D24" s="16">
        <v>2</v>
      </c>
      <c r="E24" s="17" t="s">
        <v>39</v>
      </c>
      <c r="F24" s="18" t="s">
        <v>128</v>
      </c>
      <c r="G24" s="30">
        <v>-501</v>
      </c>
      <c r="H24" s="67">
        <f t="shared" si="4"/>
        <v>0.27335999999999999</v>
      </c>
      <c r="I24" s="67">
        <f>+I25</f>
        <v>0.16533</v>
      </c>
      <c r="J24" s="67">
        <f t="shared" si="5"/>
        <v>5.3220000000000003E-2</v>
      </c>
      <c r="K24" s="20">
        <f t="shared" si="6"/>
        <v>-136.94999999999999</v>
      </c>
      <c r="L24" s="20">
        <f t="shared" si="7"/>
        <v>-82.83</v>
      </c>
      <c r="M24" s="89">
        <f t="shared" si="8"/>
        <v>-26.66</v>
      </c>
      <c r="N24" s="92">
        <f t="shared" si="9"/>
        <v>-246.43999999999997</v>
      </c>
      <c r="O24" s="93"/>
      <c r="Q24" s="27"/>
      <c r="R24" s="27">
        <v>57899.56</v>
      </c>
      <c r="S24" s="27"/>
      <c r="T24" s="27"/>
      <c r="U24" s="72">
        <v>8091.98</v>
      </c>
      <c r="V24" s="27"/>
      <c r="W24" s="27"/>
      <c r="X24" s="27"/>
      <c r="Y24" s="27"/>
      <c r="Z24" s="27"/>
      <c r="AA24" s="27"/>
      <c r="AB24" s="27"/>
      <c r="AC24" s="29"/>
      <c r="AD24" t="s">
        <v>21</v>
      </c>
      <c r="AG24" s="22">
        <v>0</v>
      </c>
      <c r="AK24" t="s">
        <v>40</v>
      </c>
    </row>
    <row r="25" spans="2:37" ht="15.75" x14ac:dyDescent="0.25">
      <c r="B25" s="65" t="s">
        <v>37</v>
      </c>
      <c r="C25" s="15" t="s">
        <v>47</v>
      </c>
      <c r="D25" s="16">
        <v>2</v>
      </c>
      <c r="E25" s="17" t="s">
        <v>39</v>
      </c>
      <c r="F25" s="18" t="s">
        <v>128</v>
      </c>
      <c r="G25" s="30">
        <v>2079</v>
      </c>
      <c r="H25" s="67">
        <f t="shared" si="4"/>
        <v>0.27335999999999999</v>
      </c>
      <c r="I25" s="67">
        <f>+I18</f>
        <v>0.16533</v>
      </c>
      <c r="J25" s="67">
        <f t="shared" si="5"/>
        <v>5.3220000000000003E-2</v>
      </c>
      <c r="K25" s="20">
        <f t="shared" si="6"/>
        <v>568.32000000000005</v>
      </c>
      <c r="L25" s="20">
        <f t="shared" si="7"/>
        <v>343.72</v>
      </c>
      <c r="M25" s="89">
        <f t="shared" si="8"/>
        <v>110.64</v>
      </c>
      <c r="N25" s="88">
        <f t="shared" si="9"/>
        <v>1022.6800000000001</v>
      </c>
      <c r="O25" s="25"/>
      <c r="Q25" s="27"/>
      <c r="R25" s="27">
        <v>61282.61</v>
      </c>
      <c r="S25" s="27"/>
      <c r="T25" s="27"/>
      <c r="U25" s="72">
        <v>6665.73</v>
      </c>
      <c r="V25" s="27"/>
      <c r="W25" s="27"/>
      <c r="X25" s="27"/>
      <c r="Y25" s="27"/>
      <c r="Z25" s="27"/>
      <c r="AA25" s="27"/>
      <c r="AB25" s="27"/>
      <c r="AC25" s="29"/>
      <c r="AD25" t="s">
        <v>21</v>
      </c>
      <c r="AG25" s="22">
        <v>0</v>
      </c>
      <c r="AK25" t="s">
        <v>40</v>
      </c>
    </row>
    <row r="26" spans="2:37" ht="12.2" customHeight="1" x14ac:dyDescent="0.2">
      <c r="B26" s="65"/>
      <c r="D26" s="16"/>
      <c r="F26" s="18"/>
      <c r="G26" s="68"/>
      <c r="H26" s="69"/>
      <c r="I26" s="67"/>
      <c r="J26" s="67"/>
      <c r="K26" s="20"/>
      <c r="L26" s="20"/>
      <c r="M26" s="89"/>
      <c r="N26" s="20"/>
      <c r="O26" s="25"/>
      <c r="Q26" s="27"/>
      <c r="R26" s="27"/>
      <c r="S26" s="27"/>
      <c r="T26" s="27"/>
      <c r="U26" s="72"/>
      <c r="V26" s="27"/>
      <c r="W26" s="27"/>
      <c r="X26" s="27"/>
      <c r="Y26" s="27"/>
      <c r="Z26" s="27"/>
      <c r="AA26" s="27"/>
      <c r="AB26" s="27"/>
      <c r="AC26" s="29"/>
      <c r="AG26" s="22"/>
    </row>
    <row r="27" spans="2:37" ht="15.75" x14ac:dyDescent="0.25">
      <c r="B27" s="65" t="s">
        <v>48</v>
      </c>
      <c r="C27" s="15" t="s">
        <v>49</v>
      </c>
      <c r="D27" s="16">
        <v>3</v>
      </c>
      <c r="E27" s="17" t="s">
        <v>50</v>
      </c>
      <c r="F27" s="18" t="s">
        <v>129</v>
      </c>
      <c r="G27" s="19">
        <v>1031586</v>
      </c>
      <c r="H27" s="67">
        <f t="shared" ref="H27:H29" si="10">$H$9</f>
        <v>0.27335999999999999</v>
      </c>
      <c r="I27" s="67">
        <f>$I$20</f>
        <v>0.15284</v>
      </c>
      <c r="J27" s="67">
        <f t="shared" ref="J27:J29" si="11">$J$9</f>
        <v>5.3220000000000003E-2</v>
      </c>
      <c r="K27" s="20">
        <f>ROUND(H27*G27,2)</f>
        <v>281994.34999999998</v>
      </c>
      <c r="L27" s="20">
        <f>ROUND(G27*I27,2)</f>
        <v>157667.6</v>
      </c>
      <c r="M27" s="89">
        <f>ROUND(G27*J27,2)</f>
        <v>54901.01</v>
      </c>
      <c r="N27" s="88">
        <f>SUM(K27:M27)</f>
        <v>494562.95999999996</v>
      </c>
      <c r="O27" s="25">
        <v>-0.01</v>
      </c>
      <c r="Q27" s="21" t="s">
        <v>20</v>
      </c>
      <c r="R27" s="21">
        <v>49965.85</v>
      </c>
      <c r="S27" s="21"/>
      <c r="T27" s="21"/>
      <c r="U27" s="72">
        <v>5434.8</v>
      </c>
      <c r="V27" s="21"/>
      <c r="W27" s="21"/>
      <c r="X27" s="21"/>
      <c r="Y27" s="21"/>
      <c r="Z27" s="21"/>
      <c r="AA27" s="21"/>
      <c r="AB27" s="21"/>
      <c r="AC27" s="28"/>
      <c r="AD27" t="s">
        <v>21</v>
      </c>
      <c r="AG27" s="22">
        <v>0</v>
      </c>
      <c r="AK27" t="s">
        <v>51</v>
      </c>
    </row>
    <row r="28" spans="2:37" ht="15.75" x14ac:dyDescent="0.25">
      <c r="B28" s="65" t="s">
        <v>48</v>
      </c>
      <c r="C28" s="15" t="s">
        <v>52</v>
      </c>
      <c r="D28" s="16">
        <v>3</v>
      </c>
      <c r="E28" s="17" t="s">
        <v>39</v>
      </c>
      <c r="F28" s="18" t="s">
        <v>125</v>
      </c>
      <c r="G28" s="19">
        <v>447130</v>
      </c>
      <c r="H28" s="67">
        <f t="shared" si="10"/>
        <v>0.27335999999999999</v>
      </c>
      <c r="I28" s="67">
        <f>$I$20</f>
        <v>0.15284</v>
      </c>
      <c r="J28" s="67">
        <f t="shared" si="11"/>
        <v>5.3220000000000003E-2</v>
      </c>
      <c r="K28" s="20">
        <f>ROUND(H28*G28,2)</f>
        <v>122227.46</v>
      </c>
      <c r="L28" s="20">
        <f>ROUND(G28*I28,2)</f>
        <v>68339.350000000006</v>
      </c>
      <c r="M28" s="89">
        <f>ROUND(G28*J28,2)</f>
        <v>23796.26</v>
      </c>
      <c r="N28" s="88">
        <f>SUM(K28:M28)</f>
        <v>214363.07</v>
      </c>
      <c r="O28" s="25"/>
      <c r="Q28" s="21" t="s">
        <v>20</v>
      </c>
      <c r="R28" s="21"/>
      <c r="S28" s="21"/>
      <c r="T28" s="21"/>
      <c r="U28" s="72"/>
      <c r="V28" s="21"/>
      <c r="W28" s="21"/>
      <c r="X28" s="21"/>
      <c r="Y28" s="21"/>
      <c r="Z28" s="21"/>
      <c r="AA28" s="21"/>
      <c r="AB28" s="21"/>
      <c r="AC28" s="28"/>
      <c r="AD28" t="s">
        <v>21</v>
      </c>
      <c r="AG28" s="22">
        <v>0</v>
      </c>
      <c r="AK28" t="s">
        <v>53</v>
      </c>
    </row>
    <row r="29" spans="2:37" ht="15" x14ac:dyDescent="0.2">
      <c r="B29" s="65" t="s">
        <v>48</v>
      </c>
      <c r="C29" s="15" t="s">
        <v>54</v>
      </c>
      <c r="D29" s="16">
        <v>3</v>
      </c>
      <c r="E29" s="17" t="s">
        <v>42</v>
      </c>
      <c r="F29" s="18" t="s">
        <v>126</v>
      </c>
      <c r="G29" s="23">
        <v>0</v>
      </c>
      <c r="H29" s="67">
        <f t="shared" si="10"/>
        <v>0.27335999999999999</v>
      </c>
      <c r="I29" s="67">
        <f>$I$9</f>
        <v>0.16533</v>
      </c>
      <c r="J29" s="67">
        <f t="shared" si="11"/>
        <v>5.3220000000000003E-2</v>
      </c>
      <c r="K29" s="20">
        <f>ROUND(H29*G29,2)</f>
        <v>0</v>
      </c>
      <c r="L29" s="20">
        <f>ROUND(G29*I29,2)</f>
        <v>0</v>
      </c>
      <c r="M29" s="89">
        <f>ROUND(G29*J29,2)</f>
        <v>0</v>
      </c>
      <c r="N29" s="20">
        <f>SUM(K29:M29)</f>
        <v>0</v>
      </c>
      <c r="O29" s="25"/>
      <c r="Q29" s="27"/>
      <c r="R29" s="27"/>
      <c r="S29" s="27"/>
      <c r="T29" s="27"/>
      <c r="U29" s="72"/>
      <c r="V29" s="27"/>
      <c r="W29" s="27"/>
      <c r="X29" s="27"/>
      <c r="Y29" s="27"/>
      <c r="Z29" s="27"/>
      <c r="AA29" s="27"/>
      <c r="AB29" s="27"/>
      <c r="AC29" s="22"/>
      <c r="AD29" t="s">
        <v>21</v>
      </c>
      <c r="AG29" s="22">
        <v>0</v>
      </c>
      <c r="AK29" t="s">
        <v>55</v>
      </c>
    </row>
    <row r="30" spans="2:37" ht="12.2" customHeight="1" x14ac:dyDescent="0.2">
      <c r="B30" s="65"/>
      <c r="D30" s="16"/>
      <c r="F30" s="18"/>
      <c r="G30" s="23"/>
      <c r="H30" s="67"/>
      <c r="I30" s="67"/>
      <c r="J30" s="67"/>
      <c r="K30" s="20"/>
      <c r="L30" s="20"/>
      <c r="M30" s="89"/>
      <c r="N30" s="20"/>
      <c r="O30" s="25"/>
      <c r="Q30" s="27"/>
      <c r="R30" s="27">
        <v>17029.240000000002</v>
      </c>
      <c r="S30" s="27"/>
      <c r="T30" s="27"/>
      <c r="U30" s="72">
        <v>1729.72</v>
      </c>
      <c r="V30" s="27"/>
      <c r="W30" s="27"/>
      <c r="X30" s="27"/>
      <c r="Y30" s="27"/>
      <c r="Z30" s="27"/>
      <c r="AA30" s="27"/>
      <c r="AB30" s="27"/>
      <c r="AC30" s="22"/>
      <c r="AG30" s="22"/>
    </row>
    <row r="31" spans="2:37" ht="15.75" x14ac:dyDescent="0.25">
      <c r="B31" s="65" t="s">
        <v>57</v>
      </c>
      <c r="C31" s="15" t="s">
        <v>56</v>
      </c>
      <c r="D31" s="16">
        <v>3</v>
      </c>
      <c r="E31" s="17" t="s">
        <v>50</v>
      </c>
      <c r="F31" s="18" t="s">
        <v>130</v>
      </c>
      <c r="G31" s="19">
        <v>188</v>
      </c>
      <c r="H31" s="67">
        <f t="shared" ref="H31:H33" si="12">$H$9</f>
        <v>0.27335999999999999</v>
      </c>
      <c r="I31" s="67">
        <f>$I$20</f>
        <v>0.15284</v>
      </c>
      <c r="J31" s="67">
        <f t="shared" ref="J31:J33" si="13">$J$9</f>
        <v>5.3220000000000003E-2</v>
      </c>
      <c r="K31" s="20">
        <f t="shared" ref="K31:K33" si="14">ROUND(H31*G31,2)</f>
        <v>51.39</v>
      </c>
      <c r="L31" s="20">
        <f t="shared" ref="L31:L33" si="15">ROUND(G31*I31,2)</f>
        <v>28.73</v>
      </c>
      <c r="M31" s="89">
        <f t="shared" ref="M31:M33" si="16">ROUND(G31*J31,2)</f>
        <v>10.01</v>
      </c>
      <c r="N31" s="20">
        <f t="shared" ref="N31:N33" si="17">SUM(K31:M31)</f>
        <v>90.13000000000001</v>
      </c>
      <c r="O31" s="25"/>
      <c r="Q31" s="21" t="s">
        <v>20</v>
      </c>
      <c r="R31" s="21"/>
      <c r="S31" s="21"/>
      <c r="T31" s="21"/>
      <c r="U31" s="72"/>
      <c r="V31" s="21"/>
      <c r="W31" s="21"/>
      <c r="X31" s="21"/>
      <c r="Y31" s="21"/>
      <c r="Z31" s="21"/>
      <c r="AA31" s="21"/>
      <c r="AB31" s="21"/>
      <c r="AC31" s="28"/>
      <c r="AD31" t="s">
        <v>21</v>
      </c>
      <c r="AG31" s="22">
        <v>0</v>
      </c>
      <c r="AK31" t="s">
        <v>51</v>
      </c>
    </row>
    <row r="32" spans="2:37" ht="15.75" x14ac:dyDescent="0.25">
      <c r="B32" s="65" t="s">
        <v>62</v>
      </c>
      <c r="C32" s="15" t="s">
        <v>46</v>
      </c>
      <c r="D32" s="16">
        <v>3</v>
      </c>
      <c r="E32" s="17" t="s">
        <v>50</v>
      </c>
      <c r="F32" s="18" t="s">
        <v>130</v>
      </c>
      <c r="G32" s="30">
        <v>-188</v>
      </c>
      <c r="H32" s="67">
        <f t="shared" si="12"/>
        <v>0.27335999999999999</v>
      </c>
      <c r="I32" s="67">
        <f>$I$20</f>
        <v>0.15284</v>
      </c>
      <c r="J32" s="67">
        <f t="shared" si="13"/>
        <v>5.3220000000000003E-2</v>
      </c>
      <c r="K32" s="20">
        <f t="shared" si="14"/>
        <v>-51.39</v>
      </c>
      <c r="L32" s="20">
        <f t="shared" si="15"/>
        <v>-28.73</v>
      </c>
      <c r="M32" s="89">
        <f t="shared" si="16"/>
        <v>-10.01</v>
      </c>
      <c r="N32" s="20">
        <f t="shared" si="17"/>
        <v>-90.13000000000001</v>
      </c>
      <c r="O32" s="25"/>
      <c r="Q32" s="27"/>
      <c r="R32" s="27">
        <v>128505.68</v>
      </c>
      <c r="S32" s="27"/>
      <c r="T32" s="27"/>
      <c r="U32" s="72">
        <v>17959.87</v>
      </c>
      <c r="V32" s="27"/>
      <c r="W32" s="27"/>
      <c r="X32" s="27"/>
      <c r="Y32" s="27"/>
      <c r="Z32" s="27"/>
      <c r="AA32" s="27"/>
      <c r="AB32" s="27"/>
      <c r="AC32" s="29"/>
      <c r="AD32" t="s">
        <v>21</v>
      </c>
      <c r="AG32" s="22">
        <v>0</v>
      </c>
      <c r="AK32" t="s">
        <v>51</v>
      </c>
    </row>
    <row r="33" spans="2:37" ht="15.75" x14ac:dyDescent="0.25">
      <c r="B33" s="65" t="s">
        <v>62</v>
      </c>
      <c r="C33" s="15" t="s">
        <v>47</v>
      </c>
      <c r="D33" s="16">
        <v>3</v>
      </c>
      <c r="E33" s="17" t="s">
        <v>50</v>
      </c>
      <c r="F33" s="18" t="s">
        <v>130</v>
      </c>
      <c r="G33" s="30">
        <v>21</v>
      </c>
      <c r="H33" s="67">
        <f t="shared" si="12"/>
        <v>0.27335999999999999</v>
      </c>
      <c r="I33" s="67">
        <f>$I$20</f>
        <v>0.15284</v>
      </c>
      <c r="J33" s="67">
        <f t="shared" si="13"/>
        <v>5.3220000000000003E-2</v>
      </c>
      <c r="K33" s="20">
        <f t="shared" si="14"/>
        <v>5.74</v>
      </c>
      <c r="L33" s="20">
        <f t="shared" si="15"/>
        <v>3.21</v>
      </c>
      <c r="M33" s="89">
        <f t="shared" si="16"/>
        <v>1.1200000000000001</v>
      </c>
      <c r="N33" s="20">
        <f t="shared" si="17"/>
        <v>10.07</v>
      </c>
      <c r="O33" s="20"/>
      <c r="Q33" s="27"/>
      <c r="R33" s="27">
        <v>97.86</v>
      </c>
      <c r="S33" s="27"/>
      <c r="T33" s="27"/>
      <c r="U33" s="72">
        <v>10.64</v>
      </c>
      <c r="V33" s="27"/>
      <c r="W33" s="27"/>
      <c r="X33" s="27"/>
      <c r="Y33" s="27"/>
      <c r="Z33" s="27"/>
      <c r="AA33" s="27"/>
      <c r="AB33" s="27"/>
      <c r="AC33" s="29"/>
      <c r="AD33" t="s">
        <v>21</v>
      </c>
      <c r="AG33" s="22">
        <v>0</v>
      </c>
      <c r="AK33" t="s">
        <v>51</v>
      </c>
    </row>
    <row r="34" spans="2:37" ht="12.2" customHeight="1" x14ac:dyDescent="0.2">
      <c r="B34" s="65"/>
      <c r="D34" s="16"/>
      <c r="F34" s="18"/>
      <c r="G34" s="23"/>
      <c r="H34" s="67"/>
      <c r="I34" s="67"/>
      <c r="J34" s="67"/>
      <c r="K34" s="20"/>
      <c r="L34" s="20"/>
      <c r="M34" s="89"/>
      <c r="N34" s="20"/>
      <c r="O34" s="20"/>
      <c r="Q34" s="27"/>
      <c r="R34" s="27"/>
      <c r="S34" s="27"/>
      <c r="T34" s="27"/>
      <c r="U34" s="72"/>
      <c r="V34" s="27"/>
      <c r="W34" s="27"/>
      <c r="X34" s="27"/>
      <c r="Y34" s="27"/>
      <c r="Z34" s="27"/>
      <c r="AA34" s="27"/>
      <c r="AB34" s="27"/>
      <c r="AC34" s="28"/>
      <c r="AG34" s="22"/>
    </row>
    <row r="35" spans="2:37" ht="15" x14ac:dyDescent="0.2">
      <c r="B35" s="65" t="s">
        <v>57</v>
      </c>
      <c r="C35" s="15" t="s">
        <v>58</v>
      </c>
      <c r="D35" s="16" t="s">
        <v>59</v>
      </c>
      <c r="E35" s="17" t="s">
        <v>60</v>
      </c>
      <c r="F35" s="18" t="s">
        <v>131</v>
      </c>
      <c r="G35" s="23">
        <v>0</v>
      </c>
      <c r="H35" s="67">
        <f t="shared" ref="H35:H37" si="18">$H$9</f>
        <v>0.27335999999999999</v>
      </c>
      <c r="I35" s="66">
        <v>0.1404</v>
      </c>
      <c r="J35" s="67">
        <f t="shared" ref="J35:J37" si="19">$J$9</f>
        <v>5.3220000000000003E-2</v>
      </c>
      <c r="K35" s="20">
        <f>ROUND(H35*G35,2)</f>
        <v>0</v>
      </c>
      <c r="L35" s="20">
        <f>ROUND(G35*I35,2)</f>
        <v>0</v>
      </c>
      <c r="M35" s="89">
        <f>ROUND(G35*J35,2)</f>
        <v>0</v>
      </c>
      <c r="N35" s="94">
        <f>SUM(K35:M35)</f>
        <v>0</v>
      </c>
      <c r="Q35" s="27"/>
      <c r="R35" s="27"/>
      <c r="S35" s="27"/>
      <c r="T35" s="27"/>
      <c r="U35" s="72"/>
      <c r="V35" s="27"/>
      <c r="W35" s="27"/>
      <c r="X35" s="27"/>
      <c r="Y35" s="27"/>
      <c r="Z35" s="27"/>
      <c r="AA35" s="27"/>
      <c r="AB35" s="27"/>
      <c r="AC35" s="22"/>
      <c r="AD35" t="s">
        <v>21</v>
      </c>
      <c r="AG35" s="22">
        <v>0</v>
      </c>
      <c r="AK35" t="s">
        <v>61</v>
      </c>
    </row>
    <row r="36" spans="2:37" ht="15" x14ac:dyDescent="0.2">
      <c r="B36" s="65" t="s">
        <v>62</v>
      </c>
      <c r="C36" s="15" t="s">
        <v>46</v>
      </c>
      <c r="D36" s="16">
        <v>4</v>
      </c>
      <c r="E36" s="17" t="s">
        <v>60</v>
      </c>
      <c r="F36" s="18" t="s">
        <v>131</v>
      </c>
      <c r="G36" s="70">
        <v>0</v>
      </c>
      <c r="H36" s="67">
        <f t="shared" si="18"/>
        <v>0.27335999999999999</v>
      </c>
      <c r="I36" s="67">
        <f>$I$35</f>
        <v>0.1404</v>
      </c>
      <c r="J36" s="67">
        <f t="shared" si="19"/>
        <v>5.3220000000000003E-2</v>
      </c>
      <c r="K36" s="20">
        <f>ROUND(H36*G36,2)</f>
        <v>0</v>
      </c>
      <c r="L36" s="20">
        <f>ROUND(G36*I36,2)</f>
        <v>0</v>
      </c>
      <c r="M36" s="89">
        <f>ROUND(G36*J36,2)</f>
        <v>0</v>
      </c>
      <c r="N36" s="88">
        <f>SUM(K36:M36)</f>
        <v>0</v>
      </c>
      <c r="O36" s="20">
        <f>-N36-80.06</f>
        <v>-80.06</v>
      </c>
      <c r="Q36" s="27"/>
      <c r="R36" s="27">
        <v>18307.25</v>
      </c>
      <c r="S36" s="27"/>
      <c r="T36" s="27"/>
      <c r="U36" s="72">
        <v>1859.59</v>
      </c>
      <c r="V36" s="27"/>
      <c r="W36" s="27"/>
      <c r="X36" s="27"/>
      <c r="Y36" s="27"/>
      <c r="Z36" s="27"/>
      <c r="AA36" s="27"/>
      <c r="AB36" s="27"/>
      <c r="AC36" s="29"/>
      <c r="AD36" t="s">
        <v>21</v>
      </c>
      <c r="AG36" s="22">
        <v>0</v>
      </c>
      <c r="AK36" t="s">
        <v>63</v>
      </c>
    </row>
    <row r="37" spans="2:37" ht="15" x14ac:dyDescent="0.2">
      <c r="B37" s="65" t="s">
        <v>62</v>
      </c>
      <c r="C37" s="15" t="s">
        <v>47</v>
      </c>
      <c r="D37" s="16">
        <v>4</v>
      </c>
      <c r="E37" s="17" t="s">
        <v>60</v>
      </c>
      <c r="F37" s="18" t="s">
        <v>131</v>
      </c>
      <c r="G37" s="70">
        <v>0</v>
      </c>
      <c r="H37" s="67">
        <f t="shared" si="18"/>
        <v>0.27335999999999999</v>
      </c>
      <c r="I37" s="67">
        <f>$I$35</f>
        <v>0.1404</v>
      </c>
      <c r="J37" s="67">
        <f t="shared" si="19"/>
        <v>5.3220000000000003E-2</v>
      </c>
      <c r="K37" s="20">
        <f>ROUND(H37*G37,2)</f>
        <v>0</v>
      </c>
      <c r="L37" s="20">
        <f>ROUND(G37*I37,2)</f>
        <v>0</v>
      </c>
      <c r="M37" s="89">
        <f>ROUND(G37*J37,2)</f>
        <v>0</v>
      </c>
      <c r="N37" s="20">
        <f>SUM(K37:M37)</f>
        <v>0</v>
      </c>
      <c r="O37" s="20"/>
      <c r="Q37" s="27"/>
      <c r="R37" s="27"/>
      <c r="S37" s="27"/>
      <c r="T37" s="27"/>
      <c r="U37" s="72"/>
      <c r="V37" s="27"/>
      <c r="W37" s="27"/>
      <c r="X37" s="27"/>
      <c r="Y37" s="27"/>
      <c r="Z37" s="27"/>
      <c r="AA37" s="27"/>
      <c r="AB37" s="27"/>
      <c r="AC37" s="29"/>
      <c r="AD37" t="s">
        <v>21</v>
      </c>
      <c r="AG37" s="22">
        <v>0</v>
      </c>
      <c r="AK37" t="s">
        <v>63</v>
      </c>
    </row>
    <row r="38" spans="2:37" ht="12.2" customHeight="1" x14ac:dyDescent="0.2">
      <c r="B38" s="65"/>
      <c r="D38" s="16"/>
      <c r="F38" s="18"/>
      <c r="G38" s="23"/>
      <c r="H38" s="67"/>
      <c r="I38" s="67"/>
      <c r="J38" s="67"/>
      <c r="M38" s="89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2"/>
      <c r="AG38" s="22"/>
    </row>
    <row r="39" spans="2:37" ht="15.75" x14ac:dyDescent="0.25">
      <c r="B39" s="65" t="s">
        <v>64</v>
      </c>
      <c r="C39" s="15" t="s">
        <v>65</v>
      </c>
      <c r="D39" s="16" t="s">
        <v>66</v>
      </c>
      <c r="E39" s="17" t="s">
        <v>60</v>
      </c>
      <c r="F39" s="18" t="s">
        <v>131</v>
      </c>
      <c r="G39" s="19">
        <v>118645</v>
      </c>
      <c r="H39" s="67">
        <f t="shared" ref="H39:H44" si="20">$H$9</f>
        <v>0.27335999999999999</v>
      </c>
      <c r="I39" s="67">
        <f t="shared" ref="I39:I44" si="21">$I$35</f>
        <v>0.1404</v>
      </c>
      <c r="J39" s="67">
        <f t="shared" ref="J39:J44" si="22">$J$9</f>
        <v>5.3220000000000003E-2</v>
      </c>
      <c r="K39" s="20">
        <f t="shared" ref="K39:K44" si="23">ROUND(H39*G39,2)</f>
        <v>32432.799999999999</v>
      </c>
      <c r="L39" s="20">
        <f t="shared" ref="L39:L44" si="24">ROUND(G39*I39,2)</f>
        <v>16657.759999999998</v>
      </c>
      <c r="M39" s="89">
        <f t="shared" ref="M39:M43" si="25">ROUND(G39*J39,2)</f>
        <v>6314.29</v>
      </c>
      <c r="N39" s="88">
        <f>SUM(K39:M39)</f>
        <v>55404.85</v>
      </c>
      <c r="O39" s="20">
        <v>0.01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2"/>
      <c r="AD39" t="s">
        <v>21</v>
      </c>
      <c r="AG39" s="22">
        <v>0</v>
      </c>
      <c r="AK39" t="s">
        <v>63</v>
      </c>
    </row>
    <row r="40" spans="2:37" ht="15.75" x14ac:dyDescent="0.25">
      <c r="B40" s="65" t="s">
        <v>64</v>
      </c>
      <c r="C40" s="15" t="s">
        <v>46</v>
      </c>
      <c r="D40" s="16">
        <v>5</v>
      </c>
      <c r="E40" s="17" t="s">
        <v>60</v>
      </c>
      <c r="F40" s="18" t="s">
        <v>131</v>
      </c>
      <c r="G40" s="30">
        <v>-118645</v>
      </c>
      <c r="H40" s="67">
        <f t="shared" si="20"/>
        <v>0.27335999999999999</v>
      </c>
      <c r="I40" s="67">
        <f t="shared" si="21"/>
        <v>0.1404</v>
      </c>
      <c r="J40" s="67">
        <f t="shared" si="22"/>
        <v>5.3220000000000003E-2</v>
      </c>
      <c r="K40" s="20">
        <f t="shared" si="23"/>
        <v>-32432.799999999999</v>
      </c>
      <c r="L40" s="20">
        <f t="shared" si="24"/>
        <v>-16657.759999999998</v>
      </c>
      <c r="M40" s="89">
        <f t="shared" si="25"/>
        <v>-6314.29</v>
      </c>
      <c r="N40" s="88">
        <f t="shared" ref="N40:N44" si="26">SUM(K40:M40)</f>
        <v>-55404.85</v>
      </c>
      <c r="O40" s="20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9"/>
      <c r="AD40" t="s">
        <v>21</v>
      </c>
      <c r="AG40" s="22">
        <v>0</v>
      </c>
      <c r="AK40" t="s">
        <v>61</v>
      </c>
    </row>
    <row r="41" spans="2:37" ht="15.75" x14ac:dyDescent="0.25">
      <c r="B41" s="65" t="s">
        <v>64</v>
      </c>
      <c r="C41" s="15" t="s">
        <v>67</v>
      </c>
      <c r="D41" s="16">
        <v>5</v>
      </c>
      <c r="E41" s="17" t="s">
        <v>60</v>
      </c>
      <c r="F41" s="18" t="s">
        <v>131</v>
      </c>
      <c r="G41" s="30">
        <v>197742</v>
      </c>
      <c r="H41" s="67">
        <f t="shared" si="20"/>
        <v>0.27335999999999999</v>
      </c>
      <c r="I41" s="67">
        <f t="shared" si="21"/>
        <v>0.1404</v>
      </c>
      <c r="J41" s="67">
        <f t="shared" si="22"/>
        <v>5.3220000000000003E-2</v>
      </c>
      <c r="K41" s="20">
        <f t="shared" si="23"/>
        <v>54054.75</v>
      </c>
      <c r="L41" s="20">
        <f t="shared" si="24"/>
        <v>27762.98</v>
      </c>
      <c r="M41" s="89">
        <f t="shared" si="25"/>
        <v>10523.83</v>
      </c>
      <c r="N41" s="88">
        <f t="shared" si="26"/>
        <v>92341.56</v>
      </c>
      <c r="O41" s="20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9"/>
      <c r="AD41" t="s">
        <v>21</v>
      </c>
      <c r="AG41" s="22">
        <v>0</v>
      </c>
      <c r="AK41" t="s">
        <v>61</v>
      </c>
    </row>
    <row r="42" spans="2:37" ht="15" x14ac:dyDescent="0.2">
      <c r="B42" s="65" t="s">
        <v>68</v>
      </c>
      <c r="C42" s="15" t="s">
        <v>69</v>
      </c>
      <c r="D42" s="16">
        <v>5</v>
      </c>
      <c r="E42" s="17" t="s">
        <v>70</v>
      </c>
      <c r="F42" s="18" t="s">
        <v>132</v>
      </c>
      <c r="G42" s="23"/>
      <c r="H42" s="67">
        <f t="shared" si="20"/>
        <v>0.27335999999999999</v>
      </c>
      <c r="I42" s="67">
        <f t="shared" si="21"/>
        <v>0.1404</v>
      </c>
      <c r="J42" s="67">
        <f t="shared" si="22"/>
        <v>5.3220000000000003E-2</v>
      </c>
      <c r="K42" s="20">
        <f t="shared" si="23"/>
        <v>0</v>
      </c>
      <c r="L42" s="20">
        <f t="shared" si="24"/>
        <v>0</v>
      </c>
      <c r="M42" s="89">
        <f t="shared" si="25"/>
        <v>0</v>
      </c>
      <c r="N42" s="88">
        <f t="shared" si="26"/>
        <v>0</v>
      </c>
      <c r="O42" s="20">
        <v>-0.01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2"/>
      <c r="AD42" t="s">
        <v>21</v>
      </c>
      <c r="AG42" s="22">
        <v>0</v>
      </c>
      <c r="AK42" t="s">
        <v>71</v>
      </c>
    </row>
    <row r="43" spans="2:37" ht="15" x14ac:dyDescent="0.2">
      <c r="B43" s="65" t="s">
        <v>64</v>
      </c>
      <c r="C43" s="15" t="s">
        <v>46</v>
      </c>
      <c r="D43" s="16">
        <v>5</v>
      </c>
      <c r="E43" s="17" t="s">
        <v>70</v>
      </c>
      <c r="F43" s="18" t="s">
        <v>132</v>
      </c>
      <c r="G43" s="70">
        <v>0</v>
      </c>
      <c r="H43" s="67">
        <f t="shared" si="20"/>
        <v>0.27335999999999999</v>
      </c>
      <c r="I43" s="67">
        <f t="shared" si="21"/>
        <v>0.1404</v>
      </c>
      <c r="J43" s="67">
        <f t="shared" si="22"/>
        <v>5.3220000000000003E-2</v>
      </c>
      <c r="K43" s="20">
        <f>ROUND(H43*G43,2)</f>
        <v>0</v>
      </c>
      <c r="L43" s="20">
        <f t="shared" si="24"/>
        <v>0</v>
      </c>
      <c r="M43" s="89">
        <f t="shared" si="25"/>
        <v>0</v>
      </c>
      <c r="N43" s="88">
        <f t="shared" si="26"/>
        <v>0</v>
      </c>
      <c r="O43" s="20">
        <v>-0.01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9"/>
      <c r="AD43" t="s">
        <v>21</v>
      </c>
      <c r="AG43" s="22">
        <v>0</v>
      </c>
      <c r="AK43" t="s">
        <v>61</v>
      </c>
    </row>
    <row r="44" spans="2:37" ht="15" x14ac:dyDescent="0.2">
      <c r="B44" s="65" t="s">
        <v>64</v>
      </c>
      <c r="C44" s="15" t="s">
        <v>67</v>
      </c>
      <c r="D44" s="16">
        <v>5</v>
      </c>
      <c r="E44" s="17" t="s">
        <v>70</v>
      </c>
      <c r="F44" s="18" t="s">
        <v>132</v>
      </c>
      <c r="G44" s="70">
        <v>0</v>
      </c>
      <c r="H44" s="67">
        <f t="shared" si="20"/>
        <v>0.27335999999999999</v>
      </c>
      <c r="I44" s="67">
        <f t="shared" si="21"/>
        <v>0.1404</v>
      </c>
      <c r="J44" s="67">
        <f t="shared" si="22"/>
        <v>5.3220000000000003E-2</v>
      </c>
      <c r="K44" s="20">
        <f t="shared" si="23"/>
        <v>0</v>
      </c>
      <c r="L44" s="20">
        <f t="shared" si="24"/>
        <v>0</v>
      </c>
      <c r="M44" s="89">
        <f>ROUND(G44*J44,2)</f>
        <v>0</v>
      </c>
      <c r="N44" s="88">
        <f t="shared" si="26"/>
        <v>0</v>
      </c>
      <c r="O44" s="20">
        <v>0.01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9"/>
      <c r="AD44" t="s">
        <v>21</v>
      </c>
      <c r="AG44" s="22">
        <v>0</v>
      </c>
      <c r="AK44" t="s">
        <v>61</v>
      </c>
    </row>
    <row r="45" spans="2:37" ht="12.2" customHeight="1" x14ac:dyDescent="0.2">
      <c r="B45" s="65"/>
      <c r="D45" s="16"/>
      <c r="F45" s="18"/>
      <c r="G45" s="32"/>
      <c r="H45" s="67"/>
      <c r="I45" s="67"/>
      <c r="J45" s="67"/>
      <c r="K45" s="20"/>
      <c r="L45" s="20"/>
      <c r="M45" s="89"/>
      <c r="N45" s="20"/>
      <c r="O45" s="20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9"/>
      <c r="AG45" s="22"/>
    </row>
    <row r="46" spans="2:37" ht="14.25" x14ac:dyDescent="0.2">
      <c r="B46" s="65" t="s">
        <v>68</v>
      </c>
      <c r="C46" s="15" t="s">
        <v>72</v>
      </c>
      <c r="D46" s="16">
        <v>6</v>
      </c>
      <c r="E46" s="17" t="s">
        <v>60</v>
      </c>
      <c r="F46" s="18"/>
      <c r="G46" s="33">
        <f>'[3]Core Billed Therms '!$J$88</f>
        <v>0</v>
      </c>
      <c r="H46" s="67">
        <f>$H$9</f>
        <v>0.27335999999999999</v>
      </c>
      <c r="I46" s="67">
        <f>$I$35</f>
        <v>0.1404</v>
      </c>
      <c r="J46" s="67">
        <f>$J$9</f>
        <v>5.3220000000000003E-2</v>
      </c>
      <c r="K46" s="20">
        <f>ROUND(H46*G46,2)</f>
        <v>0</v>
      </c>
      <c r="L46" s="20">
        <f>ROUND(G46*I46,2)</f>
        <v>0</v>
      </c>
      <c r="M46" s="89">
        <f>ROUND(G46*J46,2)</f>
        <v>0</v>
      </c>
      <c r="N46" s="20">
        <f>SUM(K46:M46)</f>
        <v>0</v>
      </c>
      <c r="O46" s="20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2"/>
      <c r="AD46" t="s">
        <v>21</v>
      </c>
      <c r="AG46" s="22">
        <v>0</v>
      </c>
      <c r="AK46" t="s">
        <v>73</v>
      </c>
    </row>
    <row r="47" spans="2:37" ht="12.2" customHeight="1" x14ac:dyDescent="0.2">
      <c r="B47" s="65"/>
      <c r="D47" s="16"/>
      <c r="G47" s="33"/>
      <c r="J47" s="34"/>
      <c r="K47" s="20"/>
      <c r="L47" s="20"/>
      <c r="M47" s="89"/>
      <c r="N47" s="20"/>
      <c r="O47" s="20"/>
      <c r="AC47" s="22"/>
      <c r="AG47" s="22"/>
    </row>
    <row r="48" spans="2:37" ht="15" x14ac:dyDescent="0.25">
      <c r="B48" s="71"/>
      <c r="D48" s="35"/>
      <c r="E48" s="36"/>
      <c r="F48" s="17" t="s">
        <v>133</v>
      </c>
      <c r="G48" s="79">
        <f>SUM(G9:G47)</f>
        <v>16882992</v>
      </c>
      <c r="H48" s="37" t="s">
        <v>74</v>
      </c>
      <c r="K48" s="80">
        <f>SUM(K9:K47)</f>
        <v>4615134.6999999993</v>
      </c>
      <c r="L48" s="81">
        <f>SUM(L9:L47)</f>
        <v>2779880.7900000005</v>
      </c>
      <c r="M48" s="39">
        <f>SUM(M9:M47)</f>
        <v>634386.02</v>
      </c>
      <c r="N48" s="39">
        <f>SUM(N9:N47)</f>
        <v>8029401.5099999988</v>
      </c>
      <c r="O48" s="95">
        <v>0.03</v>
      </c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22"/>
      <c r="AG48" s="22"/>
    </row>
    <row r="49" spans="3:37" ht="14.25" x14ac:dyDescent="0.2">
      <c r="C49" s="14"/>
      <c r="D49" s="35"/>
      <c r="F49" s="17" t="s">
        <v>113</v>
      </c>
      <c r="G49" s="79"/>
      <c r="K49" s="39" t="s">
        <v>75</v>
      </c>
      <c r="L49" s="39" t="s">
        <v>75</v>
      </c>
      <c r="M49" s="39"/>
      <c r="N49" s="39"/>
      <c r="O49" s="39"/>
      <c r="Q49" s="39">
        <f>-N48</f>
        <v>-8029401.5099999988</v>
      </c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14" t="s">
        <v>76</v>
      </c>
      <c r="AD49" t="s">
        <v>21</v>
      </c>
      <c r="AG49" s="22">
        <v>0</v>
      </c>
      <c r="AK49" t="s">
        <v>77</v>
      </c>
    </row>
    <row r="50" spans="3:37" ht="15" x14ac:dyDescent="0.25">
      <c r="F50" s="1" t="s">
        <v>114</v>
      </c>
      <c r="G50" s="40">
        <f>+G48+G49</f>
        <v>16882992</v>
      </c>
      <c r="H50" s="41"/>
      <c r="K50" s="39">
        <f>SUM(K48:K49)</f>
        <v>4615134.6999999993</v>
      </c>
      <c r="L50" s="39">
        <f>SUM(L48:L49)</f>
        <v>2779880.7900000005</v>
      </c>
      <c r="M50" s="39">
        <f>SUM(M48:M49)</f>
        <v>634386.02</v>
      </c>
      <c r="N50" s="39">
        <f>SUM(N48:N49)</f>
        <v>8029401.5099999988</v>
      </c>
      <c r="O50" s="39"/>
      <c r="P50" s="20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E50" s="22"/>
    </row>
    <row r="51" spans="3:37" ht="21.75" customHeight="1" x14ac:dyDescent="0.25">
      <c r="G51" s="43" t="s">
        <v>78</v>
      </c>
      <c r="K51" s="39"/>
      <c r="L51" s="44"/>
      <c r="M51" s="39"/>
      <c r="N51" s="39"/>
      <c r="O51" s="39"/>
    </row>
    <row r="52" spans="3:37" ht="21.75" customHeight="1" x14ac:dyDescent="0.2">
      <c r="G52" s="45" t="s">
        <v>79</v>
      </c>
      <c r="H52" s="46"/>
      <c r="L52" s="47"/>
      <c r="M52" s="20"/>
      <c r="N52" s="20"/>
      <c r="O52" s="20"/>
    </row>
    <row r="53" spans="3:37" x14ac:dyDescent="0.2">
      <c r="H53" s="46"/>
      <c r="L53" s="49"/>
      <c r="N53" s="44">
        <v>7</v>
      </c>
      <c r="O53" s="44"/>
    </row>
    <row r="54" spans="3:37" x14ac:dyDescent="0.2">
      <c r="F54" s="17" t="s">
        <v>80</v>
      </c>
      <c r="L54" s="50"/>
      <c r="N54" s="51"/>
      <c r="O54" s="51"/>
    </row>
    <row r="55" spans="3:37" x14ac:dyDescent="0.2">
      <c r="L55" s="50"/>
      <c r="M55" s="52"/>
    </row>
    <row r="56" spans="3:37" x14ac:dyDescent="0.2">
      <c r="G56" s="48">
        <f>+G42+G39+G31+G28+G27+G23+G21+G20+G16+G11+G9</f>
        <v>11839560</v>
      </c>
      <c r="L56" s="50"/>
      <c r="M56" s="52"/>
      <c r="N56" s="53"/>
      <c r="O56" s="53"/>
    </row>
    <row r="57" spans="3:37" x14ac:dyDescent="0.2">
      <c r="G57" s="48">
        <f>+G44+G41+G33+G25</f>
        <v>199842</v>
      </c>
      <c r="L57" s="50"/>
      <c r="M57" s="52"/>
      <c r="N57" s="54"/>
      <c r="O57" s="54"/>
    </row>
    <row r="58" spans="3:37" x14ac:dyDescent="0.2">
      <c r="G58" s="48">
        <f>+G43+G40+G32+G24</f>
        <v>-119334</v>
      </c>
      <c r="L58" s="50"/>
      <c r="M58" s="52"/>
      <c r="N58" s="54"/>
      <c r="O58" s="54"/>
    </row>
    <row r="59" spans="3:37" x14ac:dyDescent="0.2">
      <c r="G59" s="48">
        <f>+G17+G12</f>
        <v>-4233117</v>
      </c>
      <c r="L59" s="50"/>
      <c r="M59" s="54"/>
      <c r="N59" s="52"/>
      <c r="O59" s="52"/>
    </row>
    <row r="60" spans="3:37" x14ac:dyDescent="0.2">
      <c r="L60" s="55"/>
      <c r="N60" s="56"/>
      <c r="O60" s="56"/>
    </row>
    <row r="61" spans="3:37" x14ac:dyDescent="0.2">
      <c r="L61" s="49"/>
      <c r="N61" s="57"/>
      <c r="O61" s="57"/>
    </row>
    <row r="73" spans="7:7" x14ac:dyDescent="0.2">
      <c r="G73" s="48" t="e">
        <f>+G50+#REF!</f>
        <v>#REF!</v>
      </c>
    </row>
    <row r="108" spans="2:28" x14ac:dyDescent="0.2">
      <c r="B108" s="58"/>
      <c r="D108" s="35"/>
    </row>
    <row r="109" spans="2:28" x14ac:dyDescent="0.2">
      <c r="B109" s="58"/>
      <c r="D109" s="35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</row>
    <row r="110" spans="2:28" x14ac:dyDescent="0.2"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</row>
    <row r="111" spans="2:28" x14ac:dyDescent="0.2">
      <c r="D111" s="35"/>
    </row>
    <row r="112" spans="2:28" x14ac:dyDescent="0.2">
      <c r="D112" s="35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view="pageBreakPreview" zoomScaleNormal="100" zoomScaleSheetLayoutView="100" workbookViewId="0">
      <selection activeCell="F34" sqref="F34"/>
    </sheetView>
  </sheetViews>
  <sheetFormatPr defaultRowHeight="12.75" x14ac:dyDescent="0.2"/>
  <cols>
    <col min="1" max="1" width="1.7109375" style="273" customWidth="1"/>
    <col min="2" max="2" width="10" style="273" customWidth="1"/>
    <col min="3" max="3" width="23.7109375" style="273" customWidth="1"/>
    <col min="4" max="4" width="20.42578125" style="273" customWidth="1"/>
    <col min="5" max="5" width="19" style="273" customWidth="1"/>
    <col min="6" max="7" width="16.42578125" style="273" bestFit="1" customWidth="1"/>
    <col min="8" max="8" width="3.7109375" style="273" customWidth="1"/>
    <col min="9" max="16384" width="9.140625" style="273"/>
  </cols>
  <sheetData>
    <row r="1" spans="1:9" ht="18" customHeight="1" x14ac:dyDescent="0.2">
      <c r="A1" s="274"/>
      <c r="B1" s="323" t="s">
        <v>96</v>
      </c>
      <c r="C1" s="323"/>
      <c r="D1" s="323"/>
      <c r="E1" s="323"/>
      <c r="F1" s="323"/>
      <c r="G1" s="325"/>
      <c r="H1" s="324"/>
      <c r="I1" s="274"/>
    </row>
    <row r="2" spans="1:9" ht="15" x14ac:dyDescent="0.2">
      <c r="A2" s="274"/>
      <c r="B2" s="323" t="s">
        <v>97</v>
      </c>
      <c r="C2" s="322">
        <f>'[4]Core Cost Incurred'!B2</f>
        <v>43398</v>
      </c>
      <c r="D2" s="321"/>
      <c r="E2" s="321"/>
      <c r="F2" s="321"/>
      <c r="G2" s="321"/>
      <c r="H2" s="274"/>
      <c r="I2" s="274"/>
    </row>
    <row r="3" spans="1:9" x14ac:dyDescent="0.2">
      <c r="A3" s="274"/>
      <c r="B3" s="274"/>
      <c r="C3" s="274"/>
      <c r="D3" s="274"/>
      <c r="E3" s="274"/>
      <c r="F3" s="274"/>
      <c r="G3" s="274"/>
      <c r="H3" s="274"/>
      <c r="I3" s="274"/>
    </row>
    <row r="4" spans="1:9" ht="15" customHeight="1" thickBot="1" x14ac:dyDescent="0.25">
      <c r="A4" s="274"/>
      <c r="B4" s="344"/>
      <c r="C4" s="344"/>
      <c r="D4" s="344"/>
      <c r="E4" s="344"/>
      <c r="F4" s="320"/>
      <c r="G4" s="319"/>
      <c r="H4" s="274"/>
      <c r="I4" s="274"/>
    </row>
    <row r="5" spans="1:9" ht="14.25" x14ac:dyDescent="0.2">
      <c r="A5" s="274"/>
      <c r="B5" s="318"/>
      <c r="C5" s="318"/>
      <c r="D5" s="316" t="s">
        <v>83</v>
      </c>
      <c r="E5" s="316" t="s">
        <v>84</v>
      </c>
      <c r="F5" s="317" t="s">
        <v>6</v>
      </c>
      <c r="G5" s="316" t="s">
        <v>85</v>
      </c>
      <c r="H5" s="274"/>
      <c r="I5" s="274"/>
    </row>
    <row r="6" spans="1:9" ht="15" x14ac:dyDescent="0.25">
      <c r="A6" s="274"/>
      <c r="B6" s="302" t="s">
        <v>98</v>
      </c>
      <c r="C6" s="315"/>
      <c r="D6" s="313">
        <v>692010</v>
      </c>
      <c r="E6" s="313">
        <v>691010</v>
      </c>
      <c r="F6" s="314">
        <v>693010</v>
      </c>
      <c r="G6" s="313"/>
      <c r="H6" s="278"/>
      <c r="I6" s="274"/>
    </row>
    <row r="7" spans="1:9" ht="16.5" customHeight="1" x14ac:dyDescent="0.2">
      <c r="A7" s="274"/>
      <c r="B7" s="306" t="s">
        <v>99</v>
      </c>
      <c r="C7" s="287"/>
      <c r="D7" s="311">
        <v>4615134.6999999993</v>
      </c>
      <c r="E7" s="311">
        <v>2779880.7900000005</v>
      </c>
      <c r="F7" s="312">
        <v>634386.02</v>
      </c>
      <c r="G7" s="311">
        <v>8029401.5099999998</v>
      </c>
      <c r="H7" s="274"/>
      <c r="I7" s="274"/>
    </row>
    <row r="8" spans="1:9" ht="16.5" customHeight="1" x14ac:dyDescent="0.2">
      <c r="A8" s="274"/>
      <c r="B8" s="306" t="s">
        <v>100</v>
      </c>
      <c r="C8" s="287"/>
      <c r="D8" s="310">
        <f>'[4]Core Cost Incurred'!K42</f>
        <v>5216132.09</v>
      </c>
      <c r="E8" s="310">
        <f>'[4]Core Cost Incurred'!K43</f>
        <v>3766742.8899999992</v>
      </c>
      <c r="F8" s="309">
        <v>0</v>
      </c>
      <c r="G8" s="308">
        <f>SUM(D8:E8)</f>
        <v>8982874.9799999986</v>
      </c>
      <c r="H8" s="274"/>
      <c r="I8" s="274"/>
    </row>
    <row r="9" spans="1:9" ht="16.5" customHeight="1" x14ac:dyDescent="0.2">
      <c r="A9" s="274"/>
      <c r="B9" s="306" t="s">
        <v>101</v>
      </c>
      <c r="C9" s="287"/>
      <c r="D9" s="299">
        <f>D7-D8</f>
        <v>-600997.3900000006</v>
      </c>
      <c r="E9" s="307">
        <f>E7-E8</f>
        <v>-986862.0999999987</v>
      </c>
      <c r="F9" s="307">
        <f>F7-F8</f>
        <v>634386.02</v>
      </c>
      <c r="G9" s="299">
        <f>G7-G8</f>
        <v>-953473.46999999881</v>
      </c>
      <c r="H9" s="274"/>
      <c r="I9" s="274"/>
    </row>
    <row r="10" spans="1:9" ht="16.5" customHeight="1" x14ac:dyDescent="0.2">
      <c r="A10" s="274"/>
      <c r="B10" s="306" t="s">
        <v>102</v>
      </c>
      <c r="C10" s="287"/>
      <c r="D10" s="303">
        <v>2321.48</v>
      </c>
      <c r="E10" s="305"/>
      <c r="F10" s="304"/>
      <c r="G10" s="303">
        <v>2321.48</v>
      </c>
      <c r="H10" s="274"/>
      <c r="I10" s="274"/>
    </row>
    <row r="11" spans="1:9" ht="16.5" customHeight="1" x14ac:dyDescent="0.2">
      <c r="A11" s="274"/>
      <c r="B11" s="302" t="s">
        <v>103</v>
      </c>
      <c r="C11" s="301"/>
      <c r="D11" s="299"/>
      <c r="E11" s="299">
        <v>255885.42</v>
      </c>
      <c r="F11" s="300"/>
      <c r="G11" s="299">
        <v>255885.42</v>
      </c>
      <c r="H11" s="274"/>
      <c r="I11" s="274"/>
    </row>
    <row r="12" spans="1:9" ht="16.5" customHeight="1" x14ac:dyDescent="0.25">
      <c r="A12" s="274"/>
      <c r="B12" s="298" t="s">
        <v>104</v>
      </c>
      <c r="C12" s="297"/>
      <c r="D12" s="295">
        <f>+D7-D8+D10</f>
        <v>-598675.91000000061</v>
      </c>
      <c r="E12" s="295">
        <f>+E9+E11</f>
        <v>-730976.67999999865</v>
      </c>
      <c r="F12" s="296">
        <f>+F7-F8</f>
        <v>634386.02</v>
      </c>
      <c r="G12" s="295">
        <f>G9+G11+G10</f>
        <v>-695266.56999999878</v>
      </c>
      <c r="H12" s="274"/>
      <c r="I12" s="274"/>
    </row>
    <row r="13" spans="1:9" ht="14.25" customHeight="1" x14ac:dyDescent="0.2">
      <c r="A13" s="274"/>
      <c r="B13" s="274"/>
      <c r="C13" s="274"/>
      <c r="D13" s="287"/>
      <c r="E13" s="287"/>
      <c r="F13" s="293"/>
      <c r="G13" s="287"/>
      <c r="H13" s="274"/>
      <c r="I13" s="274"/>
    </row>
    <row r="14" spans="1:9" ht="14.25" customHeight="1" x14ac:dyDescent="0.2">
      <c r="A14" s="274"/>
      <c r="B14" s="274"/>
      <c r="C14" s="274"/>
      <c r="D14" s="287" t="s">
        <v>105</v>
      </c>
      <c r="E14" s="287"/>
      <c r="F14" s="293"/>
      <c r="G14" s="287"/>
      <c r="H14" s="274"/>
      <c r="I14" s="274"/>
    </row>
    <row r="15" spans="1:9" ht="14.25" customHeight="1" x14ac:dyDescent="0.2">
      <c r="A15" s="274"/>
      <c r="B15" s="274"/>
      <c r="C15" s="274"/>
      <c r="D15" s="287"/>
      <c r="E15" s="294"/>
      <c r="F15" s="293"/>
      <c r="G15" s="287"/>
      <c r="H15" s="274"/>
      <c r="I15" s="274"/>
    </row>
    <row r="16" spans="1:9" ht="14.25" customHeight="1" x14ac:dyDescent="0.2">
      <c r="A16" s="274"/>
      <c r="B16" s="284" t="s">
        <v>106</v>
      </c>
      <c r="C16" s="284"/>
      <c r="D16" s="292" t="s">
        <v>92</v>
      </c>
      <c r="E16" s="291" t="s">
        <v>92</v>
      </c>
      <c r="F16" s="290"/>
      <c r="G16" s="280"/>
      <c r="H16" s="274"/>
      <c r="I16" s="274"/>
    </row>
    <row r="17" spans="1:9" ht="14.25" customHeight="1" x14ac:dyDescent="0.2">
      <c r="A17" s="274"/>
      <c r="B17" s="278"/>
      <c r="C17" s="278"/>
      <c r="D17" s="289"/>
      <c r="E17" s="289"/>
      <c r="F17" s="288"/>
      <c r="G17" s="287"/>
      <c r="H17" s="274"/>
      <c r="I17" s="274"/>
    </row>
    <row r="18" spans="1:9" ht="14.25" customHeight="1" x14ac:dyDescent="0.2">
      <c r="A18" s="274"/>
      <c r="B18" s="278"/>
      <c r="C18" s="278"/>
      <c r="D18" s="285">
        <f>-D12</f>
        <v>598675.91000000061</v>
      </c>
      <c r="E18" s="285">
        <f>-E9-E11</f>
        <v>730976.67999999865</v>
      </c>
      <c r="F18" s="286">
        <f>-F12</f>
        <v>-634386.02</v>
      </c>
      <c r="G18" s="285">
        <f>SUM(D18:F18)</f>
        <v>695266.56999999937</v>
      </c>
      <c r="H18" s="274"/>
      <c r="I18" s="274"/>
    </row>
    <row r="19" spans="1:9" ht="14.25" customHeight="1" thickBot="1" x14ac:dyDescent="0.25">
      <c r="A19" s="274"/>
      <c r="B19" s="284" t="s">
        <v>107</v>
      </c>
      <c r="C19" s="284"/>
      <c r="D19" s="283" t="s">
        <v>93</v>
      </c>
      <c r="E19" s="282" t="s">
        <v>94</v>
      </c>
      <c r="F19" s="281"/>
      <c r="G19" s="280"/>
      <c r="H19" s="274"/>
      <c r="I19" s="274"/>
    </row>
    <row r="20" spans="1:9" x14ac:dyDescent="0.2">
      <c r="A20" s="274"/>
      <c r="B20" s="278"/>
      <c r="C20" s="278"/>
      <c r="D20" s="274"/>
      <c r="E20" s="279"/>
      <c r="F20" s="279"/>
      <c r="G20" s="279"/>
      <c r="H20" s="274"/>
      <c r="I20" s="274"/>
    </row>
    <row r="21" spans="1:9" x14ac:dyDescent="0.2">
      <c r="A21" s="274"/>
      <c r="B21" s="274"/>
      <c r="C21" s="274"/>
      <c r="D21" s="278"/>
      <c r="E21" s="277"/>
      <c r="F21" s="276"/>
      <c r="G21" s="274"/>
      <c r="H21" s="274"/>
      <c r="I21" s="274"/>
    </row>
    <row r="22" spans="1:9" x14ac:dyDescent="0.2">
      <c r="A22" s="274"/>
      <c r="B22" s="274"/>
      <c r="C22" s="274"/>
      <c r="D22" s="274"/>
      <c r="E22" s="277"/>
      <c r="F22" s="276"/>
      <c r="G22" s="274"/>
      <c r="H22" s="274"/>
      <c r="I22" s="274"/>
    </row>
    <row r="23" spans="1:9" x14ac:dyDescent="0.2">
      <c r="A23" s="274"/>
      <c r="B23" s="274"/>
      <c r="C23" s="274"/>
      <c r="D23" s="274"/>
      <c r="E23" s="277"/>
      <c r="F23" s="276"/>
      <c r="G23" s="274"/>
      <c r="H23" s="274"/>
      <c r="I23" s="274"/>
    </row>
    <row r="24" spans="1:9" x14ac:dyDescent="0.2">
      <c r="A24" s="274"/>
      <c r="B24" s="274"/>
      <c r="C24" s="274"/>
      <c r="D24" s="274"/>
      <c r="E24" s="274"/>
      <c r="F24" s="276"/>
      <c r="G24" s="274"/>
      <c r="H24" s="274"/>
      <c r="I24" s="274"/>
    </row>
    <row r="25" spans="1:9" x14ac:dyDescent="0.2">
      <c r="A25" s="274"/>
      <c r="B25" s="274"/>
      <c r="C25" s="274"/>
      <c r="D25" s="274"/>
      <c r="E25" s="274"/>
      <c r="F25" s="274"/>
      <c r="G25" s="274"/>
      <c r="H25" s="274"/>
      <c r="I25" s="274"/>
    </row>
    <row r="26" spans="1:9" x14ac:dyDescent="0.2">
      <c r="A26" s="274"/>
      <c r="B26" s="274"/>
      <c r="C26" s="274"/>
      <c r="D26" s="274"/>
      <c r="E26" s="274"/>
      <c r="F26" s="274"/>
      <c r="G26" s="274"/>
      <c r="H26" s="274"/>
      <c r="I26" s="274"/>
    </row>
    <row r="27" spans="1:9" x14ac:dyDescent="0.2">
      <c r="A27" s="274"/>
      <c r="B27" s="275"/>
      <c r="C27" s="275"/>
      <c r="D27" s="274"/>
      <c r="E27" s="274"/>
      <c r="F27" s="274"/>
      <c r="G27" s="274"/>
      <c r="H27" s="274"/>
      <c r="I27" s="274"/>
    </row>
    <row r="28" spans="1:9" x14ac:dyDescent="0.2">
      <c r="A28" s="274"/>
      <c r="B28" s="274"/>
      <c r="C28" s="274"/>
      <c r="D28" s="274"/>
      <c r="E28" s="274"/>
      <c r="F28" s="274"/>
      <c r="G28" s="274"/>
      <c r="H28" s="274"/>
      <c r="I28" s="274"/>
    </row>
  </sheetData>
  <mergeCells count="1">
    <mergeCell ref="B4:E4"/>
  </mergeCells>
  <pageMargins left="0.5" right="0.25" top="0.5" bottom="0.25" header="0.5" footer="0.5"/>
  <pageSetup scale="91" fitToHeight="0" orientation="portrait" r:id="rId1"/>
  <headerFooter scaleWithDoc="0" alignWithMargins="0"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0679F16FC7CFC4C829D7311049FFF87" ma:contentTypeVersion="68" ma:contentTypeDescription="" ma:contentTypeScope="" ma:versionID="d7ff68570fdc7c5a665d214e0e67ed4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2018-11-29T08:00:00+00:00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180788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3D5157C-1190-482E-B92E-0A4A6A6030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E7D5AF-BD2F-40FF-9300-C59ED22E7BD2}"/>
</file>

<file path=customXml/itemProps3.xml><?xml version="1.0" encoding="utf-8"?>
<ds:datastoreItem xmlns:ds="http://schemas.openxmlformats.org/officeDocument/2006/customXml" ds:itemID="{3F947A3A-D16A-4E21-9453-67866B13F330}">
  <ds:schemaRefs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5D7341F-0D90-4F07-BD6A-5111732EEB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Core Cost Incurred</vt:lpstr>
      <vt:lpstr>WA Rates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Oates, Bryan (UTC)</cp:lastModifiedBy>
  <dcterms:created xsi:type="dcterms:W3CDTF">2018-11-27T16:54:20Z</dcterms:created>
  <dcterms:modified xsi:type="dcterms:W3CDTF">2018-11-29T17:58:23Z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0x0101006E56B4D1795A2E4DB2F0B01679ED314A0000679F16FC7CFC4C829D7311049FFF87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