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2980" windowHeight="10524"/>
  </bookViews>
  <sheets>
    <sheet name="Exh. JAP-3 (ERF COS Rev Req)" sheetId="1" r:id="rId1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iterate="1" calcOnSave="0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P31" i="1"/>
  <c r="O31" i="1"/>
  <c r="N31" i="1"/>
  <c r="M31" i="1"/>
  <c r="L31" i="1"/>
  <c r="K31" i="1"/>
  <c r="J31" i="1"/>
  <c r="I31" i="1"/>
  <c r="H31" i="1"/>
  <c r="G31" i="1"/>
  <c r="F31" i="1"/>
  <c r="E32" i="1"/>
  <c r="E31" i="1"/>
  <c r="N39" i="1" l="1"/>
  <c r="J39" i="1"/>
  <c r="D38" i="1"/>
  <c r="B38" i="1"/>
  <c r="D37" i="1"/>
  <c r="B37" i="1"/>
  <c r="P39" i="1"/>
  <c r="M39" i="1"/>
  <c r="L39" i="1"/>
  <c r="H39" i="1"/>
  <c r="N34" i="1"/>
  <c r="O34" i="1"/>
  <c r="K34" i="1"/>
  <c r="J34" i="1"/>
  <c r="G34" i="1"/>
  <c r="F34" i="1"/>
  <c r="B30" i="1"/>
  <c r="D28" i="1"/>
  <c r="B28" i="1"/>
  <c r="B25" i="1"/>
  <c r="P23" i="1"/>
  <c r="H22" i="1"/>
  <c r="F22" i="1"/>
  <c r="O22" i="1"/>
  <c r="N22" i="1"/>
  <c r="M22" i="1"/>
  <c r="L22" i="1"/>
  <c r="K22" i="1"/>
  <c r="J22" i="1"/>
  <c r="I22" i="1"/>
  <c r="G22" i="1"/>
  <c r="E22" i="1"/>
  <c r="B20" i="1"/>
  <c r="D17" i="1"/>
  <c r="B17" i="1"/>
  <c r="B16" i="1"/>
  <c r="B13" i="1"/>
  <c r="B12" i="1"/>
  <c r="B11" i="1"/>
  <c r="B9" i="1"/>
  <c r="B7" i="1"/>
  <c r="B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D5" i="1"/>
  <c r="B5" i="1"/>
  <c r="A5" i="1"/>
  <c r="D12" i="1" l="1"/>
  <c r="E39" i="1"/>
  <c r="I39" i="1"/>
  <c r="F39" i="1"/>
  <c r="F42" i="1" s="1"/>
  <c r="D6" i="1"/>
  <c r="K7" i="1" s="1"/>
  <c r="K10" i="1" s="1"/>
  <c r="K14" i="1" s="1"/>
  <c r="D11" i="1"/>
  <c r="D13" i="1"/>
  <c r="G39" i="1"/>
  <c r="G44" i="1" s="1"/>
  <c r="K39" i="1"/>
  <c r="K44" i="1" s="1"/>
  <c r="O39" i="1"/>
  <c r="O44" i="1" s="1"/>
  <c r="O7" i="1"/>
  <c r="O10" i="1" s="1"/>
  <c r="O14" i="1" s="1"/>
  <c r="I7" i="1"/>
  <c r="I10" i="1" s="1"/>
  <c r="I14" i="1" s="1"/>
  <c r="M7" i="1"/>
  <c r="M10" i="1" s="1"/>
  <c r="M14" i="1" s="1"/>
  <c r="M19" i="1" s="1"/>
  <c r="M21" i="1" s="1"/>
  <c r="M23" i="1" s="1"/>
  <c r="D22" i="1"/>
  <c r="P41" i="1"/>
  <c r="J44" i="1"/>
  <c r="J42" i="1"/>
  <c r="D16" i="1"/>
  <c r="E34" i="1"/>
  <c r="M34" i="1"/>
  <c r="N44" i="1"/>
  <c r="N42" i="1"/>
  <c r="P7" i="1"/>
  <c r="P10" i="1" s="1"/>
  <c r="P14" i="1" s="1"/>
  <c r="P19" i="1" s="1"/>
  <c r="D20" i="1"/>
  <c r="D30" i="1"/>
  <c r="H34" i="1"/>
  <c r="H44" i="1" s="1"/>
  <c r="H42" i="1"/>
  <c r="L34" i="1"/>
  <c r="L44" i="1" s="1"/>
  <c r="L42" i="1"/>
  <c r="P34" i="1"/>
  <c r="P44" i="1" s="1"/>
  <c r="P42" i="1"/>
  <c r="M42" i="1"/>
  <c r="I34" i="1"/>
  <c r="M44" i="1"/>
  <c r="D36" i="1"/>
  <c r="D39" i="1" s="1"/>
  <c r="G7" i="1" l="1"/>
  <c r="G10" i="1" s="1"/>
  <c r="G14" i="1" s="1"/>
  <c r="G41" i="1" s="1"/>
  <c r="I19" i="1"/>
  <c r="I21" i="1" s="1"/>
  <c r="I23" i="1" s="1"/>
  <c r="F44" i="1"/>
  <c r="I41" i="1"/>
  <c r="I44" i="1"/>
  <c r="O41" i="1"/>
  <c r="L7" i="1"/>
  <c r="L10" i="1" s="1"/>
  <c r="L14" i="1" s="1"/>
  <c r="F7" i="1"/>
  <c r="F10" i="1" s="1"/>
  <c r="F14" i="1" s="1"/>
  <c r="F41" i="1" s="1"/>
  <c r="K19" i="1"/>
  <c r="K21" i="1" s="1"/>
  <c r="K23" i="1" s="1"/>
  <c r="K41" i="1"/>
  <c r="E7" i="1"/>
  <c r="N7" i="1"/>
  <c r="N10" i="1" s="1"/>
  <c r="N14" i="1" s="1"/>
  <c r="N41" i="1" s="1"/>
  <c r="E44" i="1"/>
  <c r="O42" i="1"/>
  <c r="H7" i="1"/>
  <c r="H10" i="1" s="1"/>
  <c r="H14" i="1" s="1"/>
  <c r="H19" i="1" s="1"/>
  <c r="H21" i="1" s="1"/>
  <c r="H23" i="1" s="1"/>
  <c r="K42" i="1"/>
  <c r="I42" i="1"/>
  <c r="J7" i="1"/>
  <c r="J10" i="1" s="1"/>
  <c r="J14" i="1" s="1"/>
  <c r="J19" i="1" s="1"/>
  <c r="J21" i="1" s="1"/>
  <c r="J23" i="1" s="1"/>
  <c r="G42" i="1"/>
  <c r="M41" i="1"/>
  <c r="D34" i="1"/>
  <c r="D32" i="1"/>
  <c r="E42" i="1"/>
  <c r="O19" i="1"/>
  <c r="O21" i="1" s="1"/>
  <c r="O23" i="1" s="1"/>
  <c r="J41" i="1" l="1"/>
  <c r="G19" i="1"/>
  <c r="G21" i="1" s="1"/>
  <c r="G23" i="1" s="1"/>
  <c r="D44" i="1"/>
  <c r="H41" i="1"/>
  <c r="D7" i="1"/>
  <c r="L19" i="1"/>
  <c r="L21" i="1" s="1"/>
  <c r="L23" i="1" s="1"/>
  <c r="L41" i="1"/>
  <c r="E10" i="1"/>
  <c r="F19" i="1"/>
  <c r="F21" i="1" s="1"/>
  <c r="F23" i="1" s="1"/>
  <c r="N19" i="1"/>
  <c r="N21" i="1" s="1"/>
  <c r="N23" i="1" s="1"/>
  <c r="D42" i="1"/>
  <c r="D10" i="1"/>
  <c r="D14" i="1" s="1"/>
  <c r="E14" i="1"/>
  <c r="E19" i="1" l="1"/>
  <c r="E41" i="1" l="1"/>
  <c r="D41" i="1" s="1"/>
  <c r="D31" i="1"/>
  <c r="D19" i="1"/>
  <c r="E21" i="1"/>
  <c r="D21" i="1" l="1"/>
  <c r="E23" i="1"/>
  <c r="D23" i="1" l="1"/>
  <c r="E24" i="1" s="1"/>
  <c r="E26" i="1" l="1"/>
  <c r="P24" i="1"/>
  <c r="P26" i="1" s="1"/>
  <c r="P33" i="1" s="1"/>
  <c r="P43" i="1" s="1"/>
  <c r="I24" i="1"/>
  <c r="I26" i="1" s="1"/>
  <c r="I33" i="1" s="1"/>
  <c r="I43" i="1" s="1"/>
  <c r="K24" i="1"/>
  <c r="K26" i="1" s="1"/>
  <c r="K33" i="1" s="1"/>
  <c r="K43" i="1" s="1"/>
  <c r="M24" i="1"/>
  <c r="M26" i="1" s="1"/>
  <c r="M33" i="1" s="1"/>
  <c r="M43" i="1" s="1"/>
  <c r="L24" i="1"/>
  <c r="L26" i="1" s="1"/>
  <c r="L33" i="1" s="1"/>
  <c r="L43" i="1" s="1"/>
  <c r="G24" i="1"/>
  <c r="G26" i="1" s="1"/>
  <c r="G33" i="1" s="1"/>
  <c r="G43" i="1" s="1"/>
  <c r="H24" i="1"/>
  <c r="H26" i="1" s="1"/>
  <c r="H33" i="1" s="1"/>
  <c r="H43" i="1" s="1"/>
  <c r="J24" i="1"/>
  <c r="J26" i="1" s="1"/>
  <c r="J33" i="1" s="1"/>
  <c r="J43" i="1" s="1"/>
  <c r="O24" i="1"/>
  <c r="O26" i="1" s="1"/>
  <c r="O33" i="1" s="1"/>
  <c r="O43" i="1" s="1"/>
  <c r="N24" i="1"/>
  <c r="N26" i="1" s="1"/>
  <c r="N33" i="1" s="1"/>
  <c r="N43" i="1" s="1"/>
  <c r="F24" i="1"/>
  <c r="F26" i="1" s="1"/>
  <c r="F33" i="1" s="1"/>
  <c r="F43" i="1" s="1"/>
  <c r="D26" i="1" l="1"/>
  <c r="E33" i="1"/>
  <c r="D24" i="1"/>
  <c r="D33" i="1" l="1"/>
  <c r="E43" i="1"/>
  <c r="D43" i="1" s="1"/>
</calcChain>
</file>

<file path=xl/sharedStrings.xml><?xml version="1.0" encoding="utf-8"?>
<sst xmlns="http://schemas.openxmlformats.org/spreadsheetml/2006/main" count="80" uniqueCount="80">
  <si>
    <t>Line No.</t>
  </si>
  <si>
    <t>Calculation</t>
  </si>
  <si>
    <t>Description</t>
  </si>
  <si>
    <t>Total</t>
  </si>
  <si>
    <t>Residential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</si>
  <si>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</si>
  <si>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</si>
  <si>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</si>
  <si>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</si>
  <si>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</si>
  <si>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</si>
  <si>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</si>
  <si>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</si>
  <si>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</si>
  <si>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</si>
  <si>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</si>
  <si>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</si>
  <si>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</si>
  <si>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2017 GRC</t>
  </si>
  <si>
    <t>Peak Credit Allocation Factors</t>
  </si>
  <si>
    <t>ENERGY-2</t>
  </si>
  <si>
    <t>DEM-2B</t>
  </si>
  <si>
    <t>PC-3 [25% Demand &amp; 75% Energy]</t>
  </si>
  <si>
    <t>PCA Costs (KJB-03 p3 2017 GRC)</t>
  </si>
  <si>
    <t xml:space="preserve"> = 4 * 6</t>
  </si>
  <si>
    <t>Allocate PCA Costs on PC-3</t>
  </si>
  <si>
    <t xml:space="preserve"> = 7+8+9+10</t>
  </si>
  <si>
    <t>Subtotal PCA Costs (ties to KJB-03 p3 2017 GRC)</t>
  </si>
  <si>
    <t>Non PCA Other Operating Revenue</t>
  </si>
  <si>
    <t>Transportation OATT Revenue</t>
  </si>
  <si>
    <t xml:space="preserve"> = 11+13+14</t>
  </si>
  <si>
    <t>Subtotal  COS Non-ERF Costs</t>
  </si>
  <si>
    <t>Total Cost of Service (Rev Based)</t>
  </si>
  <si>
    <t>Subtotal  Non-ERF Costs - Jurisdictional</t>
  </si>
  <si>
    <t>Subtotal Cost of Service - Jurisdictional</t>
  </si>
  <si>
    <t xml:space="preserve"> = 19-18</t>
  </si>
  <si>
    <t>2017 GRC ERF Requirement - Jurisdictional</t>
  </si>
  <si>
    <t xml:space="preserve"> = 20 / 20</t>
  </si>
  <si>
    <t>% to Total</t>
  </si>
  <si>
    <t>ERF Revenue Requirement (KJB-03 p3 2017 GRC)</t>
  </si>
  <si>
    <t xml:space="preserve"> = 21* 22</t>
  </si>
  <si>
    <t>Allocate ERF Revenue Requirement to Jurisdictional Class</t>
  </si>
  <si>
    <t>2017 GRC Non Jurisdictional</t>
  </si>
  <si>
    <t>kWh Sales - 2017 GRC (YE 9-2016)</t>
  </si>
  <si>
    <t>2017 GRC Unit Cost - PCA</t>
  </si>
  <si>
    <t>2017 GRC Unit Cost - Non-PCA Other Rev &amp; Cost</t>
  </si>
  <si>
    <t xml:space="preserve"> = 23 / 27</t>
  </si>
  <si>
    <t>2017 GRC Unit Cost - Jurisdictional ERF</t>
  </si>
  <si>
    <t xml:space="preserve"> = 25 / 27</t>
  </si>
  <si>
    <t>2017 GRC Unit Cost - Non Jurisdictional</t>
  </si>
  <si>
    <t>YE 03/2018</t>
  </si>
  <si>
    <t>YE March 2018 Billed Sales</t>
  </si>
  <si>
    <t>Change in Unbilled Sales</t>
  </si>
  <si>
    <t>Weather Normalization</t>
  </si>
  <si>
    <t xml:space="preserve"> = 33+34+35</t>
  </si>
  <si>
    <t>Normalized &amp; Delivered YE March 2018 kwh Sales</t>
  </si>
  <si>
    <t xml:space="preserve"> = 28 * 36</t>
  </si>
  <si>
    <t>YE March 2018 - Jurisdictional PCA</t>
  </si>
  <si>
    <t xml:space="preserve"> = 29 * 36</t>
  </si>
  <si>
    <t>YE March 2018 - Jurisdictional Non-PCA Other Rev &amp; Cost</t>
  </si>
  <si>
    <t xml:space="preserve"> = 30 * 36</t>
  </si>
  <si>
    <t>YE March 2018 - Jurisdictional ERF</t>
  </si>
  <si>
    <t xml:space="preserve"> = 31 * 36</t>
  </si>
  <si>
    <t>YE March 2018 - Non Jurisdictional</t>
  </si>
  <si>
    <t>Campus
Schedule 40</t>
  </si>
  <si>
    <t>High Voltage
Schedules
46 &amp; 49</t>
  </si>
  <si>
    <t>Retail Wheeling
Schedules
449 &amp; 459</t>
  </si>
  <si>
    <t>Lighting
Schedules
50-59</t>
  </si>
  <si>
    <t>Firm
Resale</t>
  </si>
  <si>
    <t>Secondary
Voltage
Schedule 24</t>
  </si>
  <si>
    <t>Secondary
Voltage
Schedules
25 &amp; 29</t>
  </si>
  <si>
    <t>Secondary
Voltage
Schedule 26</t>
  </si>
  <si>
    <t>Primary
Voltage
Schedule 31</t>
  </si>
  <si>
    <t>Primary
Voltage
Schedule 35</t>
  </si>
  <si>
    <t>Primary
Voltage
Schedule 43</t>
  </si>
  <si>
    <t xml:space="preserve"> = 7 / 27</t>
  </si>
  <si>
    <t xml:space="preserve"> = (8+9+10+13+14) / 27</t>
  </si>
  <si>
    <t>Sales of Electricity - Non Firm Revenue</t>
  </si>
  <si>
    <t>Wheeling in Exhibit A-1</t>
  </si>
  <si>
    <t>Other Elect Revenue - Non-Core Gas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</si>
</sst>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0_);_(* \(#,##0.00000\);_(* &quot;-&quot;??_);_(@_)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0_);_(* \(#,##0.0000\);_(* &quot;-&quot;????_);_(@_)"/>
    <numFmt numFmtId="170" formatCode="0.0000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univers (E1)"/>
    </font>
    <font>
      <sz val="8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>
      <alignment horizontal="left" wrapText="1"/>
    </xf>
  </cellStyleXfs>
  <cellXfs count="36">
    <xf numFmtId="0" fontId="0" fillId="0" borderId="0" xfId="0"/>
    <xf numFmtId="0" fontId="1" fillId="0" borderId="0" xfId="0" applyFont="1" applyFill="1"/>
    <xf numFmtId="43" fontId="1" fillId="0" borderId="0" xfId="0" applyNumberFormat="1" applyFont="1" applyFill="1"/>
    <xf numFmtId="164" fontId="1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 indent="1"/>
    </xf>
    <xf numFmtId="164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Fill="1" applyAlignment="1">
      <alignment horizontal="left" indent="2"/>
    </xf>
    <xf numFmtId="165" fontId="2" fillId="0" borderId="0" xfId="0" applyNumberFormat="1" applyFont="1" applyFill="1"/>
    <xf numFmtId="166" fontId="2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167" fontId="3" fillId="0" borderId="0" xfId="0" applyNumberFormat="1" applyFont="1" applyFill="1"/>
    <xf numFmtId="167" fontId="2" fillId="0" borderId="0" xfId="0" applyNumberFormat="1" applyFont="1" applyFill="1"/>
    <xf numFmtId="2" fontId="2" fillId="0" borderId="0" xfId="0" applyNumberFormat="1" applyFont="1" applyFill="1" applyAlignment="1">
      <alignment horizontal="left" indent="1"/>
    </xf>
    <xf numFmtId="2" fontId="4" fillId="0" borderId="0" xfId="0" quotePrefix="1" applyNumberFormat="1" applyFont="1" applyFill="1" applyAlignment="1">
      <alignment horizontal="left" indent="2"/>
    </xf>
    <xf numFmtId="0" fontId="1" fillId="0" borderId="0" xfId="0" quotePrefix="1" applyFont="1" applyFill="1" applyAlignment="1">
      <alignment horizontal="left"/>
    </xf>
    <xf numFmtId="167" fontId="1" fillId="0" borderId="0" xfId="0" applyNumberFormat="1" applyFont="1" applyFill="1"/>
    <xf numFmtId="167" fontId="1" fillId="0" borderId="0" xfId="0" applyNumberFormat="1" applyFont="1" applyFill="1" applyAlignment="1">
      <alignment horizontal="left" wrapText="1"/>
    </xf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2"/>
    </xf>
    <xf numFmtId="0" fontId="1" fillId="0" borderId="0" xfId="0" applyFont="1" applyFill="1" applyAlignment="1">
      <alignment horizontal="left" indent="2"/>
    </xf>
    <xf numFmtId="168" fontId="1" fillId="0" borderId="0" xfId="0" applyNumberFormat="1" applyFont="1" applyFill="1"/>
    <xf numFmtId="169" fontId="1" fillId="0" borderId="0" xfId="0" applyNumberFormat="1" applyFont="1" applyFill="1"/>
    <xf numFmtId="0" fontId="3" fillId="0" borderId="0" xfId="0" quotePrefix="1" applyFont="1" applyFill="1" applyAlignment="1">
      <alignment horizontal="left" indent="3"/>
    </xf>
    <xf numFmtId="0" fontId="3" fillId="0" borderId="0" xfId="0" applyFont="1" applyFill="1" applyAlignment="1">
      <alignment horizontal="left"/>
    </xf>
    <xf numFmtId="168" fontId="2" fillId="0" borderId="0" xfId="0" applyNumberFormat="1" applyFont="1" applyFill="1"/>
    <xf numFmtId="0" fontId="2" fillId="0" borderId="0" xfId="0" applyFont="1" applyFill="1" applyAlignment="1">
      <alignment horizontal="left" indent="2"/>
    </xf>
    <xf numFmtId="0" fontId="4" fillId="0" borderId="0" xfId="0" quotePrefix="1" applyFont="1" applyFill="1" applyAlignment="1">
      <alignment horizontal="left"/>
    </xf>
    <xf numFmtId="0" fontId="4" fillId="0" borderId="0" xfId="0" quotePrefix="1" applyFont="1" applyFill="1" applyAlignment="1">
      <alignment horizontal="left" indent="1"/>
    </xf>
    <xf numFmtId="167" fontId="4" fillId="0" borderId="0" xfId="0" applyNumberFormat="1" applyFont="1" applyFill="1"/>
  </cellXfs>
  <cellStyles count="5">
    <cellStyle name="Comma 11 2" xfId="1"/>
    <cellStyle name="Currency 10 2" xfId="2"/>
    <cellStyle name="Currency 26" xfId="3"/>
    <cellStyle name="Normal" xfId="0" builtinId="0"/>
    <cellStyle name="Normal 3 2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8" zoomScaleNormal="88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31" sqref="B31:B32"/>
    </sheetView>
  </sheetViews>
  <sheetFormatPr defaultColWidth="7.21875" defaultRowHeight="13.2"/>
  <cols>
    <col min="1" max="1" width="4.44140625" style="1" bestFit="1" customWidth="1"/>
    <col min="2" max="2" width="20.88671875" style="1" bestFit="1" customWidth="1"/>
    <col min="3" max="3" width="59" style="1" bestFit="1" customWidth="1"/>
    <col min="4" max="5" width="15.109375" style="1" bestFit="1" customWidth="1"/>
    <col min="6" max="9" width="14.109375" style="1" bestFit="1" customWidth="1"/>
    <col min="10" max="10" width="11.109375" style="1" bestFit="1" customWidth="1"/>
    <col min="11" max="13" width="12.44140625" style="1" bestFit="1" customWidth="1"/>
    <col min="14" max="14" width="14.109375" style="1" bestFit="1" customWidth="1"/>
    <col min="15" max="15" width="12.44140625" style="1" bestFit="1" customWidth="1"/>
    <col min="16" max="16" width="10.44140625" style="1" bestFit="1" customWidth="1"/>
    <col min="17" max="17" width="9.88671875" style="1" bestFit="1" customWidth="1"/>
    <col min="18" max="18" width="7.88671875" style="1" bestFit="1" customWidth="1"/>
    <col min="19" max="16384" width="7.21875" style="1"/>
  </cols>
  <sheetData>
    <row r="1" spans="1:16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53.4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69</v>
      </c>
      <c r="G2" s="5" t="s">
        <v>70</v>
      </c>
      <c r="H2" s="5" t="s">
        <v>71</v>
      </c>
      <c r="I2" s="5" t="s">
        <v>72</v>
      </c>
      <c r="J2" s="5" t="s">
        <v>73</v>
      </c>
      <c r="K2" s="5" t="s">
        <v>74</v>
      </c>
      <c r="L2" s="5" t="s">
        <v>64</v>
      </c>
      <c r="M2" s="5" t="s">
        <v>65</v>
      </c>
      <c r="N2" s="5" t="s">
        <v>66</v>
      </c>
      <c r="O2" s="5" t="s">
        <v>67</v>
      </c>
      <c r="P2" s="5" t="s">
        <v>68</v>
      </c>
    </row>
    <row r="3" spans="1:16">
      <c r="B3" s="6"/>
      <c r="C3" s="6"/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pans="1:16">
      <c r="A4" s="8">
        <v>1</v>
      </c>
      <c r="B4" s="9" t="s">
        <v>18</v>
      </c>
      <c r="C4" s="6" t="s">
        <v>19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8">
        <f t="shared" ref="A5:A44" si="0">+A4+1</f>
        <v>2</v>
      </c>
      <c r="B5" s="6" t="str">
        <f>+$B$4</f>
        <v>2017 GRC</v>
      </c>
      <c r="C5" s="10" t="s">
        <v>20</v>
      </c>
      <c r="D5" s="11">
        <f>SUM(E5:P5)</f>
        <v>22311829039.999996</v>
      </c>
      <c r="E5" s="11">
        <v>11362694034.5944</v>
      </c>
      <c r="F5" s="11">
        <v>2983833723.3713889</v>
      </c>
      <c r="G5" s="11">
        <v>3080584885.4856691</v>
      </c>
      <c r="H5" s="11">
        <v>2051022389.543107</v>
      </c>
      <c r="I5" s="11">
        <v>1342870567.1184549</v>
      </c>
      <c r="J5" s="11">
        <v>4594563.3633324662</v>
      </c>
      <c r="K5" s="11">
        <v>124979540.86316925</v>
      </c>
      <c r="L5" s="11">
        <v>639599439.09802258</v>
      </c>
      <c r="M5" s="11">
        <v>632887813.72208166</v>
      </c>
      <c r="N5" s="11">
        <v>0</v>
      </c>
      <c r="O5" s="11">
        <v>81534389.017231286</v>
      </c>
      <c r="P5" s="11">
        <v>7227693.8231415441</v>
      </c>
    </row>
    <row r="6" spans="1:16">
      <c r="A6" s="8">
        <f t="shared" si="0"/>
        <v>3</v>
      </c>
      <c r="B6" s="6" t="str">
        <f t="shared" ref="B6:B9" si="1">+$B$4</f>
        <v>2017 GRC</v>
      </c>
      <c r="C6" s="12" t="s">
        <v>21</v>
      </c>
      <c r="D6" s="11">
        <f>SUM(E6:P6)</f>
        <v>3941657.8585261339</v>
      </c>
      <c r="E6" s="11">
        <v>2401760.8159533199</v>
      </c>
      <c r="F6" s="11">
        <v>483797.35950569448</v>
      </c>
      <c r="G6" s="11">
        <v>452472.55815379717</v>
      </c>
      <c r="H6" s="11">
        <v>261562.891393383</v>
      </c>
      <c r="I6" s="11">
        <v>179157.07260351363</v>
      </c>
      <c r="J6" s="11">
        <v>4.0419526549894496</v>
      </c>
      <c r="K6" s="11">
        <v>0</v>
      </c>
      <c r="L6" s="11">
        <v>80420.565981487191</v>
      </c>
      <c r="M6" s="11">
        <v>67179.705291231017</v>
      </c>
      <c r="N6" s="11">
        <v>0</v>
      </c>
      <c r="O6" s="11">
        <v>13772.381425311305</v>
      </c>
      <c r="P6" s="11">
        <v>1530.4662657410647</v>
      </c>
    </row>
    <row r="7" spans="1:16">
      <c r="A7" s="8">
        <f t="shared" si="0"/>
        <v>4</v>
      </c>
      <c r="B7" s="6" t="str">
        <f t="shared" si="1"/>
        <v>2017 GRC</v>
      </c>
      <c r="C7" s="13" t="s">
        <v>22</v>
      </c>
      <c r="D7" s="14">
        <f>SUM(E7:P7)</f>
        <v>1.0000000000000002</v>
      </c>
      <c r="E7" s="15">
        <f>+E5/$D$5*0.75+E6/$D$6*0.25</f>
        <v>0.53428267414961672</v>
      </c>
      <c r="F7" s="15">
        <f t="shared" ref="F7:P7" si="2">+F5/$D$5*0.75+F6/$D$6*0.25</f>
        <v>0.13098483852655646</v>
      </c>
      <c r="G7" s="15">
        <f t="shared" si="2"/>
        <v>0.13225029791791532</v>
      </c>
      <c r="H7" s="15">
        <f t="shared" si="2"/>
        <v>8.5533651911442882E-2</v>
      </c>
      <c r="I7" s="15">
        <f t="shared" si="2"/>
        <v>5.6502917113085652E-2</v>
      </c>
      <c r="J7" s="15">
        <f t="shared" si="2"/>
        <v>1.5470011013980859E-4</v>
      </c>
      <c r="K7" s="15">
        <f t="shared" si="2"/>
        <v>4.2011193022020825E-3</v>
      </c>
      <c r="L7" s="15">
        <f t="shared" si="2"/>
        <v>2.6600468875824963E-2</v>
      </c>
      <c r="M7" s="15">
        <f t="shared" si="2"/>
        <v>2.5535058472508355E-2</v>
      </c>
      <c r="N7" s="15">
        <f t="shared" si="2"/>
        <v>0</v>
      </c>
      <c r="O7" s="15">
        <f t="shared" si="2"/>
        <v>3.614248664337222E-3</v>
      </c>
      <c r="P7" s="15">
        <f t="shared" si="2"/>
        <v>3.4002495637072092E-4</v>
      </c>
    </row>
    <row r="8" spans="1:16">
      <c r="A8" s="8">
        <f t="shared" si="0"/>
        <v>5</v>
      </c>
      <c r="B8" s="6"/>
      <c r="C8" s="9"/>
      <c r="D8" s="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8">
        <f t="shared" si="0"/>
        <v>6</v>
      </c>
      <c r="B9" s="6" t="str">
        <f t="shared" si="1"/>
        <v>2017 GRC</v>
      </c>
      <c r="C9" s="16" t="s">
        <v>23</v>
      </c>
      <c r="D9" s="17">
        <v>1272516599.3904951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>
      <c r="A10" s="8">
        <f t="shared" si="0"/>
        <v>7</v>
      </c>
      <c r="B10" s="9" t="s">
        <v>24</v>
      </c>
      <c r="C10" s="10" t="s">
        <v>25</v>
      </c>
      <c r="D10" s="18">
        <f>SUM(E10:P10)</f>
        <v>1272516599</v>
      </c>
      <c r="E10" s="18">
        <f>ROUND(E7*$D$9,0)+1</f>
        <v>679883573</v>
      </c>
      <c r="F10" s="18">
        <f t="shared" ref="F10:P10" si="3">ROUND(F7*$D$9,0)</f>
        <v>166680381</v>
      </c>
      <c r="G10" s="18">
        <f t="shared" si="3"/>
        <v>168290699</v>
      </c>
      <c r="H10" s="18">
        <f t="shared" si="3"/>
        <v>108842992</v>
      </c>
      <c r="I10" s="18">
        <f t="shared" si="3"/>
        <v>71900900</v>
      </c>
      <c r="J10" s="18">
        <f t="shared" si="3"/>
        <v>196858</v>
      </c>
      <c r="K10" s="18">
        <f t="shared" si="3"/>
        <v>5345994</v>
      </c>
      <c r="L10" s="18">
        <f t="shared" si="3"/>
        <v>33849538</v>
      </c>
      <c r="M10" s="18">
        <f t="shared" si="3"/>
        <v>32493786</v>
      </c>
      <c r="N10" s="18">
        <f t="shared" si="3"/>
        <v>0</v>
      </c>
      <c r="O10" s="18">
        <f t="shared" si="3"/>
        <v>4599191</v>
      </c>
      <c r="P10" s="18">
        <f t="shared" si="3"/>
        <v>432687</v>
      </c>
    </row>
    <row r="11" spans="1:16">
      <c r="A11" s="8">
        <f t="shared" si="0"/>
        <v>8</v>
      </c>
      <c r="B11" s="6" t="str">
        <f t="shared" ref="B11:B13" si="4">+$B$4</f>
        <v>2017 GRC</v>
      </c>
      <c r="C11" s="10" t="s">
        <v>77</v>
      </c>
      <c r="D11" s="18">
        <f>SUM(E11:P11)</f>
        <v>36228866.835230462</v>
      </c>
      <c r="E11" s="18">
        <v>19356455.854137294</v>
      </c>
      <c r="F11" s="18">
        <v>4745432.2724127788</v>
      </c>
      <c r="G11" s="18">
        <v>4791278.4321877118</v>
      </c>
      <c r="H11" s="18">
        <v>3098787.2850306202</v>
      </c>
      <c r="I11" s="18">
        <v>2047036.659892045</v>
      </c>
      <c r="J11" s="18">
        <v>5604.6096896506124</v>
      </c>
      <c r="K11" s="18">
        <v>152201.79175839559</v>
      </c>
      <c r="L11" s="18">
        <v>963704.84465695533</v>
      </c>
      <c r="M11" s="18">
        <v>925106.23303032876</v>
      </c>
      <c r="N11" s="18">
        <v>0</v>
      </c>
      <c r="O11" s="18">
        <v>130940.13356968279</v>
      </c>
      <c r="P11" s="18">
        <v>12318.7188650099</v>
      </c>
    </row>
    <row r="12" spans="1:16">
      <c r="A12" s="8">
        <f t="shared" si="0"/>
        <v>9</v>
      </c>
      <c r="B12" s="6" t="str">
        <f t="shared" si="4"/>
        <v>2017 GRC</v>
      </c>
      <c r="C12" s="10" t="s">
        <v>78</v>
      </c>
      <c r="D12" s="18">
        <f>SUM(E12:P12)</f>
        <v>11639833.365925672</v>
      </c>
      <c r="E12" s="18">
        <v>6218961.2974027004</v>
      </c>
      <c r="F12" s="18">
        <v>1524641.6939117978</v>
      </c>
      <c r="G12" s="18">
        <v>1539371.430358561</v>
      </c>
      <c r="H12" s="18">
        <v>995597.45542828483</v>
      </c>
      <c r="I12" s="18">
        <v>657684.53988502687</v>
      </c>
      <c r="J12" s="18">
        <v>1800.6835037177198</v>
      </c>
      <c r="K12" s="18">
        <v>48900.328628006158</v>
      </c>
      <c r="L12" s="18">
        <v>309625.02517009468</v>
      </c>
      <c r="M12" s="18">
        <v>297223.82560916565</v>
      </c>
      <c r="N12" s="18">
        <v>0</v>
      </c>
      <c r="O12" s="18">
        <v>42069.252195904679</v>
      </c>
      <c r="P12" s="18">
        <v>3957.8338324113374</v>
      </c>
    </row>
    <row r="13" spans="1:16">
      <c r="A13" s="8">
        <f t="shared" si="0"/>
        <v>10</v>
      </c>
      <c r="B13" s="6" t="str">
        <f t="shared" si="4"/>
        <v>2017 GRC</v>
      </c>
      <c r="C13" s="19" t="s">
        <v>79</v>
      </c>
      <c r="D13" s="18">
        <f>SUM(E13:P13)</f>
        <v>16223873.273980577</v>
      </c>
      <c r="E13" s="18">
        <v>8668134.3978868369</v>
      </c>
      <c r="F13" s="18">
        <v>2125081.4210676602</v>
      </c>
      <c r="G13" s="18">
        <v>2145612.0738664349</v>
      </c>
      <c r="H13" s="18">
        <v>1387687.1292720155</v>
      </c>
      <c r="I13" s="18">
        <v>916696.16685292986</v>
      </c>
      <c r="J13" s="18">
        <v>2509.8349823790918</v>
      </c>
      <c r="K13" s="18">
        <v>68158.42716780027</v>
      </c>
      <c r="L13" s="18">
        <v>431562.63606984867</v>
      </c>
      <c r="M13" s="18">
        <v>414277.5527016595</v>
      </c>
      <c r="N13" s="18">
        <v>0</v>
      </c>
      <c r="O13" s="18">
        <v>58637.112310860633</v>
      </c>
      <c r="P13" s="18">
        <v>5516.5218021493492</v>
      </c>
    </row>
    <row r="14" spans="1:16">
      <c r="A14" s="8">
        <f t="shared" si="0"/>
        <v>11</v>
      </c>
      <c r="B14" s="6" t="s">
        <v>26</v>
      </c>
      <c r="C14" s="20" t="s">
        <v>27</v>
      </c>
      <c r="D14" s="18">
        <f>SUM(D10:D13)</f>
        <v>1336609172.4751368</v>
      </c>
      <c r="E14" s="18">
        <f t="shared" ref="E14:P14" si="5">SUM(E10:E13)</f>
        <v>714127124.54942691</v>
      </c>
      <c r="F14" s="18">
        <f t="shared" si="5"/>
        <v>175075536.38739222</v>
      </c>
      <c r="G14" s="18">
        <f t="shared" si="5"/>
        <v>176766960.93641269</v>
      </c>
      <c r="H14" s="18">
        <f t="shared" si="5"/>
        <v>114325063.86973092</v>
      </c>
      <c r="I14" s="18">
        <f t="shared" si="5"/>
        <v>75522317.366630018</v>
      </c>
      <c r="J14" s="18">
        <f t="shared" si="5"/>
        <v>206773.12817574741</v>
      </c>
      <c r="K14" s="18">
        <f t="shared" si="5"/>
        <v>5615254.5475542024</v>
      </c>
      <c r="L14" s="18">
        <f t="shared" si="5"/>
        <v>35554430.505896896</v>
      </c>
      <c r="M14" s="18">
        <f t="shared" si="5"/>
        <v>34130393.611341156</v>
      </c>
      <c r="N14" s="18">
        <f t="shared" si="5"/>
        <v>0</v>
      </c>
      <c r="O14" s="18">
        <f t="shared" si="5"/>
        <v>4830837.4980764482</v>
      </c>
      <c r="P14" s="18">
        <f t="shared" si="5"/>
        <v>454480.07449957059</v>
      </c>
    </row>
    <row r="15" spans="1:16">
      <c r="A15" s="8">
        <f t="shared" si="0"/>
        <v>12</v>
      </c>
      <c r="B15" s="6"/>
      <c r="C15" s="6"/>
      <c r="D15" s="1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>
      <c r="A16" s="8">
        <f t="shared" si="0"/>
        <v>13</v>
      </c>
      <c r="B16" s="6" t="str">
        <f t="shared" ref="B16:B17" si="6">+$B$4</f>
        <v>2017 GRC</v>
      </c>
      <c r="C16" s="13" t="s">
        <v>28</v>
      </c>
      <c r="D16" s="18">
        <f>SUM(E16:P16)</f>
        <v>47133252.510000005</v>
      </c>
      <c r="E16" s="18">
        <v>26548974.942928895</v>
      </c>
      <c r="F16" s="18">
        <v>8534033.8156739082</v>
      </c>
      <c r="G16" s="18">
        <v>3423903.0987699297</v>
      </c>
      <c r="H16" s="18">
        <v>1720328.5354053101</v>
      </c>
      <c r="I16" s="18">
        <v>1928302.8082880245</v>
      </c>
      <c r="J16" s="18">
        <v>12404.747206931508</v>
      </c>
      <c r="K16" s="18">
        <v>210180.66959481023</v>
      </c>
      <c r="L16" s="18">
        <v>466030.91897843953</v>
      </c>
      <c r="M16" s="18">
        <v>3199368.260269131</v>
      </c>
      <c r="N16" s="18">
        <v>878489.31894893828</v>
      </c>
      <c r="O16" s="18">
        <v>194087.25088688251</v>
      </c>
      <c r="P16" s="18">
        <v>17148.143048811377</v>
      </c>
    </row>
    <row r="17" spans="1:17">
      <c r="A17" s="8">
        <f t="shared" si="0"/>
        <v>14</v>
      </c>
      <c r="B17" s="6" t="str">
        <f t="shared" si="6"/>
        <v>2017 GRC</v>
      </c>
      <c r="C17" s="13" t="s">
        <v>29</v>
      </c>
      <c r="D17" s="18">
        <f>SUM(E17:P17)</f>
        <v>7494526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7494526</v>
      </c>
      <c r="O17" s="18">
        <v>0</v>
      </c>
      <c r="P17" s="18">
        <v>0</v>
      </c>
    </row>
    <row r="18" spans="1:17">
      <c r="A18" s="8">
        <f t="shared" si="0"/>
        <v>15</v>
      </c>
      <c r="B18" s="9"/>
      <c r="C18" s="12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7">
      <c r="A19" s="8">
        <f t="shared" si="0"/>
        <v>16</v>
      </c>
      <c r="B19" s="21" t="s">
        <v>30</v>
      </c>
      <c r="C19" s="21" t="s">
        <v>31</v>
      </c>
      <c r="D19" s="22">
        <f t="shared" ref="D19:D24" si="7">SUM(E19:P19)</f>
        <v>1391236950.9851367</v>
      </c>
      <c r="E19" s="22">
        <f>SUM(E16:E17,E14)</f>
        <v>740676099.49235582</v>
      </c>
      <c r="F19" s="22">
        <f t="shared" ref="F19:P19" si="8">SUM(F16:F17,F14)</f>
        <v>183609570.20306614</v>
      </c>
      <c r="G19" s="22">
        <f t="shared" si="8"/>
        <v>180190864.03518263</v>
      </c>
      <c r="H19" s="22">
        <f t="shared" si="8"/>
        <v>116045392.40513623</v>
      </c>
      <c r="I19" s="22">
        <f t="shared" si="8"/>
        <v>77450620.174918041</v>
      </c>
      <c r="J19" s="22">
        <f t="shared" si="8"/>
        <v>219177.8753826789</v>
      </c>
      <c r="K19" s="22">
        <f t="shared" si="8"/>
        <v>5825435.2171490127</v>
      </c>
      <c r="L19" s="22">
        <f t="shared" si="8"/>
        <v>36020461.424875334</v>
      </c>
      <c r="M19" s="22">
        <f t="shared" si="8"/>
        <v>37329761.871610284</v>
      </c>
      <c r="N19" s="22">
        <f t="shared" si="8"/>
        <v>8373015.3189489385</v>
      </c>
      <c r="O19" s="22">
        <f t="shared" si="8"/>
        <v>5024924.7489633309</v>
      </c>
      <c r="P19" s="22">
        <f t="shared" si="8"/>
        <v>471628.21754838194</v>
      </c>
    </row>
    <row r="20" spans="1:17">
      <c r="A20" s="8">
        <f t="shared" si="0"/>
        <v>17</v>
      </c>
      <c r="B20" s="6" t="str">
        <f t="shared" ref="B20" si="9">+$B$4</f>
        <v>2017 GRC</v>
      </c>
      <c r="C20" s="21" t="s">
        <v>32</v>
      </c>
      <c r="D20" s="22">
        <f t="shared" si="7"/>
        <v>2106740736.8843014</v>
      </c>
      <c r="E20" s="23">
        <v>1147488745.4392049</v>
      </c>
      <c r="F20" s="23">
        <v>287653292.55839664</v>
      </c>
      <c r="G20" s="23">
        <v>268670222.41228491</v>
      </c>
      <c r="H20" s="23">
        <v>162948698.13338766</v>
      </c>
      <c r="I20" s="23">
        <v>108440438.15551822</v>
      </c>
      <c r="J20" s="23">
        <v>270533.87533587875</v>
      </c>
      <c r="K20" s="23">
        <v>10817267.215199839</v>
      </c>
      <c r="L20" s="23">
        <v>47285916.91672685</v>
      </c>
      <c r="M20" s="23">
        <v>45689666.056165434</v>
      </c>
      <c r="N20" s="23">
        <v>8836743.7356319316</v>
      </c>
      <c r="O20" s="23">
        <v>17915836.230720989</v>
      </c>
      <c r="P20" s="23">
        <v>723376.15572802676</v>
      </c>
      <c r="Q20" s="23"/>
    </row>
    <row r="21" spans="1:17">
      <c r="A21" s="8">
        <f t="shared" si="0"/>
        <v>18</v>
      </c>
      <c r="B21" s="21"/>
      <c r="C21" s="24" t="s">
        <v>33</v>
      </c>
      <c r="D21" s="22">
        <f t="shared" si="7"/>
        <v>1390765322.7675884</v>
      </c>
      <c r="E21" s="22">
        <f t="shared" ref="E21:O22" si="10">+E19</f>
        <v>740676099.49235582</v>
      </c>
      <c r="F21" s="22">
        <f t="shared" si="10"/>
        <v>183609570.20306614</v>
      </c>
      <c r="G21" s="22">
        <f t="shared" si="10"/>
        <v>180190864.03518263</v>
      </c>
      <c r="H21" s="22">
        <f t="shared" si="10"/>
        <v>116045392.40513623</v>
      </c>
      <c r="I21" s="22">
        <f t="shared" si="10"/>
        <v>77450620.174918041</v>
      </c>
      <c r="J21" s="22">
        <f t="shared" si="10"/>
        <v>219177.8753826789</v>
      </c>
      <c r="K21" s="22">
        <f t="shared" si="10"/>
        <v>5825435.2171490127</v>
      </c>
      <c r="L21" s="22">
        <f t="shared" si="10"/>
        <v>36020461.424875334</v>
      </c>
      <c r="M21" s="22">
        <f t="shared" si="10"/>
        <v>37329761.871610284</v>
      </c>
      <c r="N21" s="22">
        <f t="shared" si="10"/>
        <v>8373015.3189489385</v>
      </c>
      <c r="O21" s="22">
        <f t="shared" si="10"/>
        <v>5024924.7489633309</v>
      </c>
      <c r="P21" s="22">
        <v>0</v>
      </c>
    </row>
    <row r="22" spans="1:17">
      <c r="A22" s="8">
        <f t="shared" si="0"/>
        <v>19</v>
      </c>
      <c r="B22" s="6"/>
      <c r="C22" s="24" t="s">
        <v>34</v>
      </c>
      <c r="D22" s="22">
        <f t="shared" si="7"/>
        <v>2106017360.7285733</v>
      </c>
      <c r="E22" s="23">
        <f t="shared" si="10"/>
        <v>1147488745.4392049</v>
      </c>
      <c r="F22" s="23">
        <f t="shared" si="10"/>
        <v>287653292.55839664</v>
      </c>
      <c r="G22" s="23">
        <f t="shared" si="10"/>
        <v>268670222.41228491</v>
      </c>
      <c r="H22" s="23">
        <f t="shared" si="10"/>
        <v>162948698.13338766</v>
      </c>
      <c r="I22" s="23">
        <f t="shared" si="10"/>
        <v>108440438.15551822</v>
      </c>
      <c r="J22" s="23">
        <f t="shared" si="10"/>
        <v>270533.87533587875</v>
      </c>
      <c r="K22" s="23">
        <f t="shared" si="10"/>
        <v>10817267.215199839</v>
      </c>
      <c r="L22" s="23">
        <f t="shared" si="10"/>
        <v>47285916.91672685</v>
      </c>
      <c r="M22" s="23">
        <f t="shared" si="10"/>
        <v>45689666.056165434</v>
      </c>
      <c r="N22" s="23">
        <f t="shared" si="10"/>
        <v>8836743.7356319316</v>
      </c>
      <c r="O22" s="23">
        <f t="shared" si="10"/>
        <v>17915836.230720989</v>
      </c>
      <c r="P22" s="23">
        <v>0</v>
      </c>
      <c r="Q22" s="23"/>
    </row>
    <row r="23" spans="1:17">
      <c r="A23" s="8">
        <f t="shared" si="0"/>
        <v>20</v>
      </c>
      <c r="B23" s="21" t="s">
        <v>35</v>
      </c>
      <c r="C23" s="25" t="s">
        <v>36</v>
      </c>
      <c r="D23" s="22">
        <f t="shared" si="7"/>
        <v>715252037.96098483</v>
      </c>
      <c r="E23" s="22">
        <f t="shared" ref="E23:P23" si="11">+E22-E21</f>
        <v>406812645.94684911</v>
      </c>
      <c r="F23" s="22">
        <f t="shared" si="11"/>
        <v>104043722.3553305</v>
      </c>
      <c r="G23" s="22">
        <f t="shared" si="11"/>
        <v>88479358.377102286</v>
      </c>
      <c r="H23" s="22">
        <f t="shared" si="11"/>
        <v>46903305.728251427</v>
      </c>
      <c r="I23" s="22">
        <f t="shared" si="11"/>
        <v>30989817.980600178</v>
      </c>
      <c r="J23" s="22">
        <f t="shared" si="11"/>
        <v>51355.999953199847</v>
      </c>
      <c r="K23" s="22">
        <f t="shared" si="11"/>
        <v>4991831.9980508266</v>
      </c>
      <c r="L23" s="22">
        <f t="shared" si="11"/>
        <v>11265455.491851516</v>
      </c>
      <c r="M23" s="22">
        <f t="shared" si="11"/>
        <v>8359904.1845551506</v>
      </c>
      <c r="N23" s="22">
        <f t="shared" si="11"/>
        <v>463728.41668299306</v>
      </c>
      <c r="O23" s="22">
        <f t="shared" si="11"/>
        <v>12890911.481757659</v>
      </c>
      <c r="P23" s="22">
        <f t="shared" si="11"/>
        <v>0</v>
      </c>
    </row>
    <row r="24" spans="1:17">
      <c r="A24" s="8">
        <f t="shared" si="0"/>
        <v>21</v>
      </c>
      <c r="B24" s="21" t="s">
        <v>37</v>
      </c>
      <c r="C24" s="26" t="s">
        <v>38</v>
      </c>
      <c r="D24" s="27">
        <f t="shared" si="7"/>
        <v>1</v>
      </c>
      <c r="E24" s="28">
        <f t="shared" ref="E24:P24" si="12">+E23/$D$23</f>
        <v>0.56876824441713747</v>
      </c>
      <c r="F24" s="28">
        <f t="shared" si="12"/>
        <v>0.14546441930027162</v>
      </c>
      <c r="G24" s="28">
        <f t="shared" si="12"/>
        <v>0.12370374872238897</v>
      </c>
      <c r="H24" s="28">
        <f t="shared" si="12"/>
        <v>6.5575913438795236E-2</v>
      </c>
      <c r="I24" s="28">
        <f t="shared" si="12"/>
        <v>4.3327129928835792E-2</v>
      </c>
      <c r="J24" s="28">
        <f t="shared" si="12"/>
        <v>7.1801263369488205E-5</v>
      </c>
      <c r="K24" s="28">
        <f t="shared" si="12"/>
        <v>6.9791230686757138E-3</v>
      </c>
      <c r="L24" s="28">
        <f t="shared" si="12"/>
        <v>1.5750329805374171E-2</v>
      </c>
      <c r="M24" s="28">
        <f t="shared" si="12"/>
        <v>1.168805363824935E-2</v>
      </c>
      <c r="N24" s="28">
        <f t="shared" si="12"/>
        <v>6.4834267093453319E-4</v>
      </c>
      <c r="O24" s="28">
        <f t="shared" si="12"/>
        <v>1.8022893745967664E-2</v>
      </c>
      <c r="P24" s="28">
        <f t="shared" si="12"/>
        <v>0</v>
      </c>
    </row>
    <row r="25" spans="1:17">
      <c r="A25" s="8">
        <f t="shared" si="0"/>
        <v>22</v>
      </c>
      <c r="B25" s="6" t="str">
        <f t="shared" ref="B25" si="13">+$B$4</f>
        <v>2017 GRC</v>
      </c>
      <c r="C25" s="29" t="s">
        <v>39</v>
      </c>
      <c r="D25" s="17">
        <v>723773727.93120742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7">
      <c r="A26" s="8">
        <f t="shared" si="0"/>
        <v>23</v>
      </c>
      <c r="B26" s="21" t="s">
        <v>40</v>
      </c>
      <c r="C26" s="29" t="s">
        <v>41</v>
      </c>
      <c r="D26" s="22">
        <f>SUM(E26:P26)</f>
        <v>723773727.93120754</v>
      </c>
      <c r="E26" s="22">
        <f t="shared" ref="E26:P26" si="14">+E24*$D$25</f>
        <v>411659512.59067976</v>
      </c>
      <c r="F26" s="22">
        <f t="shared" si="14"/>
        <v>105283325.03830588</v>
      </c>
      <c r="G26" s="22">
        <f t="shared" si="14"/>
        <v>89533523.371868804</v>
      </c>
      <c r="H26" s="22">
        <f t="shared" si="14"/>
        <v>47462123.332090989</v>
      </c>
      <c r="I26" s="22">
        <f t="shared" si="14"/>
        <v>31359038.349153269</v>
      </c>
      <c r="J26" s="22">
        <f t="shared" si="14"/>
        <v>51967.868059104927</v>
      </c>
      <c r="K26" s="22">
        <f t="shared" si="14"/>
        <v>5051305.9211061094</v>
      </c>
      <c r="L26" s="22">
        <f t="shared" si="14"/>
        <v>11399674.919381673</v>
      </c>
      <c r="M26" s="22">
        <f t="shared" si="14"/>
        <v>8459506.1540156435</v>
      </c>
      <c r="N26" s="22">
        <f t="shared" si="14"/>
        <v>469253.39191916317</v>
      </c>
      <c r="O26" s="22">
        <f t="shared" si="14"/>
        <v>13044496.99462706</v>
      </c>
      <c r="P26" s="22">
        <f t="shared" si="14"/>
        <v>0</v>
      </c>
      <c r="Q26" s="22"/>
    </row>
    <row r="27" spans="1:17">
      <c r="A27" s="8">
        <f t="shared" si="0"/>
        <v>24</v>
      </c>
      <c r="C27" s="3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7">
      <c r="A28" s="8">
        <f t="shared" si="0"/>
        <v>25</v>
      </c>
      <c r="B28" s="6" t="str">
        <f t="shared" ref="B28" si="15">+$B$4</f>
        <v>2017 GRC</v>
      </c>
      <c r="C28" s="21" t="s">
        <v>42</v>
      </c>
      <c r="D28" s="22">
        <f>SUM(E28:P28)</f>
        <v>684434.93817964476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684434.93817964476</v>
      </c>
    </row>
    <row r="29" spans="1:17">
      <c r="A29" s="8">
        <f t="shared" si="0"/>
        <v>26</v>
      </c>
      <c r="D29" s="3"/>
      <c r="L29" s="3"/>
    </row>
    <row r="30" spans="1:17">
      <c r="A30" s="8">
        <f t="shared" si="0"/>
        <v>27</v>
      </c>
      <c r="B30" s="6" t="str">
        <f t="shared" ref="B30" si="16">+$B$4</f>
        <v>2017 GRC</v>
      </c>
      <c r="C30" s="9" t="s">
        <v>43</v>
      </c>
      <c r="D30" s="3">
        <f>SUM(E30:P30)</f>
        <v>22821309438.495499</v>
      </c>
      <c r="E30" s="11">
        <v>10442426485.066896</v>
      </c>
      <c r="F30" s="11">
        <v>2787584113.8710937</v>
      </c>
      <c r="G30" s="11">
        <v>2853785786.8610811</v>
      </c>
      <c r="H30" s="11">
        <v>1892054744.3816462</v>
      </c>
      <c r="I30" s="11">
        <v>1284401574.4586966</v>
      </c>
      <c r="J30" s="11">
        <v>4452600</v>
      </c>
      <c r="K30" s="11">
        <v>119660401.46477678</v>
      </c>
      <c r="L30" s="11">
        <v>621678726.33913088</v>
      </c>
      <c r="M30" s="11">
        <v>632259216.69799995</v>
      </c>
      <c r="N30" s="11">
        <v>2098103636.6259997</v>
      </c>
      <c r="O30" s="11">
        <v>77972349.305999994</v>
      </c>
      <c r="P30" s="11">
        <v>6929803.4221808296</v>
      </c>
    </row>
    <row r="31" spans="1:17">
      <c r="A31" s="8">
        <f t="shared" si="0"/>
        <v>28</v>
      </c>
      <c r="B31" s="9" t="s">
        <v>75</v>
      </c>
      <c r="C31" s="12" t="s">
        <v>44</v>
      </c>
      <c r="D31" s="31">
        <f t="shared" ref="D31:D34" si="17">SUMPRODUCT($E$30:$P$30,E31:P31)/$D$30</f>
        <v>5.5760016857467889</v>
      </c>
      <c r="E31" s="31">
        <f>IF(E$30=0,0,+E10/E$30*100)</f>
        <v>6.5107815120581574</v>
      </c>
      <c r="F31" s="31">
        <f t="shared" ref="F31:P31" si="18">IF(F$30=0,0,+F10/F$30*100)</f>
        <v>5.9793848074608382</v>
      </c>
      <c r="G31" s="31">
        <f t="shared" si="18"/>
        <v>5.8971034117142089</v>
      </c>
      <c r="H31" s="31">
        <f t="shared" si="18"/>
        <v>5.7526343951306558</v>
      </c>
      <c r="I31" s="31">
        <f t="shared" si="18"/>
        <v>5.5980077749672805</v>
      </c>
      <c r="J31" s="31">
        <f t="shared" si="18"/>
        <v>4.4211921124736113</v>
      </c>
      <c r="K31" s="31">
        <f t="shared" si="18"/>
        <v>4.4676383620304385</v>
      </c>
      <c r="L31" s="31">
        <f t="shared" si="18"/>
        <v>5.44486027362223</v>
      </c>
      <c r="M31" s="31">
        <f t="shared" si="18"/>
        <v>5.1393139304002791</v>
      </c>
      <c r="N31" s="31">
        <f t="shared" si="18"/>
        <v>0</v>
      </c>
      <c r="O31" s="31">
        <f t="shared" si="18"/>
        <v>5.8984897094104749</v>
      </c>
      <c r="P31" s="31">
        <f t="shared" si="18"/>
        <v>6.2438567682174186</v>
      </c>
    </row>
    <row r="32" spans="1:17">
      <c r="A32" s="8">
        <f t="shared" si="0"/>
        <v>29</v>
      </c>
      <c r="B32" s="9" t="s">
        <v>76</v>
      </c>
      <c r="C32" s="12" t="s">
        <v>45</v>
      </c>
      <c r="D32" s="31">
        <f t="shared" si="17"/>
        <v>0.5202170905446668</v>
      </c>
      <c r="E32" s="31">
        <f>IF(E$30=0,0,SUM(E11:E13,E16:E17)/E$30*100)</f>
        <v>0.58216858485230005</v>
      </c>
      <c r="F32" s="31">
        <f t="shared" ref="F32:P32" si="19">IF(F$30=0,0,SUM(F11:F13,F16:F17)/F$30*100)</f>
        <v>0.60730684748941011</v>
      </c>
      <c r="G32" s="31">
        <f t="shared" si="19"/>
        <v>0.41699573562848924</v>
      </c>
      <c r="H32" s="31">
        <f t="shared" si="19"/>
        <v>0.38066553975371842</v>
      </c>
      <c r="I32" s="31">
        <f t="shared" si="19"/>
        <v>0.43208606134393157</v>
      </c>
      <c r="J32" s="31">
        <f t="shared" si="19"/>
        <v>0.50127735216904579</v>
      </c>
      <c r="K32" s="31">
        <f t="shared" si="19"/>
        <v>0.40066823383518441</v>
      </c>
      <c r="L32" s="31">
        <f t="shared" si="19"/>
        <v>0.34920342821753264</v>
      </c>
      <c r="M32" s="31">
        <f t="shared" si="19"/>
        <v>0.76487234094686196</v>
      </c>
      <c r="N32" s="31">
        <f t="shared" si="19"/>
        <v>0.39907539231063643</v>
      </c>
      <c r="O32" s="31">
        <f t="shared" si="19"/>
        <v>0.54600605567565008</v>
      </c>
      <c r="P32" s="31">
        <f t="shared" si="19"/>
        <v>0.56193827120318296</v>
      </c>
    </row>
    <row r="33" spans="1:16">
      <c r="A33" s="8">
        <f t="shared" si="0"/>
        <v>30</v>
      </c>
      <c r="B33" s="9" t="s">
        <v>46</v>
      </c>
      <c r="C33" s="12" t="s">
        <v>47</v>
      </c>
      <c r="D33" s="31">
        <f t="shared" si="17"/>
        <v>3.1714820303445412</v>
      </c>
      <c r="E33" s="31">
        <f t="shared" ref="E33:P33" si="20">IF(E$30=0,0,+E26/E$30*100)</f>
        <v>3.9421825298877611</v>
      </c>
      <c r="F33" s="31">
        <f t="shared" si="20"/>
        <v>3.7768663020575133</v>
      </c>
      <c r="G33" s="31">
        <f t="shared" si="20"/>
        <v>3.1373596358943248</v>
      </c>
      <c r="H33" s="31">
        <f t="shared" si="20"/>
        <v>2.5084963039799555</v>
      </c>
      <c r="I33" s="31">
        <f t="shared" si="20"/>
        <v>2.4415291115140021</v>
      </c>
      <c r="J33" s="31">
        <f t="shared" si="20"/>
        <v>1.167135337984659</v>
      </c>
      <c r="K33" s="31">
        <f t="shared" si="20"/>
        <v>4.2213680208928688</v>
      </c>
      <c r="L33" s="31">
        <f t="shared" si="20"/>
        <v>1.8336922973881939</v>
      </c>
      <c r="M33" s="31">
        <f t="shared" si="20"/>
        <v>1.3379806779560708</v>
      </c>
      <c r="N33" s="31">
        <f t="shared" si="20"/>
        <v>2.2365596423719967E-2</v>
      </c>
      <c r="O33" s="31">
        <f t="shared" si="20"/>
        <v>16.729644689086317</v>
      </c>
      <c r="P33" s="31">
        <f t="shared" si="20"/>
        <v>0</v>
      </c>
    </row>
    <row r="34" spans="1:16">
      <c r="A34" s="8">
        <f t="shared" si="0"/>
        <v>31</v>
      </c>
      <c r="B34" s="9" t="s">
        <v>48</v>
      </c>
      <c r="C34" s="12" t="s">
        <v>49</v>
      </c>
      <c r="D34" s="31">
        <f t="shared" si="17"/>
        <v>2.9991045869836221E-3</v>
      </c>
      <c r="E34" s="31">
        <f t="shared" ref="E34:P34" si="21">IF(E$30=0,0,+E28/E$30*100)</f>
        <v>0</v>
      </c>
      <c r="F34" s="31">
        <f t="shared" si="21"/>
        <v>0</v>
      </c>
      <c r="G34" s="31">
        <f t="shared" si="21"/>
        <v>0</v>
      </c>
      <c r="H34" s="31">
        <f t="shared" si="21"/>
        <v>0</v>
      </c>
      <c r="I34" s="31">
        <f t="shared" si="21"/>
        <v>0</v>
      </c>
      <c r="J34" s="31">
        <f t="shared" si="21"/>
        <v>0</v>
      </c>
      <c r="K34" s="31">
        <f t="shared" si="21"/>
        <v>0</v>
      </c>
      <c r="L34" s="31">
        <f t="shared" si="21"/>
        <v>0</v>
      </c>
      <c r="M34" s="31">
        <f t="shared" si="21"/>
        <v>0</v>
      </c>
      <c r="N34" s="31">
        <f t="shared" si="21"/>
        <v>0</v>
      </c>
      <c r="O34" s="31">
        <f t="shared" si="21"/>
        <v>0</v>
      </c>
      <c r="P34" s="31">
        <f t="shared" si="21"/>
        <v>9.8766861984701304</v>
      </c>
    </row>
    <row r="35" spans="1:16">
      <c r="A35" s="8">
        <f t="shared" si="0"/>
        <v>32</v>
      </c>
    </row>
    <row r="36" spans="1:16">
      <c r="A36" s="8">
        <f t="shared" si="0"/>
        <v>33</v>
      </c>
      <c r="B36" s="21" t="s">
        <v>50</v>
      </c>
      <c r="C36" s="9" t="s">
        <v>51</v>
      </c>
      <c r="D36" s="3">
        <f>SUM(E36:P36)</f>
        <v>23057123341.044003</v>
      </c>
      <c r="E36" s="11">
        <v>10709180496.611</v>
      </c>
      <c r="F36" s="11">
        <v>2808432038.112</v>
      </c>
      <c r="G36" s="11">
        <v>2942440552.2599998</v>
      </c>
      <c r="H36" s="11">
        <v>1864127719.2470002</v>
      </c>
      <c r="I36" s="11">
        <v>1309024220.089</v>
      </c>
      <c r="J36" s="11">
        <v>3803400</v>
      </c>
      <c r="K36" s="11">
        <v>121776366.09</v>
      </c>
      <c r="L36" s="11">
        <v>566569365.76999986</v>
      </c>
      <c r="M36" s="11">
        <v>626518608.68499994</v>
      </c>
      <c r="N36" s="11">
        <v>2026813327.6860001</v>
      </c>
      <c r="O36" s="11">
        <v>71153906.494000003</v>
      </c>
      <c r="P36" s="11">
        <v>7283340</v>
      </c>
    </row>
    <row r="37" spans="1:16">
      <c r="A37" s="8">
        <f t="shared" si="0"/>
        <v>34</v>
      </c>
      <c r="B37" s="1" t="str">
        <f>+$B$36</f>
        <v>YE 03/2018</v>
      </c>
      <c r="C37" s="6" t="s">
        <v>52</v>
      </c>
      <c r="D37" s="3">
        <f>SUM(E37:P37)</f>
        <v>429062.94595921464</v>
      </c>
      <c r="E37" s="11">
        <v>4740814.0552397966</v>
      </c>
      <c r="F37" s="11">
        <v>-2924701.5203204378</v>
      </c>
      <c r="G37" s="11">
        <v>12122581.86385167</v>
      </c>
      <c r="H37" s="11">
        <v>-192453.74806451797</v>
      </c>
      <c r="I37" s="11">
        <v>3145056.9198459452</v>
      </c>
      <c r="J37" s="11">
        <v>-2400</v>
      </c>
      <c r="K37" s="11">
        <v>528519.8244067803</v>
      </c>
      <c r="L37" s="11">
        <v>-9448903.1999999993</v>
      </c>
      <c r="M37" s="11">
        <v>-2749621</v>
      </c>
      <c r="N37" s="11">
        <v>-4685810.2910000235</v>
      </c>
      <c r="O37" s="11">
        <v>-85728.98800000007</v>
      </c>
      <c r="P37" s="11">
        <v>-18290.969999999972</v>
      </c>
    </row>
    <row r="38" spans="1:16">
      <c r="A38" s="8">
        <f t="shared" si="0"/>
        <v>35</v>
      </c>
      <c r="B38" s="1" t="str">
        <f t="shared" ref="B38" si="22">+$B$36</f>
        <v>YE 03/2018</v>
      </c>
      <c r="C38" s="6" t="s">
        <v>53</v>
      </c>
      <c r="D38" s="3">
        <f>SUM(E38:P38)</f>
        <v>-41877913.97879599</v>
      </c>
      <c r="E38" s="11">
        <v>-21313983.051235802</v>
      </c>
      <c r="F38" s="11">
        <v>-6841153.4882304911</v>
      </c>
      <c r="G38" s="11">
        <v>-6282561.5224805586</v>
      </c>
      <c r="H38" s="11">
        <v>-4593753.7416335875</v>
      </c>
      <c r="I38" s="11">
        <v>-1763870.34098115</v>
      </c>
      <c r="J38" s="11">
        <v>0</v>
      </c>
      <c r="K38" s="11">
        <v>86116.749274483183</v>
      </c>
      <c r="L38" s="11">
        <v>-1176286.0435634728</v>
      </c>
      <c r="M38" s="11">
        <v>0</v>
      </c>
      <c r="N38" s="11">
        <v>0</v>
      </c>
      <c r="O38" s="11">
        <v>0</v>
      </c>
      <c r="P38" s="11">
        <v>7577.4600545802896</v>
      </c>
    </row>
    <row r="39" spans="1:16">
      <c r="A39" s="8">
        <f t="shared" si="0"/>
        <v>36</v>
      </c>
      <c r="B39" s="1" t="s">
        <v>54</v>
      </c>
      <c r="C39" s="32" t="s">
        <v>55</v>
      </c>
      <c r="D39" s="3">
        <f t="shared" ref="D39:P39" si="23">SUM(D36:D38)</f>
        <v>23015674490.011169</v>
      </c>
      <c r="E39" s="3">
        <f t="shared" si="23"/>
        <v>10692607327.615005</v>
      </c>
      <c r="F39" s="3">
        <f t="shared" si="23"/>
        <v>2798666183.1034489</v>
      </c>
      <c r="G39" s="3">
        <f t="shared" si="23"/>
        <v>2948280572.6013708</v>
      </c>
      <c r="H39" s="3">
        <f t="shared" si="23"/>
        <v>1859341511.757302</v>
      </c>
      <c r="I39" s="3">
        <f t="shared" si="23"/>
        <v>1310405406.6678648</v>
      </c>
      <c r="J39" s="3">
        <f t="shared" si="23"/>
        <v>3801000</v>
      </c>
      <c r="K39" s="3">
        <f t="shared" si="23"/>
        <v>122391002.66368125</v>
      </c>
      <c r="L39" s="3">
        <f t="shared" si="23"/>
        <v>555944176.52643633</v>
      </c>
      <c r="M39" s="3">
        <f t="shared" si="23"/>
        <v>623768987.68499994</v>
      </c>
      <c r="N39" s="3">
        <f t="shared" si="23"/>
        <v>2022127517.395</v>
      </c>
      <c r="O39" s="3">
        <f t="shared" si="23"/>
        <v>71068177.505999997</v>
      </c>
      <c r="P39" s="3">
        <f t="shared" si="23"/>
        <v>7272626.4900545804</v>
      </c>
    </row>
    <row r="40" spans="1:16">
      <c r="A40" s="8">
        <f t="shared" si="0"/>
        <v>37</v>
      </c>
      <c r="D40" s="3"/>
    </row>
    <row r="41" spans="1:16">
      <c r="A41" s="8">
        <f t="shared" si="0"/>
        <v>38</v>
      </c>
      <c r="B41" s="9" t="s">
        <v>56</v>
      </c>
      <c r="C41" s="12" t="s">
        <v>57</v>
      </c>
      <c r="D41" s="18">
        <f t="shared" ref="D41:D44" si="24">SUM(E41:P41)</f>
        <v>1290306100</v>
      </c>
      <c r="E41" s="22">
        <f>ROUND(E$39*E31/100,0)</f>
        <v>696172301</v>
      </c>
      <c r="F41" s="22">
        <f t="shared" ref="F41:P41" si="25">ROUND(F$39*F31/100,0)</f>
        <v>167343021</v>
      </c>
      <c r="G41" s="22">
        <f t="shared" si="25"/>
        <v>173863154</v>
      </c>
      <c r="H41" s="22">
        <f t="shared" si="25"/>
        <v>106961119</v>
      </c>
      <c r="I41" s="22">
        <f t="shared" si="25"/>
        <v>73356597</v>
      </c>
      <c r="J41" s="22">
        <f t="shared" si="25"/>
        <v>168050</v>
      </c>
      <c r="K41" s="22">
        <f t="shared" si="25"/>
        <v>5467987</v>
      </c>
      <c r="L41" s="22">
        <f t="shared" si="25"/>
        <v>30270384</v>
      </c>
      <c r="M41" s="22">
        <f t="shared" si="25"/>
        <v>32057446</v>
      </c>
      <c r="N41" s="22">
        <f t="shared" si="25"/>
        <v>0</v>
      </c>
      <c r="O41" s="22">
        <f t="shared" si="25"/>
        <v>4191949</v>
      </c>
      <c r="P41" s="22">
        <f t="shared" si="25"/>
        <v>454092</v>
      </c>
    </row>
    <row r="42" spans="1:16">
      <c r="A42" s="8">
        <f t="shared" si="0"/>
        <v>39</v>
      </c>
      <c r="B42" s="9" t="s">
        <v>58</v>
      </c>
      <c r="C42" s="12" t="s">
        <v>59</v>
      </c>
      <c r="D42" s="18">
        <f t="shared" si="24"/>
        <v>120000213</v>
      </c>
      <c r="E42" s="22">
        <f t="shared" ref="E42:P44" si="26">ROUND(E$39*E32/100,0)</f>
        <v>62249001</v>
      </c>
      <c r="F42" s="22">
        <f t="shared" si="26"/>
        <v>16996491</v>
      </c>
      <c r="G42" s="22">
        <f t="shared" si="26"/>
        <v>12294204</v>
      </c>
      <c r="H42" s="22">
        <f t="shared" si="26"/>
        <v>7077872</v>
      </c>
      <c r="I42" s="22">
        <f t="shared" si="26"/>
        <v>5662079</v>
      </c>
      <c r="J42" s="22">
        <f t="shared" si="26"/>
        <v>19054</v>
      </c>
      <c r="K42" s="22">
        <f t="shared" si="26"/>
        <v>490382</v>
      </c>
      <c r="L42" s="22">
        <f t="shared" si="26"/>
        <v>1941376</v>
      </c>
      <c r="M42" s="22">
        <f t="shared" si="26"/>
        <v>4771036</v>
      </c>
      <c r="N42" s="22">
        <f t="shared" si="26"/>
        <v>8069813</v>
      </c>
      <c r="O42" s="22">
        <f t="shared" si="26"/>
        <v>388037</v>
      </c>
      <c r="P42" s="22">
        <f t="shared" si="26"/>
        <v>40868</v>
      </c>
    </row>
    <row r="43" spans="1:16">
      <c r="A43" s="8">
        <f t="shared" si="0"/>
        <v>40</v>
      </c>
      <c r="B43" s="33" t="s">
        <v>60</v>
      </c>
      <c r="C43" s="34" t="s">
        <v>61</v>
      </c>
      <c r="D43" s="35">
        <f t="shared" si="24"/>
        <v>734450453</v>
      </c>
      <c r="E43" s="35">
        <f t="shared" si="26"/>
        <v>421522098</v>
      </c>
      <c r="F43" s="35">
        <f t="shared" si="26"/>
        <v>105701880</v>
      </c>
      <c r="G43" s="35">
        <f t="shared" si="26"/>
        <v>92498165</v>
      </c>
      <c r="H43" s="35">
        <f t="shared" si="26"/>
        <v>46641513</v>
      </c>
      <c r="I43" s="35">
        <f t="shared" si="26"/>
        <v>31993929</v>
      </c>
      <c r="J43" s="35">
        <f t="shared" si="26"/>
        <v>44363</v>
      </c>
      <c r="K43" s="35">
        <f t="shared" si="26"/>
        <v>5166575</v>
      </c>
      <c r="L43" s="35">
        <f t="shared" si="26"/>
        <v>10194306</v>
      </c>
      <c r="M43" s="35">
        <f t="shared" si="26"/>
        <v>8345909</v>
      </c>
      <c r="N43" s="35">
        <f t="shared" si="26"/>
        <v>452261</v>
      </c>
      <c r="O43" s="35">
        <f t="shared" si="26"/>
        <v>11889454</v>
      </c>
      <c r="P43" s="35">
        <f t="shared" si="26"/>
        <v>0</v>
      </c>
    </row>
    <row r="44" spans="1:16">
      <c r="A44" s="8">
        <f t="shared" si="0"/>
        <v>41</v>
      </c>
      <c r="B44" s="9" t="s">
        <v>62</v>
      </c>
      <c r="C44" s="12" t="s">
        <v>63</v>
      </c>
      <c r="D44" s="18">
        <f t="shared" si="24"/>
        <v>718294</v>
      </c>
      <c r="E44" s="22">
        <f t="shared" si="26"/>
        <v>0</v>
      </c>
      <c r="F44" s="22">
        <f t="shared" si="26"/>
        <v>0</v>
      </c>
      <c r="G44" s="22">
        <f t="shared" si="26"/>
        <v>0</v>
      </c>
      <c r="H44" s="22">
        <f t="shared" si="26"/>
        <v>0</v>
      </c>
      <c r="I44" s="22">
        <f t="shared" si="26"/>
        <v>0</v>
      </c>
      <c r="J44" s="22">
        <f t="shared" si="26"/>
        <v>0</v>
      </c>
      <c r="K44" s="22">
        <f t="shared" si="26"/>
        <v>0</v>
      </c>
      <c r="L44" s="22">
        <f t="shared" si="26"/>
        <v>0</v>
      </c>
      <c r="M44" s="22">
        <f t="shared" si="26"/>
        <v>0</v>
      </c>
      <c r="N44" s="22">
        <f t="shared" si="26"/>
        <v>0</v>
      </c>
      <c r="O44" s="22">
        <f t="shared" si="26"/>
        <v>0</v>
      </c>
      <c r="P44" s="22">
        <f t="shared" si="26"/>
        <v>718294</v>
      </c>
    </row>
    <row r="45" spans="1:16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</sheetData>
  <pageMargins left="0.2" right="0.2" top="1" bottom="0.75" header="0.3" footer="0.3"/>
  <pageSetup scale="52" firstPageNumber="4" fitToHeight="0" orientation="landscape" useFirstPageNumber="1" r:id="rId1"/>
  <headerFooter>
    <oddHeader>&amp;C&amp;"Times New Roman,Bold"&amp;12Puget Sound Energy
Determination of March 2018 CBR ERF Revenues priced at 2017 GRC ERF Rates
Source:  Docket No. UE-180282 Electric COS Compliance Filing
Test Year September 2016</oddHeader>
    <oddFooter>&amp;R&amp;A
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18C5381B97B74FB7381FD1FE034BA9" ma:contentTypeVersion="76" ma:contentTypeDescription="" ma:contentTypeScope="" ma:versionID="2411dd9ec9a17a4dd5d03dd903dafd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428782-A0D5-4030-B12C-046F547F1F5A}"/>
</file>

<file path=customXml/itemProps2.xml><?xml version="1.0" encoding="utf-8"?>
<ds:datastoreItem xmlns:ds="http://schemas.openxmlformats.org/officeDocument/2006/customXml" ds:itemID="{250A898B-096C-45F3-A9FC-6EE8E46B6D8D}"/>
</file>

<file path=customXml/itemProps3.xml><?xml version="1.0" encoding="utf-8"?>
<ds:datastoreItem xmlns:ds="http://schemas.openxmlformats.org/officeDocument/2006/customXml" ds:itemID="{1E4A4617-16EA-443D-A4CC-096F547FE852}"/>
</file>

<file path=customXml/itemProps4.xml><?xml version="1.0" encoding="utf-8"?>
<ds:datastoreItem xmlns:ds="http://schemas.openxmlformats.org/officeDocument/2006/customXml" ds:itemID="{18E6744C-25DC-47D9-B2AD-DFCCDFE85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JAP-3 (ERF COS Rev Req)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2018-06-14T18:49:11Z</cp:lastPrinted>
  <dcterms:created xsi:type="dcterms:W3CDTF">2018-06-07T16:49:47Z</dcterms:created>
  <dcterms:modified xsi:type="dcterms:W3CDTF">2018-06-14T18:49:22Z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0x0101006E56B4D1795A2E4DB2F0B01679ED314A005718C5381B97B74FB7381FD1FE034BA9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