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8\2018 WA Sch 74-174 Tariff Filing\Filing Tariff 174 Substitute Filings\Third Substitute Filing 4.30.18\"/>
    </mc:Choice>
  </mc:AlternateContent>
  <bookViews>
    <workbookView xWindow="0" yWindow="0" windowWidth="23040" windowHeight="8595"/>
  </bookViews>
  <sheets>
    <sheet name="Summary - Deferred TCJA" sheetId="3" r:id="rId1"/>
    <sheet name="2015 GRC Embedded Tax-Ele" sheetId="1" r:id="rId2"/>
    <sheet name="2015 GRC Embedded Tax-Gas" sheetId="2" r:id="rId3"/>
    <sheet name="ADJ DETAIL-Elec" sheetId="5" r:id="rId4"/>
    <sheet name="ADJ DETAIL - Nat Gas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ID_Gas" localSheetId="2">'[1]DEBT CALC'!#REF!</definedName>
    <definedName name="ID_Gas" localSheetId="3">'[2]DEBT CALC'!#REF!</definedName>
    <definedName name="ID_Gas">'[3]DEBT CALC'!#REF!</definedName>
    <definedName name="_xlnm.Print_Area" localSheetId="2">'2015 GRC Embedded Tax-Gas'!$A$1:$G$38</definedName>
    <definedName name="_xlnm.Print_Area" localSheetId="4">'ADJ DETAIL - Nat Gas'!$A$2:$I$86</definedName>
    <definedName name="_xlnm.Print_Area" localSheetId="3">'ADJ DETAIL-Elec'!$A$1:$I$84</definedName>
    <definedName name="Print_for_Checking" localSheetId="2">'[1]ADJ SUMMARY'!#REF!:'[1]ADJ SUMMARY'!#REF!</definedName>
    <definedName name="Print_for_Checking" localSheetId="3">'[2]ADJ SUMMARY'!#REF!:'[2]ADJ SUMMARY'!#REF!</definedName>
    <definedName name="Print_for_Checking">'[3]ADJ SUMMARY'!#REF!:'[3]ADJ SUMMARY'!#REF!</definedName>
    <definedName name="_xlnm.Print_Titles" localSheetId="4">'ADJ DETAIL - Nat Gas'!$A:$D,'ADJ DETAIL - Nat Gas'!$2:$11</definedName>
    <definedName name="_xlnm.Print_Titles" localSheetId="3">'ADJ DETAIL-Elec'!$A:$D,'ADJ DETAIL-Elec'!$2:$10</definedName>
    <definedName name="RRC_Adjustment_Print">#REF!</definedName>
    <definedName name="RRC_Rate_Print">#REF!</definedName>
    <definedName name="Summary" localSheetId="2">#REF!</definedName>
    <definedName name="Summary" localSheetId="3">#REF!</definedName>
    <definedName name="Summary">#REF!</definedName>
    <definedName name="WA_Gas" localSheetId="2">'[1]DEBT CALC'!#REF!</definedName>
    <definedName name="WA_Gas" localSheetId="3">'[2]DEBT CALC'!#REF!</definedName>
    <definedName name="WA_Gas">'[3]DEBT CALC'!#REF!</definedName>
    <definedName name="Z_5BE913A1_B14F_11D2_B0DC_0000832CDFF0_.wvu.Cols" localSheetId="4" hidden="1">'ADJ DETAIL - Nat Gas'!#REF!</definedName>
    <definedName name="Z_5BE913A1_B14F_11D2_B0DC_0000832CDFF0_.wvu.PrintArea" localSheetId="4" hidden="1">'ADJ DETAIL - Nat Gas'!#REF!</definedName>
    <definedName name="Z_5BE913A1_B14F_11D2_B0DC_0000832CDFF0_.wvu.PrintTitles" localSheetId="4" hidden="1">'ADJ DETAIL - Nat Gas'!$A:$D,'ADJ DETAIL - Nat Gas'!$2:$11</definedName>
    <definedName name="Z_6E1B8C45_B07F_11D2_B0DC_0000832CDFF0_.wvu.Cols" localSheetId="3" hidden="1">'ADJ DETAIL-Elec'!#REF!,'ADJ DETAIL-Elec'!#REF!</definedName>
    <definedName name="Z_6E1B8C45_B07F_11D2_B0DC_0000832CDFF0_.wvu.PrintArea" localSheetId="3" hidden="1">'ADJ DETAIL-Elec'!#REF!</definedName>
    <definedName name="Z_6E1B8C45_B07F_11D2_B0DC_0000832CDFF0_.wvu.PrintTitles" localSheetId="3" hidden="1">'ADJ DETAIL-Elec'!$A:$D,'ADJ DETAIL-Elec'!$2:$10</definedName>
    <definedName name="Z_A15D1962_B049_11D2_8670_0000832CEEE8_.wvu.Cols" localSheetId="3" hidden="1">'ADJ DETAIL-Elec'!#REF!</definedName>
    <definedName name="Z_A15D1964_B049_11D2_8670_0000832CEEE8_.wvu.Cols" localSheetId="4" hidden="1">'ADJ DETAIL - Nat Gas'!#REF!</definedName>
    <definedName name="Z_A15D1964_B049_11D2_8670_0000832CEEE8_.wvu.PrintArea" localSheetId="4" hidden="1">'ADJ DETAIL - Nat Gas'!#REF!</definedName>
    <definedName name="Z_A15D1964_B049_11D2_8670_0000832CEEE8_.wvu.PrintTitles" localSheetId="4" hidden="1">'ADJ DETAIL - Nat Gas'!$A:$D,'ADJ DETAIL - Nat Gas'!$2:$11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5" l="1"/>
  <c r="G82" i="6"/>
  <c r="G54" i="6"/>
  <c r="F82" i="5"/>
  <c r="F91" i="5"/>
  <c r="F51" i="5"/>
  <c r="B6" i="3"/>
  <c r="H73" i="5"/>
  <c r="H76" i="5" s="1"/>
  <c r="H80" i="5" s="1"/>
  <c r="H72" i="5"/>
  <c r="H65" i="5"/>
  <c r="H45" i="5"/>
  <c r="H46" i="5" s="1"/>
  <c r="H35" i="5"/>
  <c r="H28" i="5"/>
  <c r="H17" i="5"/>
  <c r="H19" i="5" s="1"/>
  <c r="C29" i="2"/>
  <c r="C33" i="2"/>
  <c r="H48" i="5" l="1"/>
  <c r="H56" i="5" s="1"/>
  <c r="H89" i="5" s="1"/>
  <c r="H91" i="5" s="1"/>
  <c r="H82" i="5" s="1"/>
  <c r="C31" i="2" l="1"/>
  <c r="G18" i="6"/>
  <c r="G25" i="6"/>
  <c r="G31" i="6"/>
  <c r="G37" i="6"/>
  <c r="G48" i="6"/>
  <c r="G66" i="6"/>
  <c r="G72" i="6"/>
  <c r="C33" i="1"/>
  <c r="H72" i="6"/>
  <c r="F72" i="6"/>
  <c r="H66" i="6"/>
  <c r="F66" i="6"/>
  <c r="I56" i="6"/>
  <c r="H56" i="6"/>
  <c r="H48" i="6"/>
  <c r="F48" i="6"/>
  <c r="H37" i="6"/>
  <c r="F37" i="6"/>
  <c r="H31" i="6"/>
  <c r="F31" i="6"/>
  <c r="H25" i="6"/>
  <c r="F25" i="6"/>
  <c r="H18" i="6"/>
  <c r="F18" i="6"/>
  <c r="A4" i="6"/>
  <c r="A2" i="6"/>
  <c r="G49" i="6" l="1"/>
  <c r="G51" i="6" s="1"/>
  <c r="G73" i="6"/>
  <c r="G75" i="6" s="1"/>
  <c r="G55" i="6"/>
  <c r="G59" i="6"/>
  <c r="G90" i="6" s="1"/>
  <c r="G92" i="6" s="1"/>
  <c r="G84" i="6" s="1"/>
  <c r="H73" i="6"/>
  <c r="H75" i="6" s="1"/>
  <c r="H82" i="6" s="1"/>
  <c r="H55" i="6" s="1"/>
  <c r="F49" i="6"/>
  <c r="F51" i="6" s="1"/>
  <c r="F54" i="6" s="1"/>
  <c r="H49" i="6"/>
  <c r="H51" i="6" s="1"/>
  <c r="F73" i="6"/>
  <c r="F75" i="6" s="1"/>
  <c r="F82" i="6" s="1"/>
  <c r="H59" i="6" l="1"/>
  <c r="H90" i="6" s="1"/>
  <c r="H92" i="6" s="1"/>
  <c r="H84" i="6" s="1"/>
  <c r="D6" i="3" s="1"/>
  <c r="F55" i="6"/>
  <c r="F59" i="6" l="1"/>
  <c r="F90" i="6" s="1"/>
  <c r="F92" i="6" s="1"/>
  <c r="F84" i="6" s="1"/>
  <c r="I84" i="6" l="1"/>
  <c r="D4" i="3"/>
  <c r="F72" i="5"/>
  <c r="F65" i="5"/>
  <c r="F45" i="5"/>
  <c r="F35" i="5"/>
  <c r="F28" i="5"/>
  <c r="F17" i="5"/>
  <c r="F19" i="5" s="1"/>
  <c r="F73" i="5" l="1"/>
  <c r="F76" i="5" s="1"/>
  <c r="F80" i="5" s="1"/>
  <c r="F46" i="5"/>
  <c r="F48" i="5" s="1"/>
  <c r="F56" i="5" l="1"/>
  <c r="F89" i="5" s="1"/>
  <c r="B7" i="3" l="1"/>
  <c r="D5" i="3"/>
  <c r="D7" i="3" s="1"/>
  <c r="B5" i="3"/>
  <c r="C37" i="2" l="1"/>
  <c r="G27" i="2"/>
  <c r="G32" i="2" s="1"/>
  <c r="C23" i="2"/>
  <c r="C24" i="2" s="1"/>
  <c r="C19" i="2"/>
  <c r="C17" i="2"/>
  <c r="C16" i="2" s="1"/>
  <c r="C20" i="2" s="1"/>
  <c r="C15" i="2"/>
  <c r="A3" i="2"/>
  <c r="A2" i="2"/>
  <c r="A1" i="2"/>
  <c r="C21" i="2" l="1"/>
  <c r="C26" i="2"/>
  <c r="C27" i="2" s="1"/>
  <c r="C38" i="2" s="1"/>
  <c r="C37" i="1" l="1"/>
  <c r="G27" i="1"/>
  <c r="G32" i="1" s="1"/>
  <c r="C19" i="1"/>
  <c r="C23" i="1" s="1"/>
  <c r="C24" i="1" s="1"/>
  <c r="C17" i="1"/>
  <c r="C16" i="1" s="1"/>
  <c r="C20" i="1" s="1"/>
  <c r="C15" i="1"/>
  <c r="C26" i="1" l="1"/>
  <c r="C27" i="1" s="1"/>
  <c r="C29" i="1" s="1"/>
  <c r="C31" i="1" s="1"/>
  <c r="C38" i="1" s="1"/>
  <c r="C21" i="1"/>
</calcChain>
</file>

<file path=xl/sharedStrings.xml><?xml version="1.0" encoding="utf-8"?>
<sst xmlns="http://schemas.openxmlformats.org/spreadsheetml/2006/main" count="285" uniqueCount="186">
  <si>
    <t>AVISTA UTILITIES</t>
  </si>
  <si>
    <t xml:space="preserve">WASHINGTON NATURAL ELECTRIC RESULTS </t>
  </si>
  <si>
    <t>TWELVE MONTHS ENDED DECEMBER 31, 2016</t>
  </si>
  <si>
    <t>Federal Income Taxes Embedded in Allowed Rates</t>
  </si>
  <si>
    <t>Calculation of Adjustment 5.04</t>
  </si>
  <si>
    <t>Jan.-Apr. 2018 Deferral</t>
  </si>
  <si>
    <t>WA Electric</t>
  </si>
  <si>
    <t>*From Knox Functionalization work papers, UE-170485</t>
  </si>
  <si>
    <t>Last Approved Case</t>
  </si>
  <si>
    <t>UE-150204</t>
  </si>
  <si>
    <t>Order No. 5</t>
  </si>
  <si>
    <t>Normalized usage</t>
  </si>
  <si>
    <t>Rate Base</t>
  </si>
  <si>
    <t>Appendix A</t>
  </si>
  <si>
    <t>Electric*</t>
  </si>
  <si>
    <t>Weighted Cost of Equity</t>
  </si>
  <si>
    <t>Appendix C, page 2</t>
  </si>
  <si>
    <t>Jan</t>
  </si>
  <si>
    <t>Weighted Cost of Debt</t>
  </si>
  <si>
    <t>Feb</t>
  </si>
  <si>
    <t>Allowed Rate of Return</t>
  </si>
  <si>
    <t>Mar</t>
  </si>
  <si>
    <t>Apr</t>
  </si>
  <si>
    <t>Equity Return</t>
  </si>
  <si>
    <t>May</t>
  </si>
  <si>
    <t>Interest</t>
  </si>
  <si>
    <t>Jun</t>
  </si>
  <si>
    <t>Total Return (Net Income Requirement)</t>
  </si>
  <si>
    <t>Jul</t>
  </si>
  <si>
    <t>Aug</t>
  </si>
  <si>
    <t>Pre-Tax Equity Return</t>
  </si>
  <si>
    <t>Sep</t>
  </si>
  <si>
    <t xml:space="preserve">Implied Tax Cost </t>
  </si>
  <si>
    <t>Oct</t>
  </si>
  <si>
    <t>Nov</t>
  </si>
  <si>
    <t>Dec</t>
  </si>
  <si>
    <t>Total</t>
  </si>
  <si>
    <t>TCJI Annual Savings</t>
  </si>
  <si>
    <t>Jan-Apr proportion</t>
  </si>
  <si>
    <t>Pre-tax Conversion Factor</t>
  </si>
  <si>
    <t>of annual load</t>
  </si>
  <si>
    <t>Annual Revenue Requirement</t>
  </si>
  <si>
    <t>Electric</t>
  </si>
  <si>
    <t>Jan-Apr Deferred Rev Req (in 000's)</t>
  </si>
  <si>
    <t>Revenue Conversion Factor with Tax Reform</t>
  </si>
  <si>
    <t>Gross down (for Adj Detail-input tab)</t>
  </si>
  <si>
    <t>WA Nat Gas</t>
  </si>
  <si>
    <t>*From 170942 Natural Gas Deccoupling Attach 2</t>
  </si>
  <si>
    <t>UG-150205</t>
  </si>
  <si>
    <t>Gas*</t>
  </si>
  <si>
    <t>Gas</t>
  </si>
  <si>
    <t>Washington Electric</t>
  </si>
  <si>
    <t>Non-Plant Excess ADFIT</t>
  </si>
  <si>
    <t>Jan-Apr Deferral FIT/DFIT Exp</t>
  </si>
  <si>
    <t>Jan-Apr Deferral ARAM Amort</t>
  </si>
  <si>
    <t>Washington Natural Gas</t>
  </si>
  <si>
    <t>TCJA Deferred Tax Credits</t>
  </si>
  <si>
    <t xml:space="preserve">(1) Per Order 7 of Docket UE-170485, continue deferral of electric Non-Plant Excess ADFIT for resolution and distribution in Docket U-170970. Docket U-170970 (per All party Settlement) requests use as offset to accelerate depreciation of Colstrip Units 3 and 4.  </t>
  </si>
  <si>
    <t>Note: (1)</t>
  </si>
  <si>
    <t xml:space="preserve">AVISTA UTILITIES  </t>
  </si>
  <si>
    <t xml:space="preserve">(000'S OF DOLLARS)  </t>
  </si>
  <si>
    <t>1 year amort</t>
  </si>
  <si>
    <t>Tax Reform</t>
  </si>
  <si>
    <t>Line</t>
  </si>
  <si>
    <t>Excess Tax PF</t>
  </si>
  <si>
    <t>Jan - Apr Deferral</t>
  </si>
  <si>
    <t>No.</t>
  </si>
  <si>
    <t>DESCRIPTION</t>
  </si>
  <si>
    <t>Taxes</t>
  </si>
  <si>
    <t>ARAM Amort</t>
  </si>
  <si>
    <t>Non-Plant Amort</t>
  </si>
  <si>
    <t>FIT/DFIT Exp</t>
  </si>
  <si>
    <t xml:space="preserve">Adjustment Number </t>
  </si>
  <si>
    <t>Workpaper Reference</t>
  </si>
  <si>
    <t>E-TCJA-4</t>
  </si>
  <si>
    <t>E-TCJA-5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</si>
  <si>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</si>
  <si>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</si>
  <si>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</si>
  <si>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</si>
  <si>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</si>
  <si>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</si>
  <si>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</si>
  <si>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</si>
  <si>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</si>
  <si>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</si>
  <si>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</si>
  <si>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</si>
  <si>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</si>
  <si>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</si>
  <si>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</si>
  <si>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</si>
  <si>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</si>
  <si>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</si>
  <si>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</si>
  <si>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</si>
  <si>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</si>
  <si>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</si>
  <si>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</si>
  <si>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</si>
  <si>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</si>
  <si>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</si>
  <si>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</si>
  <si>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</si>
  <si>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</si>
  <si>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Flow through DFIT exclusion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</si>
  <si>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</si>
  <si>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</si>
  <si>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</si>
  <si>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</si>
  <si>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</si>
  <si>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</si>
  <si>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</si>
  <si>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</si>
  <si>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</si>
  <si>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</si>
  <si>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</si>
  <si>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</si>
  <si>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</si>
  <si>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</si>
  <si>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</si>
  <si>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</si>
  <si>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</si>
  <si>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</si>
  <si>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</si>
  <si>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Revenue Conversion Factor Rebuttal</t>
  </si>
  <si>
    <t>NOI Requirement</t>
  </si>
  <si>
    <t>Revenue Requirement Rebuttal</t>
  </si>
  <si>
    <t>Revenue Requirement with Tax Reform</t>
  </si>
  <si>
    <t>Conversion Factor Change</t>
  </si>
  <si>
    <t>Approved ROR</t>
  </si>
  <si>
    <t>WASHINGTON NATURAL GAS</t>
  </si>
  <si>
    <t>Adjsutment Number</t>
  </si>
  <si>
    <t>G-TCJA-3</t>
  </si>
  <si>
    <t>G-TCJA-4</t>
  </si>
  <si>
    <t>G-TCJA-5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</si>
  <si>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</si>
  <si>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</si>
  <si>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</si>
  <si>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</si>
  <si>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</si>
  <si>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</si>
  <si>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</si>
  <si>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</si>
  <si>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</si>
  <si>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</si>
  <si>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</si>
  <si>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</si>
  <si>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</si>
  <si>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</si>
  <si>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</si>
  <si>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</si>
  <si>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</si>
  <si>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</si>
  <si>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</si>
  <si>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</si>
  <si>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</si>
  <si>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</si>
  <si>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</si>
  <si>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</si>
  <si>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</si>
  <si>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</si>
  <si>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</si>
  <si>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</si>
  <si>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</si>
  <si>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</si>
  <si>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</si>
  <si>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</si>
  <si>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</si>
  <si>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</si>
  <si>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</si>
  <si>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</si>
  <si>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</si>
  <si>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</si>
  <si>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</si>
  <si>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OTHER</t>
  </si>
  <si>
    <t>TOTAL RATE BASE</t>
  </si>
  <si>
    <t>RATE OF RETURN</t>
  </si>
  <si>
    <t>REVENUE REQUIREMENT</t>
  </si>
  <si>
    <t>Approved Rate of Return</t>
  </si>
  <si>
    <t>See Tab "2015 GRC Embedded Tax-Gas"</t>
  </si>
  <si>
    <t>See Tab "2015 GRC Embedded Tax-Electric"</t>
  </si>
  <si>
    <t>See Workapapers filed with Bench Request 9</t>
  </si>
  <si>
    <t>Tax Reform Schedule 174 Revenue Requirement (1-Yr Amortization)</t>
  </si>
  <si>
    <t xml:space="preserve">WASHINGTON ELECTRIC </t>
  </si>
  <si>
    <t>Tax Reform Schedule 74 Revenue Requirement (1-Yr Amortization)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</si>
</sst>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_(* #,##0.000000_);_(* \(#,##0.000000\);_(* &quot;-&quot;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b/>
      <sz val="9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Geneva"/>
    </font>
    <font>
      <sz val="9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u/>
      <sz val="7.5"/>
      <color theme="0"/>
      <name val="Arial"/>
      <family val="2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8" fillId="0" borderId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8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4" fillId="0" borderId="0" xfId="3" applyNumberFormat="1" applyFont="1" applyAlignment="1">
      <alignment horizontal="left"/>
    </xf>
    <xf numFmtId="0" fontId="2" fillId="0" borderId="0" xfId="0" applyFont="1" applyFill="1" applyBorder="1"/>
    <xf numFmtId="0" fontId="6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7" fillId="0" borderId="0" xfId="1" applyNumberFormat="1" applyFont="1" applyFill="1" applyBorder="1"/>
    <xf numFmtId="0" fontId="0" fillId="0" borderId="2" xfId="0" applyBorder="1" applyAlignment="1">
      <alignment horizontal="center"/>
    </xf>
    <xf numFmtId="10" fontId="7" fillId="0" borderId="0" xfId="0" applyNumberFormat="1" applyFont="1" applyFill="1"/>
    <xf numFmtId="164" fontId="0" fillId="0" borderId="3" xfId="0" applyNumberFormat="1" applyBorder="1" applyAlignment="1">
      <alignment horizontal="center"/>
    </xf>
    <xf numFmtId="10" fontId="5" fillId="0" borderId="0" xfId="0" applyNumberFormat="1" applyFont="1" applyFill="1"/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6" xfId="0" applyNumberFormat="1" applyBorder="1"/>
    <xf numFmtId="9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/>
    <xf numFmtId="165" fontId="0" fillId="2" borderId="7" xfId="2" applyNumberFormat="1" applyFont="1" applyFill="1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right"/>
    </xf>
    <xf numFmtId="165" fontId="0" fillId="0" borderId="11" xfId="0" applyNumberFormat="1" applyBorder="1"/>
    <xf numFmtId="0" fontId="4" fillId="0" borderId="0" xfId="4" applyNumberFormat="1" applyFont="1" applyAlignment="1">
      <alignment horizontal="left"/>
    </xf>
    <xf numFmtId="0" fontId="9" fillId="0" borderId="0" xfId="4" applyFont="1"/>
    <xf numFmtId="0" fontId="9" fillId="0" borderId="0" xfId="4" applyNumberFormat="1" applyFont="1" applyAlignment="1">
      <alignment horizontal="center"/>
    </xf>
    <xf numFmtId="3" fontId="9" fillId="0" borderId="0" xfId="0" applyNumberFormat="1" applyFont="1"/>
    <xf numFmtId="164" fontId="1" fillId="0" borderId="0" xfId="1" applyNumberFormat="1" applyFont="1" applyFill="1"/>
    <xf numFmtId="10" fontId="1" fillId="0" borderId="0" xfId="0" applyNumberFormat="1" applyFont="1" applyFill="1"/>
    <xf numFmtId="10" fontId="0" fillId="0" borderId="0" xfId="0" applyNumberFormat="1" applyFill="1"/>
    <xf numFmtId="164" fontId="0" fillId="0" borderId="0" xfId="0" applyNumberFormat="1" applyAlignment="1">
      <alignment horizontal="center"/>
    </xf>
    <xf numFmtId="165" fontId="0" fillId="2" borderId="12" xfId="2" applyNumberFormat="1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11" fillId="0" borderId="0" xfId="0" applyFont="1"/>
    <xf numFmtId="0" fontId="10" fillId="0" borderId="0" xfId="0" applyFont="1"/>
    <xf numFmtId="165" fontId="11" fillId="0" borderId="0" xfId="2" applyNumberFormat="1" applyFont="1"/>
    <xf numFmtId="165" fontId="11" fillId="0" borderId="1" xfId="2" applyNumberFormat="1" applyFont="1" applyBorder="1"/>
    <xf numFmtId="165" fontId="11" fillId="0" borderId="13" xfId="2" applyNumberFormat="1" applyFont="1" applyBorder="1"/>
    <xf numFmtId="165" fontId="12" fillId="0" borderId="0" xfId="2" quotePrefix="1" applyNumberFormat="1" applyFont="1" applyAlignment="1">
      <alignment vertical="top"/>
    </xf>
    <xf numFmtId="165" fontId="11" fillId="0" borderId="0" xfId="2" quotePrefix="1" applyNumberFormat="1" applyFont="1" applyAlignment="1">
      <alignment horizontal="center"/>
    </xf>
    <xf numFmtId="0" fontId="13" fillId="0" borderId="0" xfId="3" applyNumberFormat="1" applyFont="1" applyAlignment="1">
      <alignment horizontal="center"/>
    </xf>
    <xf numFmtId="0" fontId="13" fillId="0" borderId="0" xfId="3" applyFont="1"/>
    <xf numFmtId="41" fontId="13" fillId="0" borderId="0" xfId="3" applyNumberFormat="1" applyFont="1" applyFill="1"/>
    <xf numFmtId="41" fontId="13" fillId="0" borderId="0" xfId="3" applyNumberFormat="1" applyFont="1"/>
    <xf numFmtId="0" fontId="13" fillId="0" borderId="0" xfId="3" applyFont="1" applyFill="1" applyBorder="1"/>
    <xf numFmtId="0" fontId="13" fillId="0" borderId="0" xfId="3" applyNumberFormat="1" applyFont="1" applyAlignment="1">
      <alignment horizontal="left"/>
    </xf>
    <xf numFmtId="41" fontId="13" fillId="0" borderId="0" xfId="3" applyNumberFormat="1" applyFont="1" applyFill="1" applyBorder="1"/>
    <xf numFmtId="0" fontId="15" fillId="0" borderId="0" xfId="3" applyNumberFormat="1" applyFont="1" applyAlignment="1">
      <alignment horizontal="left"/>
    </xf>
    <xf numFmtId="0" fontId="15" fillId="0" borderId="0" xfId="3" applyFont="1" applyAlignment="1">
      <alignment horizontal="center"/>
    </xf>
    <xf numFmtId="0" fontId="15" fillId="0" borderId="0" xfId="3" applyNumberFormat="1" applyFont="1" applyAlignment="1">
      <alignment horizontal="center"/>
    </xf>
    <xf numFmtId="0" fontId="15" fillId="0" borderId="3" xfId="3" applyNumberFormat="1" applyFont="1" applyBorder="1" applyAlignment="1">
      <alignment horizontal="center"/>
    </xf>
    <xf numFmtId="0" fontId="15" fillId="0" borderId="8" xfId="3" applyFont="1" applyBorder="1" applyAlignment="1">
      <alignment horizontal="center"/>
    </xf>
    <xf numFmtId="0" fontId="15" fillId="0" borderId="6" xfId="3" applyFont="1" applyBorder="1" applyAlignment="1">
      <alignment horizontal="center"/>
    </xf>
    <xf numFmtId="41" fontId="15" fillId="3" borderId="0" xfId="6" applyNumberFormat="1" applyFont="1" applyFill="1" applyBorder="1" applyAlignment="1">
      <alignment horizontal="center"/>
    </xf>
    <xf numFmtId="0" fontId="15" fillId="0" borderId="4" xfId="3" applyNumberFormat="1" applyFont="1" applyBorder="1" applyAlignment="1">
      <alignment horizontal="center"/>
    </xf>
    <xf numFmtId="0" fontId="15" fillId="0" borderId="14" xfId="3" applyFont="1" applyBorder="1" applyAlignment="1">
      <alignment horizontal="center"/>
    </xf>
    <xf numFmtId="0" fontId="15" fillId="0" borderId="0" xfId="3" applyFont="1" applyBorder="1" applyAlignment="1">
      <alignment horizontal="center"/>
    </xf>
    <xf numFmtId="0" fontId="15" fillId="0" borderId="5" xfId="3" applyNumberFormat="1" applyFont="1" applyBorder="1" applyAlignment="1">
      <alignment horizontal="center"/>
    </xf>
    <xf numFmtId="0" fontId="15" fillId="0" borderId="10" xfId="3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41" fontId="15" fillId="3" borderId="1" xfId="3" applyNumberFormat="1" applyFont="1" applyFill="1" applyBorder="1" applyAlignment="1">
      <alignment horizontal="center"/>
    </xf>
    <xf numFmtId="2" fontId="15" fillId="0" borderId="0" xfId="3" applyNumberFormat="1" applyFont="1" applyAlignment="1">
      <alignment horizontal="center"/>
    </xf>
    <xf numFmtId="2" fontId="13" fillId="0" borderId="0" xfId="3" applyNumberFormat="1" applyFont="1" applyAlignment="1">
      <alignment horizontal="left"/>
    </xf>
    <xf numFmtId="2" fontId="15" fillId="0" borderId="0" xfId="8" applyNumberFormat="1" applyFont="1" applyFill="1" applyAlignment="1" applyProtection="1">
      <alignment horizontal="center"/>
    </xf>
    <xf numFmtId="37" fontId="13" fillId="0" borderId="0" xfId="3" applyNumberFormat="1" applyFont="1" applyAlignment="1">
      <alignment horizontal="center"/>
    </xf>
    <xf numFmtId="5" fontId="13" fillId="0" borderId="0" xfId="3" applyNumberFormat="1" applyFont="1"/>
    <xf numFmtId="5" fontId="13" fillId="0" borderId="0" xfId="3" applyNumberFormat="1" applyFont="1" applyFill="1"/>
    <xf numFmtId="5" fontId="13" fillId="0" borderId="0" xfId="6" applyNumberFormat="1" applyFont="1" applyFill="1" applyBorder="1"/>
    <xf numFmtId="37" fontId="13" fillId="0" borderId="0" xfId="3" applyNumberFormat="1" applyFont="1"/>
    <xf numFmtId="37" fontId="13" fillId="0" borderId="0" xfId="3" applyNumberFormat="1" applyFont="1" applyFill="1"/>
    <xf numFmtId="41" fontId="13" fillId="0" borderId="1" xfId="3" applyNumberFormat="1" applyFont="1" applyBorder="1"/>
    <xf numFmtId="41" fontId="13" fillId="0" borderId="1" xfId="3" applyNumberFormat="1" applyFont="1" applyFill="1" applyBorder="1"/>
    <xf numFmtId="37" fontId="13" fillId="0" borderId="0" xfId="3" applyNumberFormat="1" applyFont="1" applyFill="1" applyAlignment="1">
      <alignment horizontal="center"/>
    </xf>
    <xf numFmtId="1" fontId="13" fillId="0" borderId="0" xfId="9" applyNumberFormat="1" applyFont="1" applyAlignment="1">
      <alignment horizontal="center"/>
    </xf>
    <xf numFmtId="9" fontId="13" fillId="0" borderId="0" xfId="5" applyFont="1"/>
    <xf numFmtId="164" fontId="13" fillId="0" borderId="0" xfId="1" applyNumberFormat="1" applyFont="1" applyFill="1"/>
    <xf numFmtId="3" fontId="13" fillId="0" borderId="0" xfId="9" applyNumberFormat="1" applyFont="1" applyAlignment="1">
      <alignment horizontal="center"/>
    </xf>
    <xf numFmtId="5" fontId="13" fillId="0" borderId="16" xfId="3" applyNumberFormat="1" applyFont="1" applyFill="1" applyBorder="1"/>
    <xf numFmtId="3" fontId="13" fillId="0" borderId="0" xfId="9" applyNumberFormat="1" applyFont="1" applyFill="1" applyAlignment="1">
      <alignment horizontal="center"/>
    </xf>
    <xf numFmtId="41" fontId="13" fillId="0" borderId="6" xfId="3" applyNumberFormat="1" applyFont="1" applyFill="1" applyBorder="1"/>
    <xf numFmtId="41" fontId="13" fillId="0" borderId="2" xfId="3" applyNumberFormat="1" applyFont="1" applyFill="1" applyBorder="1"/>
    <xf numFmtId="41" fontId="13" fillId="0" borderId="0" xfId="5" applyNumberFormat="1" applyFont="1" applyFill="1"/>
    <xf numFmtId="0" fontId="13" fillId="0" borderId="0" xfId="3" applyFont="1" applyAlignment="1">
      <alignment vertical="top"/>
    </xf>
    <xf numFmtId="10" fontId="16" fillId="0" borderId="0" xfId="5" applyNumberFormat="1" applyFont="1" applyFill="1" applyBorder="1" applyAlignment="1">
      <alignment vertical="top" wrapText="1"/>
    </xf>
    <xf numFmtId="0" fontId="13" fillId="0" borderId="0" xfId="3" applyFont="1" applyFill="1"/>
    <xf numFmtId="0" fontId="13" fillId="0" borderId="0" xfId="3" applyNumberFormat="1" applyFont="1" applyFill="1" applyAlignment="1">
      <alignment horizontal="center"/>
    </xf>
    <xf numFmtId="0" fontId="13" fillId="0" borderId="0" xfId="3" applyNumberFormat="1" applyFont="1" applyBorder="1" applyAlignment="1">
      <alignment horizontal="center"/>
    </xf>
    <xf numFmtId="0" fontId="13" fillId="0" borderId="0" xfId="3" applyFont="1" applyBorder="1"/>
    <xf numFmtId="41" fontId="13" fillId="0" borderId="0" xfId="5" applyNumberFormat="1" applyFont="1" applyFill="1" applyBorder="1"/>
    <xf numFmtId="0" fontId="13" fillId="0" borderId="0" xfId="3" applyNumberFormat="1" applyFont="1" applyFill="1" applyBorder="1" applyAlignment="1">
      <alignment horizontal="center"/>
    </xf>
    <xf numFmtId="0" fontId="13" fillId="0" borderId="0" xfId="10" applyNumberFormat="1" applyFont="1" applyAlignment="1">
      <alignment horizontal="center"/>
    </xf>
    <xf numFmtId="0" fontId="13" fillId="0" borderId="0" xfId="10" applyFont="1"/>
    <xf numFmtId="41" fontId="13" fillId="0" borderId="0" xfId="4" applyNumberFormat="1" applyFont="1" applyFill="1"/>
    <xf numFmtId="3" fontId="13" fillId="0" borderId="0" xfId="10" applyNumberFormat="1" applyFont="1" applyFill="1"/>
    <xf numFmtId="0" fontId="13" fillId="0" borderId="0" xfId="10" applyFont="1" applyFill="1" applyBorder="1"/>
    <xf numFmtId="0" fontId="13" fillId="0" borderId="0" xfId="10" applyNumberFormat="1" applyFont="1" applyAlignment="1">
      <alignment horizontal="left"/>
    </xf>
    <xf numFmtId="3" fontId="15" fillId="0" borderId="0" xfId="10" applyNumberFormat="1" applyFont="1" applyFill="1" applyAlignment="1">
      <alignment horizontal="center"/>
    </xf>
    <xf numFmtId="41" fontId="15" fillId="3" borderId="0" xfId="7" applyNumberFormat="1" applyFont="1" applyFill="1" applyBorder="1" applyAlignment="1"/>
    <xf numFmtId="0" fontId="13" fillId="0" borderId="0" xfId="10" applyFont="1" applyAlignment="1">
      <alignment horizontal="center"/>
    </xf>
    <xf numFmtId="0" fontId="15" fillId="0" borderId="0" xfId="7" applyFont="1" applyAlignment="1">
      <alignment horizontal="center"/>
    </xf>
    <xf numFmtId="0" fontId="13" fillId="0" borderId="0" xfId="7" applyFont="1"/>
    <xf numFmtId="0" fontId="15" fillId="0" borderId="0" xfId="10" applyNumberFormat="1" applyFont="1" applyAlignment="1">
      <alignment horizontal="center"/>
    </xf>
    <xf numFmtId="0" fontId="15" fillId="0" borderId="0" xfId="10" applyFont="1" applyAlignment="1">
      <alignment horizontal="center"/>
    </xf>
    <xf numFmtId="3" fontId="14" fillId="0" borderId="0" xfId="0" applyNumberFormat="1" applyFont="1" applyFill="1" applyAlignment="1"/>
    <xf numFmtId="0" fontId="15" fillId="0" borderId="3" xfId="10" applyNumberFormat="1" applyFont="1" applyBorder="1" applyAlignment="1">
      <alignment horizontal="center"/>
    </xf>
    <xf numFmtId="0" fontId="15" fillId="0" borderId="8" xfId="10" applyFont="1" applyBorder="1" applyAlignment="1">
      <alignment horizontal="center"/>
    </xf>
    <xf numFmtId="0" fontId="15" fillId="0" borderId="6" xfId="10" applyFont="1" applyBorder="1" applyAlignment="1">
      <alignment horizontal="center"/>
    </xf>
    <xf numFmtId="0" fontId="13" fillId="0" borderId="9" xfId="10" applyFont="1" applyBorder="1"/>
    <xf numFmtId="3" fontId="15" fillId="3" borderId="3" xfId="10" applyNumberFormat="1" applyFont="1" applyFill="1" applyBorder="1" applyAlignment="1">
      <alignment horizontal="center"/>
    </xf>
    <xf numFmtId="3" fontId="15" fillId="3" borderId="9" xfId="10" applyNumberFormat="1" applyFont="1" applyFill="1" applyBorder="1" applyAlignment="1">
      <alignment horizontal="center"/>
    </xf>
    <xf numFmtId="0" fontId="15" fillId="0" borderId="4" xfId="10" applyNumberFormat="1" applyFont="1" applyBorder="1" applyAlignment="1">
      <alignment horizontal="center"/>
    </xf>
    <xf numFmtId="0" fontId="15" fillId="0" borderId="14" xfId="10" applyFont="1" applyBorder="1" applyAlignment="1">
      <alignment horizontal="center"/>
    </xf>
    <xf numFmtId="0" fontId="15" fillId="0" borderId="0" xfId="10" applyFont="1" applyBorder="1" applyAlignment="1">
      <alignment horizontal="center"/>
    </xf>
    <xf numFmtId="0" fontId="13" fillId="0" borderId="15" xfId="10" applyFont="1" applyBorder="1"/>
    <xf numFmtId="3" fontId="15" fillId="3" borderId="4" xfId="10" applyNumberFormat="1" applyFont="1" applyFill="1" applyBorder="1" applyAlignment="1">
      <alignment horizontal="center"/>
    </xf>
    <xf numFmtId="3" fontId="15" fillId="3" borderId="15" xfId="10" applyNumberFormat="1" applyFont="1" applyFill="1" applyBorder="1" applyAlignment="1">
      <alignment horizontal="center"/>
    </xf>
    <xf numFmtId="0" fontId="15" fillId="0" borderId="5" xfId="10" applyNumberFormat="1" applyFont="1" applyBorder="1" applyAlignment="1">
      <alignment horizontal="center"/>
    </xf>
    <xf numFmtId="0" fontId="15" fillId="0" borderId="10" xfId="10" applyFont="1" applyBorder="1" applyAlignment="1">
      <alignment horizontal="center"/>
    </xf>
    <xf numFmtId="0" fontId="15" fillId="0" borderId="1" xfId="10" applyFont="1" applyBorder="1" applyAlignment="1">
      <alignment horizontal="center"/>
    </xf>
    <xf numFmtId="0" fontId="15" fillId="0" borderId="11" xfId="10" applyFont="1" applyBorder="1" applyAlignment="1">
      <alignment horizontal="center"/>
    </xf>
    <xf numFmtId="3" fontId="15" fillId="3" borderId="5" xfId="10" applyNumberFormat="1" applyFont="1" applyFill="1" applyBorder="1" applyAlignment="1">
      <alignment horizontal="center"/>
    </xf>
    <xf numFmtId="3" fontId="15" fillId="3" borderId="11" xfId="10" applyNumberFormat="1" applyFont="1" applyFill="1" applyBorder="1" applyAlignment="1">
      <alignment horizontal="center"/>
    </xf>
    <xf numFmtId="0" fontId="13" fillId="0" borderId="0" xfId="10" applyFont="1" applyAlignment="1">
      <alignment horizontal="left"/>
    </xf>
    <xf numFmtId="4" fontId="15" fillId="0" borderId="0" xfId="10" applyNumberFormat="1" applyFont="1" applyFill="1" applyBorder="1" applyAlignment="1">
      <alignment horizontal="center"/>
    </xf>
    <xf numFmtId="2" fontId="15" fillId="0" borderId="0" xfId="7" applyNumberFormat="1" applyFont="1" applyAlignment="1">
      <alignment horizontal="center"/>
    </xf>
    <xf numFmtId="5" fontId="13" fillId="0" borderId="0" xfId="10" applyNumberFormat="1" applyFont="1"/>
    <xf numFmtId="42" fontId="13" fillId="0" borderId="0" xfId="11" applyNumberFormat="1" applyFont="1" applyFill="1"/>
    <xf numFmtId="5" fontId="13" fillId="0" borderId="0" xfId="7" applyNumberFormat="1" applyFont="1"/>
    <xf numFmtId="37" fontId="13" fillId="0" borderId="0" xfId="10" applyNumberFormat="1" applyFont="1"/>
    <xf numFmtId="41" fontId="13" fillId="0" borderId="0" xfId="11" applyNumberFormat="1" applyFont="1" applyFill="1"/>
    <xf numFmtId="41" fontId="13" fillId="0" borderId="0" xfId="11" applyNumberFormat="1" applyFont="1" applyFill="1" applyBorder="1"/>
    <xf numFmtId="37" fontId="13" fillId="0" borderId="0" xfId="7" applyNumberFormat="1" applyFont="1"/>
    <xf numFmtId="41" fontId="13" fillId="0" borderId="1" xfId="11" applyNumberFormat="1" applyFont="1" applyFill="1" applyBorder="1"/>
    <xf numFmtId="41" fontId="13" fillId="0" borderId="0" xfId="10" applyNumberFormat="1" applyFont="1" applyFill="1"/>
    <xf numFmtId="41" fontId="13" fillId="0" borderId="0" xfId="10" applyNumberFormat="1" applyFont="1" applyFill="1" applyBorder="1"/>
    <xf numFmtId="0" fontId="13" fillId="0" borderId="0" xfId="0" applyFont="1"/>
    <xf numFmtId="41" fontId="13" fillId="0" borderId="1" xfId="10" applyNumberFormat="1" applyFont="1" applyFill="1" applyBorder="1"/>
    <xf numFmtId="37" fontId="13" fillId="0" borderId="0" xfId="7" applyNumberFormat="1" applyFont="1" applyFill="1"/>
    <xf numFmtId="41" fontId="13" fillId="0" borderId="0" xfId="7" applyNumberFormat="1" applyFont="1" applyFill="1"/>
    <xf numFmtId="42" fontId="13" fillId="0" borderId="16" xfId="10" applyNumberFormat="1" applyFont="1" applyFill="1" applyBorder="1"/>
    <xf numFmtId="41" fontId="13" fillId="0" borderId="2" xfId="10" applyNumberFormat="1" applyFont="1" applyFill="1" applyBorder="1"/>
    <xf numFmtId="0" fontId="13" fillId="0" borderId="0" xfId="10" applyNumberFormat="1" applyFont="1" applyBorder="1" applyAlignment="1">
      <alignment horizontal="center"/>
    </xf>
    <xf numFmtId="37" fontId="13" fillId="0" borderId="0" xfId="10" applyNumberFormat="1" applyFont="1" applyBorder="1"/>
    <xf numFmtId="41" fontId="13" fillId="0" borderId="1" xfId="7" applyNumberFormat="1" applyFont="1" applyFill="1" applyBorder="1"/>
    <xf numFmtId="0" fontId="13" fillId="0" borderId="0" xfId="10" applyFont="1" applyBorder="1"/>
    <xf numFmtId="5" fontId="15" fillId="0" borderId="0" xfId="10" applyNumberFormat="1" applyFont="1"/>
    <xf numFmtId="42" fontId="15" fillId="0" borderId="16" xfId="10" applyNumberFormat="1" applyFont="1" applyFill="1" applyBorder="1"/>
    <xf numFmtId="0" fontId="13" fillId="0" borderId="0" xfId="10" applyNumberFormat="1" applyFont="1" applyFill="1" applyAlignment="1">
      <alignment horizontal="left"/>
    </xf>
    <xf numFmtId="0" fontId="13" fillId="0" borderId="0" xfId="10" applyFont="1" applyFill="1"/>
    <xf numFmtId="0" fontId="13" fillId="0" borderId="0" xfId="4" applyFont="1" applyFill="1"/>
    <xf numFmtId="0" fontId="13" fillId="0" borderId="0" xfId="10" applyNumberFormat="1" applyFont="1" applyFill="1" applyAlignment="1">
      <alignment horizontal="center"/>
    </xf>
    <xf numFmtId="0" fontId="13" fillId="0" borderId="0" xfId="7" applyFont="1" applyFill="1"/>
    <xf numFmtId="0" fontId="13" fillId="0" borderId="0" xfId="7" applyFont="1" applyBorder="1"/>
    <xf numFmtId="0" fontId="13" fillId="0" borderId="0" xfId="10" applyNumberFormat="1" applyFont="1" applyFill="1" applyBorder="1" applyAlignment="1">
      <alignment horizontal="center"/>
    </xf>
    <xf numFmtId="0" fontId="13" fillId="0" borderId="0" xfId="4" applyFont="1" applyFill="1" applyBorder="1"/>
    <xf numFmtId="0" fontId="13" fillId="0" borderId="0" xfId="4" applyFont="1" applyFill="1" applyBorder="1" applyAlignment="1">
      <alignment horizontal="right"/>
    </xf>
    <xf numFmtId="43" fontId="0" fillId="0" borderId="0" xfId="0" applyNumberFormat="1"/>
    <xf numFmtId="41" fontId="19" fillId="0" borderId="0" xfId="7" applyNumberFormat="1" applyFont="1" applyFill="1" applyBorder="1" applyAlignment="1">
      <alignment vertical="top" wrapText="1"/>
    </xf>
    <xf numFmtId="0" fontId="13" fillId="3" borderId="0" xfId="3" applyFont="1" applyFill="1"/>
    <xf numFmtId="10" fontId="13" fillId="3" borderId="0" xfId="5" applyNumberFormat="1" applyFont="1" applyFill="1"/>
    <xf numFmtId="166" fontId="13" fillId="3" borderId="0" xfId="5" applyNumberFormat="1" applyFont="1" applyFill="1"/>
    <xf numFmtId="41" fontId="19" fillId="0" borderId="0" xfId="7" applyNumberFormat="1" applyFont="1" applyFill="1" applyBorder="1" applyAlignment="1">
      <alignment horizontal="center" vertical="center" wrapText="1"/>
    </xf>
    <xf numFmtId="0" fontId="13" fillId="3" borderId="0" xfId="4" applyFont="1" applyFill="1"/>
    <xf numFmtId="0" fontId="13" fillId="3" borderId="0" xfId="7" applyFont="1" applyFill="1"/>
    <xf numFmtId="167" fontId="13" fillId="3" borderId="0" xfId="4" applyNumberFormat="1" applyFont="1" applyFill="1"/>
    <xf numFmtId="165" fontId="15" fillId="3" borderId="7" xfId="3" applyNumberFormat="1" applyFont="1" applyFill="1" applyBorder="1"/>
    <xf numFmtId="165" fontId="15" fillId="3" borderId="19" xfId="2" applyNumberFormat="1" applyFont="1" applyFill="1" applyBorder="1"/>
    <xf numFmtId="165" fontId="15" fillId="3" borderId="17" xfId="2" applyNumberFormat="1" applyFont="1" applyFill="1" applyBorder="1"/>
    <xf numFmtId="165" fontId="15" fillId="3" borderId="20" xfId="2" applyNumberFormat="1" applyFont="1" applyFill="1" applyBorder="1"/>
    <xf numFmtId="165" fontId="15" fillId="0" borderId="18" xfId="2" applyNumberFormat="1" applyFont="1" applyBorder="1"/>
    <xf numFmtId="41" fontId="17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  <xf numFmtId="41" fontId="15" fillId="3" borderId="0" xfId="7" applyNumberFormat="1" applyFont="1" applyFill="1" applyBorder="1" applyAlignment="1">
      <alignment horizontal="left" vertical="top" wrapText="1"/>
    </xf>
    <xf numFmtId="3" fontId="14" fillId="0" borderId="0" xfId="0" applyNumberFormat="1" applyFont="1" applyFill="1" applyAlignment="1">
      <alignment horizontal="center"/>
    </xf>
  </cellXfs>
  <cellStyles count="13">
    <cellStyle name="Comma" xfId="1" builtinId="3"/>
    <cellStyle name="Currency" xfId="2" builtinId="4"/>
    <cellStyle name="Followed Hyperlink" xfId="8" builtinId="9"/>
    <cellStyle name="Followed Hyperlink 2" xfId="12"/>
    <cellStyle name="Normal" xfId="0" builtinId="0"/>
    <cellStyle name="Normal_DFIT-WaEle_SUM" xfId="9"/>
    <cellStyle name="Normal_IDGas6_97" xfId="6"/>
    <cellStyle name="Normal_IDGas6_97 2" xfId="11"/>
    <cellStyle name="Normal_WAElec6_97" xfId="3"/>
    <cellStyle name="Normal_WAElec6_97 2" xfId="4"/>
    <cellStyle name="Normal_WAElec6_97 2 2" xfId="7"/>
    <cellStyle name="Normal_WAGas6_97 2" xfId="1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485/Shared%20Documents/Exh%20JH-2%20Electric%20RR.%20TCJA%203-6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z/2017-WA%20GRC%20Order/Order%20BR9-Att%20A%20-%20REVISED%20Exh%20EMA-11%20WA%20Electric%20Model+TCJ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uang\Documents\DATA\Avista\GRC\UE-170485%20GRC\Workpaper-Huang\RR%20model\TCJA\Exh%20JH-2%20Electric%20RR.%20TCJA%204-27-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uang\Documents\DATA\Avista\GRC\UE-170485%20GRC\Workpaper-Huang\RR%20model\TCJA\Exh%20JH-3%20Gas%20RR%20Model%20%20TCJA%203-19-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iz/2017-WA%20GRC%20Order/Order%20BR9-Att%20B%20-%20REVISED%20Exh%20EMA-12%20WA%20Gas%20Model+TC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JA"/>
      <sheetName val="PROPOSED RATES-2018"/>
      <sheetName val="RR SUMMARY"/>
      <sheetName val="CF "/>
      <sheetName val="Acerno_Cache_XXXXX"/>
      <sheetName val="ADJ DETAIL-INPUT"/>
      <sheetName val="COMPARISON"/>
      <sheetName val="LEAD SHEETS-DO NOT ENTER"/>
      <sheetName val="ADJ SUMMARY"/>
      <sheetName val="ROO INPUT"/>
      <sheetName val="DEBT CALC"/>
      <sheetName val="RETAIL REVENUE CREDIT-not used"/>
      <sheetName val="PROPOSED RATES-2019-not used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 xml:space="preserve">AVISTA UTILITIES 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2018"/>
      <sheetName val="RR SUMMARY"/>
      <sheetName val="CF "/>
      <sheetName val="Acerno_Cache_XXXXX"/>
      <sheetName val="ADJ DETAIL-INPUT"/>
      <sheetName val="COMPARISON"/>
      <sheetName val="ADJ SUMMARY"/>
      <sheetName val="LEAD SHEETS-DO NOT ENTER"/>
      <sheetName val="ROO INPUT"/>
      <sheetName val="DEBT CALC"/>
    </sheetNames>
    <sheetDataSet>
      <sheetData sheetId="0"/>
      <sheetData sheetId="1">
        <row r="13">
          <cell r="Q13">
            <v>2.8899999999999999E-2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2018"/>
      <sheetName val="RR SUMMARY"/>
      <sheetName val="CF "/>
      <sheetName val="Acerno_Cache_XXXXX"/>
      <sheetName val="ADJ DETAIL-INPUT"/>
      <sheetName val="TCJA"/>
      <sheetName val="2015 GRC Embedded Tax"/>
      <sheetName val="COMPARISON"/>
      <sheetName val="LEAD SHEETS-DO NOT ENTER"/>
      <sheetName val="ADJ SUMMARY"/>
      <sheetName val="ROO INPUT"/>
      <sheetName val="DEBT CALC"/>
      <sheetName val="RETAIL REVENUE CREDIT-not used"/>
      <sheetName val="PROPOSED RATES-2019-not used"/>
    </sheetNames>
    <sheetDataSet>
      <sheetData sheetId="0"/>
      <sheetData sheetId="1"/>
      <sheetData sheetId="2"/>
      <sheetData sheetId="3"/>
      <sheetData sheetId="4">
        <row r="88">
          <cell r="E88">
            <v>0.75312500000000004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8"/>
      <sheetName val="RR SUMMARY"/>
      <sheetName val="CF"/>
      <sheetName val="Acerno_Cache_XXXXX"/>
      <sheetName val="ADJ DETAIL INPUT"/>
      <sheetName val="TCJA"/>
      <sheetName val="2015 GRC Embedded Tax"/>
      <sheetName val="Recap Summary"/>
      <sheetName val="LEAD SHEETS-DO NOT ENTER"/>
      <sheetName val="ADJ SUMMARY"/>
      <sheetName val="DEBT CALC"/>
      <sheetName val="ROO INPUT"/>
      <sheetName val="not used - PROP0SED RATES-2019"/>
    </sheetNames>
    <sheetDataSet>
      <sheetData sheetId="0"/>
      <sheetData sheetId="1"/>
      <sheetData sheetId="2"/>
      <sheetData sheetId="3"/>
      <sheetData sheetId="4">
        <row r="2">
          <cell r="A2" t="str">
            <v>AVISTA UTILITIES</v>
          </cell>
        </row>
        <row r="88">
          <cell r="E88">
            <v>0.75329299999999999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 xml:space="preserve">WASHINGTON NATURAL GAS RESULTS </v>
          </cell>
        </row>
        <row r="5">
          <cell r="A5" t="str">
            <v>TWELVE MONTHS ENDED DECEMBER 31, 2016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8"/>
      <sheetName val="RR SUMMARY"/>
      <sheetName val="CF"/>
      <sheetName val="Acerno_Cache_XXXXX"/>
      <sheetName val="ADJ DETAIL INPUT"/>
      <sheetName val="Recap Summary"/>
      <sheetName val="ADJ SUMMARY"/>
      <sheetName val="LEAD SHEETS-DO NOT ENTER"/>
      <sheetName val="DEBT CALC"/>
      <sheetName val="ROO INPUT"/>
      <sheetName val="not used - PROP0SED RATES-2019"/>
    </sheetNames>
    <sheetDataSet>
      <sheetData sheetId="0"/>
      <sheetData sheetId="1">
        <row r="13">
          <cell r="P13">
            <v>2.8899999999999999E-2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AVISTA UTILITIES</v>
          </cell>
        </row>
        <row r="6">
          <cell r="A6" t="str">
            <v xml:space="preserve">(000'S OF DOLLARS)   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tabSelected="1" workbookViewId="0">
      <selection activeCell="D18" sqref="D18"/>
    </sheetView>
  </sheetViews>
  <sheetFormatPr defaultRowHeight="15.75"/>
  <cols>
    <col min="1" max="1" width="35.7109375" style="41" customWidth="1"/>
    <col min="2" max="2" width="15.28515625" style="41" customWidth="1"/>
    <col min="3" max="3" width="5.42578125" style="41" customWidth="1"/>
    <col min="4" max="4" width="16.42578125" style="41" customWidth="1"/>
    <col min="5" max="16384" width="9.140625" style="41"/>
  </cols>
  <sheetData>
    <row r="2" spans="1:5" ht="31.5">
      <c r="A2" s="39" t="s">
        <v>56</v>
      </c>
      <c r="B2" s="40" t="s">
        <v>51</v>
      </c>
      <c r="D2" s="40" t="s">
        <v>55</v>
      </c>
    </row>
    <row r="4" spans="1:5">
      <c r="A4" s="42" t="s">
        <v>52</v>
      </c>
      <c r="B4" s="47" t="s">
        <v>58</v>
      </c>
      <c r="C4" s="46"/>
      <c r="D4" s="43">
        <f>'ADJ DETAIL - Nat Gas'!F84</f>
        <v>-1140.0083526595893</v>
      </c>
    </row>
    <row r="5" spans="1:5">
      <c r="A5" s="42" t="s">
        <v>53</v>
      </c>
      <c r="B5" s="43">
        <f>'2015 GRC Embedded Tax-Ele'!C33</f>
        <v>-5982.3775282001889</v>
      </c>
      <c r="C5" s="43"/>
      <c r="D5" s="43">
        <f>'2015 GRC Embedded Tax-Gas'!C33</f>
        <v>-1716.6147308353268</v>
      </c>
    </row>
    <row r="6" spans="1:5">
      <c r="A6" s="42" t="s">
        <v>54</v>
      </c>
      <c r="B6" s="44">
        <f>'ADJ DETAIL-Elec'!H82</f>
        <v>-1886.5838349100966</v>
      </c>
      <c r="C6" s="43"/>
      <c r="D6" s="44">
        <f>'ADJ DETAIL - Nat Gas'!H84</f>
        <v>-389.12148128284741</v>
      </c>
    </row>
    <row r="7" spans="1:5" ht="16.5" thickBot="1">
      <c r="A7" s="42" t="s">
        <v>36</v>
      </c>
      <c r="B7" s="45">
        <f>SUM(B5:B6)</f>
        <v>-7868.9613631102857</v>
      </c>
      <c r="C7" s="43"/>
      <c r="D7" s="45">
        <f>SUM(D4:D6)</f>
        <v>-3245.7445647777636</v>
      </c>
    </row>
    <row r="8" spans="1:5" ht="16.5" thickTop="1"/>
    <row r="9" spans="1:5" ht="54.75" customHeight="1">
      <c r="A9" s="179" t="s">
        <v>57</v>
      </c>
      <c r="B9" s="179"/>
      <c r="C9" s="179"/>
      <c r="D9" s="179"/>
      <c r="E9" s="179"/>
    </row>
  </sheetData>
  <mergeCells count="1">
    <mergeCell ref="A9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C42" sqref="C42"/>
    </sheetView>
  </sheetViews>
  <sheetFormatPr defaultRowHeight="12.75"/>
  <cols>
    <col min="1" max="1" width="23.28515625" customWidth="1"/>
    <col min="2" max="2" width="18.42578125" customWidth="1"/>
    <col min="3" max="3" width="13.85546875" customWidth="1"/>
    <col min="4" max="5" width="5.28515625" customWidth="1"/>
    <col min="7" max="7" width="26.42578125" customWidth="1"/>
  </cols>
  <sheetData>
    <row r="1" spans="1:7">
      <c r="A1" s="1" t="s">
        <v>0</v>
      </c>
    </row>
    <row r="2" spans="1:7" ht="15">
      <c r="A2" s="1" t="s">
        <v>1</v>
      </c>
      <c r="C2" s="2"/>
    </row>
    <row r="3" spans="1:7">
      <c r="A3" s="1" t="s">
        <v>2</v>
      </c>
    </row>
    <row r="5" spans="1:7">
      <c r="A5" s="3" t="s">
        <v>3</v>
      </c>
    </row>
    <row r="6" spans="1:7">
      <c r="A6" s="3" t="s">
        <v>4</v>
      </c>
    </row>
    <row r="7" spans="1:7">
      <c r="A7" s="3" t="s">
        <v>5</v>
      </c>
    </row>
    <row r="10" spans="1:7">
      <c r="C10" s="4" t="s">
        <v>6</v>
      </c>
      <c r="G10" s="180" t="s">
        <v>7</v>
      </c>
    </row>
    <row r="11" spans="1:7">
      <c r="A11" t="s">
        <v>8</v>
      </c>
      <c r="C11" s="4" t="s">
        <v>9</v>
      </c>
      <c r="G11" s="180"/>
    </row>
    <row r="12" spans="1:7">
      <c r="C12" s="4" t="s">
        <v>10</v>
      </c>
    </row>
    <row r="13" spans="1:7">
      <c r="C13" s="4"/>
      <c r="G13" s="5" t="s">
        <v>11</v>
      </c>
    </row>
    <row r="14" spans="1:7" ht="15">
      <c r="A14" t="s">
        <v>12</v>
      </c>
      <c r="B14" t="s">
        <v>13</v>
      </c>
      <c r="C14" s="6">
        <v>1315891</v>
      </c>
      <c r="G14" s="7" t="s">
        <v>14</v>
      </c>
    </row>
    <row r="15" spans="1:7" ht="15">
      <c r="A15" t="s">
        <v>15</v>
      </c>
      <c r="B15" t="s">
        <v>16</v>
      </c>
      <c r="C15" s="8">
        <f>ROUND(0.485*0.095,4)</f>
        <v>4.6100000000000002E-2</v>
      </c>
      <c r="F15" t="s">
        <v>17</v>
      </c>
      <c r="G15" s="9">
        <v>556116924.47170997</v>
      </c>
    </row>
    <row r="16" spans="1:7">
      <c r="A16" t="s">
        <v>18</v>
      </c>
      <c r="B16" t="s">
        <v>16</v>
      </c>
      <c r="C16" s="10">
        <f>C17-C15</f>
        <v>2.6800000000000004E-2</v>
      </c>
      <c r="F16" t="s">
        <v>19</v>
      </c>
      <c r="G16" s="11">
        <v>486363481.75740999</v>
      </c>
    </row>
    <row r="17" spans="1:7" ht="15">
      <c r="A17" t="s">
        <v>20</v>
      </c>
      <c r="B17" t="s">
        <v>16</v>
      </c>
      <c r="C17" s="8">
        <f>7.29%</f>
        <v>7.2900000000000006E-2</v>
      </c>
      <c r="F17" t="s">
        <v>21</v>
      </c>
      <c r="G17" s="11">
        <v>477534769.60843003</v>
      </c>
    </row>
    <row r="18" spans="1:7">
      <c r="F18" t="s">
        <v>22</v>
      </c>
      <c r="G18" s="12">
        <v>431246457.49967003</v>
      </c>
    </row>
    <row r="19" spans="1:7">
      <c r="A19" t="s">
        <v>23</v>
      </c>
      <c r="C19" s="13">
        <f>C14*C15</f>
        <v>60662.575100000002</v>
      </c>
      <c r="F19" t="s">
        <v>24</v>
      </c>
      <c r="G19" s="14">
        <v>432472925.78266001</v>
      </c>
    </row>
    <row r="20" spans="1:7">
      <c r="A20" t="s">
        <v>25</v>
      </c>
      <c r="C20" s="13">
        <f>C14*C16</f>
        <v>35265.878800000006</v>
      </c>
      <c r="F20" t="s">
        <v>26</v>
      </c>
      <c r="G20" s="14">
        <v>424693280.31320006</v>
      </c>
    </row>
    <row r="21" spans="1:7">
      <c r="A21" s="15"/>
      <c r="B21" s="16" t="s">
        <v>27</v>
      </c>
      <c r="C21" s="17">
        <f>SUM(C19:C20)</f>
        <v>95928.453900000008</v>
      </c>
      <c r="F21" t="s">
        <v>28</v>
      </c>
      <c r="G21" s="14">
        <v>490670110.33026999</v>
      </c>
    </row>
    <row r="22" spans="1:7">
      <c r="F22" t="s">
        <v>29</v>
      </c>
      <c r="G22" s="14">
        <v>464617267.32497001</v>
      </c>
    </row>
    <row r="23" spans="1:7">
      <c r="A23" t="s">
        <v>30</v>
      </c>
      <c r="B23" s="18">
        <v>0.35</v>
      </c>
      <c r="C23" s="13">
        <f>C19/(1-$B23)</f>
        <v>93327.038615384619</v>
      </c>
      <c r="F23" t="s">
        <v>31</v>
      </c>
      <c r="G23" s="14">
        <v>435934057.95225</v>
      </c>
    </row>
    <row r="24" spans="1:7">
      <c r="A24" t="s">
        <v>32</v>
      </c>
      <c r="C24" s="13">
        <f>C23-C19</f>
        <v>32664.463515384617</v>
      </c>
      <c r="F24" t="s">
        <v>33</v>
      </c>
      <c r="G24" s="14">
        <v>436958679.46842003</v>
      </c>
    </row>
    <row r="25" spans="1:7">
      <c r="F25" t="s">
        <v>34</v>
      </c>
      <c r="G25" s="14">
        <v>468856066.05858999</v>
      </c>
    </row>
    <row r="26" spans="1:7">
      <c r="A26" t="s">
        <v>30</v>
      </c>
      <c r="B26" s="18">
        <v>0.21</v>
      </c>
      <c r="C26" s="13">
        <f>C19/(1-$B26)</f>
        <v>76788.069746835448</v>
      </c>
      <c r="F26" s="19" t="s">
        <v>35</v>
      </c>
      <c r="G26" s="20">
        <v>553149691.00241995</v>
      </c>
    </row>
    <row r="27" spans="1:7">
      <c r="A27" t="s">
        <v>32</v>
      </c>
      <c r="C27" s="13">
        <f>C26-C19</f>
        <v>16125.494646835446</v>
      </c>
      <c r="F27" t="s">
        <v>36</v>
      </c>
      <c r="G27" s="14">
        <f>SUM(G15:G26)</f>
        <v>5658613711.5699997</v>
      </c>
    </row>
    <row r="28" spans="1:7">
      <c r="C28" s="13"/>
    </row>
    <row r="29" spans="1:7">
      <c r="A29" t="s">
        <v>37</v>
      </c>
      <c r="C29" s="13">
        <f>C27-C24</f>
        <v>-16538.968868549171</v>
      </c>
      <c r="G29" s="21" t="s">
        <v>38</v>
      </c>
    </row>
    <row r="30" spans="1:7">
      <c r="B30" s="16" t="s">
        <v>39</v>
      </c>
      <c r="C30">
        <v>0.95332300000000003</v>
      </c>
      <c r="G30" s="5" t="s">
        <v>40</v>
      </c>
    </row>
    <row r="31" spans="1:7">
      <c r="A31" t="s">
        <v>41</v>
      </c>
      <c r="C31" s="13">
        <f>C29/C30</f>
        <v>-17348.756789198593</v>
      </c>
      <c r="G31" s="4" t="s">
        <v>42</v>
      </c>
    </row>
    <row r="32" spans="1:7" ht="13.5" thickBot="1">
      <c r="C32" s="22"/>
      <c r="G32" s="4">
        <f>SUM(G15:G18)/G27</f>
        <v>0.34483032997066637</v>
      </c>
    </row>
    <row r="33" spans="1:3" ht="13.5" thickBot="1">
      <c r="A33" t="s">
        <v>43</v>
      </c>
      <c r="B33" s="4"/>
      <c r="C33" s="23">
        <f>C31*G32</f>
        <v>-5982.3775282001889</v>
      </c>
    </row>
    <row r="37" spans="1:3">
      <c r="A37" s="24" t="s">
        <v>44</v>
      </c>
      <c r="B37" s="25"/>
      <c r="C37" s="26">
        <f>'[3]ADJ DETAIL-INPUT'!E88</f>
        <v>0.75312500000000004</v>
      </c>
    </row>
    <row r="38" spans="1:3">
      <c r="A38" s="27" t="s">
        <v>45</v>
      </c>
      <c r="B38" s="28"/>
      <c r="C38" s="29">
        <f>C33*C37</f>
        <v>-4505.4780759257674</v>
      </c>
    </row>
  </sheetData>
  <mergeCells count="1">
    <mergeCell ref="G10:G11"/>
  </mergeCells>
  <pageMargins left="0.75" right="0.26" top="0.75" bottom="0" header="0.5" footer="0.5"/>
  <pageSetup scale="65" orientation="portrait" r:id="rId1"/>
  <headerFooter scaleWithDoc="0" alignWithMargins="0">
    <oddHeader xml:space="preserve">&amp;L
&amp;R&amp;"Times New Roman,Regular"Exhibit No. JH-2
Dockets UE-170485/UG-170486
Page &amp;P of &amp;N
</oddHeader>
    <oddFooter xml:space="preserve">&amp;L&amp;8Bench Request No.9 - Attachment A&amp;9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7" workbookViewId="0">
      <selection activeCell="C30" sqref="C30"/>
    </sheetView>
  </sheetViews>
  <sheetFormatPr defaultRowHeight="12.75"/>
  <cols>
    <col min="1" max="1" width="23.28515625" customWidth="1"/>
    <col min="2" max="2" width="18.42578125" customWidth="1"/>
    <col min="3" max="3" width="13.85546875" customWidth="1"/>
    <col min="4" max="5" width="5" customWidth="1"/>
    <col min="7" max="7" width="23" customWidth="1"/>
    <col min="8" max="8" width="3" customWidth="1"/>
    <col min="9" max="9" width="23.7109375" customWidth="1"/>
  </cols>
  <sheetData>
    <row r="1" spans="1:9">
      <c r="A1" s="30" t="str">
        <f>'[4]ADJ DETAIL INPUT'!A2</f>
        <v>AVISTA UTILITIES</v>
      </c>
      <c r="B1" s="31"/>
      <c r="C1" s="31"/>
      <c r="D1" s="32"/>
      <c r="E1" s="33"/>
    </row>
    <row r="2" spans="1:9">
      <c r="A2" s="30" t="str">
        <f>'[4]ROO INPUT'!A4:C4</f>
        <v xml:space="preserve">WASHINGTON NATURAL GAS RESULTS </v>
      </c>
      <c r="B2" s="31"/>
      <c r="C2" s="31"/>
      <c r="D2" s="32"/>
      <c r="E2" s="33"/>
    </row>
    <row r="3" spans="1:9">
      <c r="A3" s="30" t="str">
        <f>'[4]ROO INPUT'!A5:C5</f>
        <v>TWELVE MONTHS ENDED DECEMBER 31, 2016</v>
      </c>
      <c r="B3" s="31"/>
      <c r="C3" s="31"/>
      <c r="D3" s="32"/>
      <c r="E3" s="33"/>
    </row>
    <row r="4" spans="1:9">
      <c r="B4" s="31"/>
      <c r="C4" s="31"/>
      <c r="D4" s="32"/>
      <c r="E4" s="33"/>
      <c r="I4" s="180"/>
    </row>
    <row r="5" spans="1:9">
      <c r="A5" s="3" t="s">
        <v>3</v>
      </c>
      <c r="I5" s="181"/>
    </row>
    <row r="6" spans="1:9">
      <c r="A6" s="3" t="s">
        <v>4</v>
      </c>
      <c r="I6" s="15"/>
    </row>
    <row r="7" spans="1:9">
      <c r="A7" s="3" t="s">
        <v>5</v>
      </c>
      <c r="I7" s="15"/>
    </row>
    <row r="8" spans="1:9">
      <c r="A8" s="3"/>
      <c r="I8" s="15"/>
    </row>
    <row r="10" spans="1:9">
      <c r="C10" s="4" t="s">
        <v>46</v>
      </c>
      <c r="G10" s="180" t="s">
        <v>47</v>
      </c>
    </row>
    <row r="11" spans="1:9">
      <c r="A11" t="s">
        <v>8</v>
      </c>
      <c r="C11" s="4" t="s">
        <v>48</v>
      </c>
      <c r="G11" s="181"/>
    </row>
    <row r="12" spans="1:9">
      <c r="C12" s="4" t="s">
        <v>10</v>
      </c>
    </row>
    <row r="13" spans="1:9">
      <c r="C13" s="4"/>
      <c r="G13" s="5" t="s">
        <v>11</v>
      </c>
    </row>
    <row r="14" spans="1:9" ht="15">
      <c r="A14" t="s">
        <v>12</v>
      </c>
      <c r="B14" t="s">
        <v>13</v>
      </c>
      <c r="C14" s="34">
        <v>263655</v>
      </c>
      <c r="G14" s="7" t="s">
        <v>49</v>
      </c>
    </row>
    <row r="15" spans="1:9" ht="15">
      <c r="A15" t="s">
        <v>15</v>
      </c>
      <c r="B15" t="s">
        <v>16</v>
      </c>
      <c r="C15" s="35">
        <f>ROUND(0.485*0.095,4)</f>
        <v>4.6100000000000002E-2</v>
      </c>
      <c r="F15" t="s">
        <v>17</v>
      </c>
      <c r="G15" s="9">
        <v>30851913.829553626</v>
      </c>
    </row>
    <row r="16" spans="1:9">
      <c r="A16" t="s">
        <v>18</v>
      </c>
      <c r="B16" t="s">
        <v>16</v>
      </c>
      <c r="C16" s="36">
        <f>C17-C15</f>
        <v>2.6800000000000004E-2</v>
      </c>
      <c r="F16" t="s">
        <v>19</v>
      </c>
      <c r="G16" s="11">
        <v>24597131.33327429</v>
      </c>
    </row>
    <row r="17" spans="1:7" ht="15">
      <c r="A17" t="s">
        <v>20</v>
      </c>
      <c r="B17" t="s">
        <v>16</v>
      </c>
      <c r="C17" s="35">
        <f>7.29%</f>
        <v>7.2900000000000006E-2</v>
      </c>
      <c r="F17" t="s">
        <v>21</v>
      </c>
      <c r="G17" s="11">
        <v>20997853.983418308</v>
      </c>
    </row>
    <row r="18" spans="1:7">
      <c r="F18" t="s">
        <v>22</v>
      </c>
      <c r="G18" s="12">
        <v>12961292.475496808</v>
      </c>
    </row>
    <row r="19" spans="1:7">
      <c r="A19" t="s">
        <v>23</v>
      </c>
      <c r="C19" s="13">
        <f>C14*C15</f>
        <v>12154.495500000001</v>
      </c>
      <c r="F19" t="s">
        <v>24</v>
      </c>
      <c r="G19" s="37">
        <v>7241220.1058081556</v>
      </c>
    </row>
    <row r="20" spans="1:7">
      <c r="A20" t="s">
        <v>25</v>
      </c>
      <c r="C20" s="13">
        <f>C14*C16</f>
        <v>7065.9540000000015</v>
      </c>
      <c r="F20" t="s">
        <v>26</v>
      </c>
      <c r="G20" s="37">
        <v>4706553.6207728311</v>
      </c>
    </row>
    <row r="21" spans="1:7">
      <c r="A21" s="15"/>
      <c r="B21" s="16" t="s">
        <v>27</v>
      </c>
      <c r="C21" s="17">
        <f>SUM(C19:C20)</f>
        <v>19220.449500000002</v>
      </c>
      <c r="F21" t="s">
        <v>28</v>
      </c>
      <c r="G21" s="37">
        <v>4136344.5123418896</v>
      </c>
    </row>
    <row r="22" spans="1:7">
      <c r="F22" t="s">
        <v>29</v>
      </c>
      <c r="G22" s="37">
        <v>4113714.0665525412</v>
      </c>
    </row>
    <row r="23" spans="1:7">
      <c r="A23" t="s">
        <v>30</v>
      </c>
      <c r="B23" s="18">
        <v>0.35</v>
      </c>
      <c r="C23" s="13">
        <f>C19/(1-$B23)</f>
        <v>18699.223846153847</v>
      </c>
      <c r="F23" t="s">
        <v>31</v>
      </c>
      <c r="G23" s="37">
        <v>4888933.1004169006</v>
      </c>
    </row>
    <row r="24" spans="1:7">
      <c r="A24" t="s">
        <v>32</v>
      </c>
      <c r="C24" s="13">
        <f>C23-C19</f>
        <v>6544.7283461538464</v>
      </c>
      <c r="F24" t="s">
        <v>33</v>
      </c>
      <c r="G24" s="37">
        <v>11713062.096173175</v>
      </c>
    </row>
    <row r="25" spans="1:7">
      <c r="F25" t="s">
        <v>34</v>
      </c>
      <c r="G25" s="37">
        <v>23111115.343282789</v>
      </c>
    </row>
    <row r="26" spans="1:7">
      <c r="A26" t="s">
        <v>30</v>
      </c>
      <c r="B26" s="18">
        <v>0.21</v>
      </c>
      <c r="C26" s="13">
        <f>C19/(1-$B26)</f>
        <v>15385.437341772153</v>
      </c>
      <c r="F26" s="19" t="s">
        <v>35</v>
      </c>
      <c r="G26" s="20">
        <v>31686611.698450606</v>
      </c>
    </row>
    <row r="27" spans="1:7">
      <c r="A27" t="s">
        <v>32</v>
      </c>
      <c r="C27" s="13">
        <f>C26-C19</f>
        <v>3230.9418417721517</v>
      </c>
      <c r="F27" t="s">
        <v>36</v>
      </c>
      <c r="G27" s="14">
        <f>SUM(G15:G26)</f>
        <v>181005746.16554192</v>
      </c>
    </row>
    <row r="28" spans="1:7">
      <c r="C28" s="13"/>
    </row>
    <row r="29" spans="1:7">
      <c r="A29" t="s">
        <v>37</v>
      </c>
      <c r="C29" s="13">
        <f>C27-C24</f>
        <v>-3313.7865043816946</v>
      </c>
      <c r="G29" s="21" t="s">
        <v>38</v>
      </c>
    </row>
    <row r="30" spans="1:7">
      <c r="B30" s="16" t="s">
        <v>39</v>
      </c>
      <c r="C30">
        <v>0.95353500000000002</v>
      </c>
      <c r="G30" s="5" t="s">
        <v>40</v>
      </c>
    </row>
    <row r="31" spans="1:7">
      <c r="A31" t="s">
        <v>41</v>
      </c>
      <c r="C31" s="164">
        <f>C29/C30</f>
        <v>-3475.2646776276638</v>
      </c>
      <c r="G31" s="4" t="s">
        <v>50</v>
      </c>
    </row>
    <row r="32" spans="1:7" ht="13.5" thickBot="1">
      <c r="C32" s="22"/>
      <c r="G32" s="4">
        <f>SUM(G15:G18)/G27</f>
        <v>0.49395222812414608</v>
      </c>
    </row>
    <row r="33" spans="1:3" ht="13.5" thickBot="1">
      <c r="A33" t="s">
        <v>43</v>
      </c>
      <c r="B33" s="4"/>
      <c r="C33" s="38">
        <f>C31*G32</f>
        <v>-1716.6147308353268</v>
      </c>
    </row>
    <row r="37" spans="1:3">
      <c r="A37" s="24" t="s">
        <v>44</v>
      </c>
      <c r="B37" s="25"/>
      <c r="C37" s="26">
        <f>'[4]ADJ DETAIL INPUT'!E88</f>
        <v>0.75329299999999999</v>
      </c>
    </row>
    <row r="38" spans="1:3">
      <c r="A38" s="27" t="s">
        <v>45</v>
      </c>
      <c r="B38" s="28"/>
      <c r="C38" s="29">
        <f>C33*C37</f>
        <v>-1293.1138604351358</v>
      </c>
    </row>
  </sheetData>
  <mergeCells count="2">
    <mergeCell ref="I4:I5"/>
    <mergeCell ref="G10:G11"/>
  </mergeCells>
  <pageMargins left="0.7" right="0.7" top="0.75" bottom="0.75" header="0.3" footer="0.3"/>
  <pageSetup scale="94" orientation="portrait" r:id="rId1"/>
  <headerFooter>
    <oddHeader>&amp;RExhibit No. JH-3
Dockets UE-170485/UG-170486
Page &amp;P of &amp;N</oddHeader>
    <oddFooter>&amp;LBench Request No.9 - Attachment 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view="pageBreakPreview" zoomScale="130" zoomScaleNormal="100" zoomScaleSheetLayoutView="130" workbookViewId="0">
      <pane xSplit="4" ySplit="11" topLeftCell="E60" activePane="bottomRight" state="frozen"/>
      <selection activeCell="H66" sqref="H66"/>
      <selection pane="topRight" activeCell="H66" sqref="H66"/>
      <selection pane="bottomLeft" activeCell="H66" sqref="H66"/>
      <selection pane="bottomRight" activeCell="L82" sqref="L82"/>
    </sheetView>
  </sheetViews>
  <sheetFormatPr defaultColWidth="10.7109375" defaultRowHeight="12"/>
  <cols>
    <col min="1" max="1" width="4.7109375" style="48" customWidth="1"/>
    <col min="2" max="3" width="1.7109375" style="49" customWidth="1"/>
    <col min="4" max="4" width="35.42578125" style="49" customWidth="1"/>
    <col min="5" max="5" width="7.140625" style="49" bestFit="1" customWidth="1"/>
    <col min="6" max="6" width="16.85546875" style="49" customWidth="1"/>
    <col min="7" max="7" width="2.85546875" style="49" customWidth="1"/>
    <col min="8" max="8" width="15.85546875" style="49" customWidth="1"/>
    <col min="9" max="16384" width="10.7109375" style="49"/>
  </cols>
  <sheetData>
    <row r="1" spans="1:8" ht="12.75">
      <c r="D1" s="183"/>
      <c r="E1" s="183"/>
    </row>
    <row r="2" spans="1:8" ht="12.75" customHeight="1">
      <c r="A2" s="53" t="s">
        <v>59</v>
      </c>
      <c r="D2" s="48"/>
      <c r="E2" s="48"/>
    </row>
    <row r="3" spans="1:8" ht="14.25" customHeight="1">
      <c r="A3" s="53" t="s">
        <v>184</v>
      </c>
      <c r="D3" s="48"/>
      <c r="E3" s="48"/>
    </row>
    <row r="4" spans="1:8" ht="14.25" customHeight="1">
      <c r="A4" s="55"/>
      <c r="D4" s="48"/>
      <c r="E4" s="48"/>
      <c r="F4" s="182" t="s">
        <v>185</v>
      </c>
      <c r="G4" s="182"/>
      <c r="H4" s="182"/>
    </row>
    <row r="5" spans="1:8" ht="12.75" customHeight="1">
      <c r="A5" s="53"/>
      <c r="D5" s="48"/>
      <c r="E5" s="48"/>
      <c r="F5" s="182"/>
      <c r="G5" s="182"/>
      <c r="H5" s="182"/>
    </row>
    <row r="6" spans="1:8" s="56" customFormat="1" ht="12" customHeight="1">
      <c r="A6" s="53" t="s">
        <v>60</v>
      </c>
      <c r="D6" s="57"/>
      <c r="E6" s="57"/>
      <c r="F6" s="56" t="s">
        <v>61</v>
      </c>
      <c r="H6" s="56" t="s">
        <v>61</v>
      </c>
    </row>
    <row r="7" spans="1:8" s="56" customFormat="1" ht="12" customHeight="1">
      <c r="A7" s="58"/>
      <c r="B7" s="59"/>
      <c r="C7" s="60"/>
      <c r="D7" s="60"/>
      <c r="E7" s="60"/>
      <c r="F7" s="116" t="s">
        <v>62</v>
      </c>
      <c r="H7" s="61" t="s">
        <v>62</v>
      </c>
    </row>
    <row r="8" spans="1:8" s="56" customFormat="1">
      <c r="A8" s="62" t="s">
        <v>63</v>
      </c>
      <c r="B8" s="63"/>
      <c r="C8" s="64"/>
      <c r="D8" s="64"/>
      <c r="E8" s="64"/>
      <c r="F8" s="122" t="s">
        <v>65</v>
      </c>
      <c r="H8" s="61" t="s">
        <v>65</v>
      </c>
    </row>
    <row r="9" spans="1:8" s="56" customFormat="1">
      <c r="A9" s="65" t="s">
        <v>66</v>
      </c>
      <c r="B9" s="66"/>
      <c r="C9" s="67"/>
      <c r="D9" s="67" t="s">
        <v>67</v>
      </c>
      <c r="E9" s="67"/>
      <c r="F9" s="128" t="s">
        <v>71</v>
      </c>
      <c r="H9" s="68" t="s">
        <v>69</v>
      </c>
    </row>
    <row r="10" spans="1:8" s="69" customFormat="1">
      <c r="B10" s="70" t="s">
        <v>72</v>
      </c>
      <c r="F10" s="131">
        <v>5.04</v>
      </c>
      <c r="H10" s="71">
        <v>5.05</v>
      </c>
    </row>
    <row r="11" spans="1:8" s="69" customFormat="1">
      <c r="B11" s="70" t="s">
        <v>73</v>
      </c>
      <c r="F11" s="104" t="s">
        <v>74</v>
      </c>
      <c r="H11" s="71" t="s">
        <v>75</v>
      </c>
    </row>
    <row r="12" spans="1:8" s="69" customFormat="1" ht="12.75" customHeight="1">
      <c r="B12" s="70"/>
    </row>
    <row r="13" spans="1:8">
      <c r="B13" s="49" t="s">
        <v>76</v>
      </c>
    </row>
    <row r="14" spans="1:8" s="73" customFormat="1">
      <c r="A14" s="72">
        <v>1</v>
      </c>
      <c r="B14" s="73" t="s">
        <v>77</v>
      </c>
      <c r="F14" s="75">
        <v>0</v>
      </c>
      <c r="H14" s="75">
        <v>0</v>
      </c>
    </row>
    <row r="15" spans="1:8" s="76" customFormat="1">
      <c r="A15" s="72">
        <v>2</v>
      </c>
      <c r="B15" s="76" t="s">
        <v>78</v>
      </c>
      <c r="F15" s="50">
        <v>0</v>
      </c>
      <c r="H15" s="50">
        <v>0</v>
      </c>
    </row>
    <row r="16" spans="1:8" s="76" customFormat="1">
      <c r="A16" s="72">
        <v>3</v>
      </c>
      <c r="B16" s="76" t="s">
        <v>79</v>
      </c>
      <c r="F16" s="79">
        <v>0</v>
      </c>
      <c r="H16" s="79">
        <v>0</v>
      </c>
    </row>
    <row r="17" spans="1:8" s="76" customFormat="1">
      <c r="A17" s="72">
        <v>4</v>
      </c>
      <c r="B17" s="76" t="s">
        <v>80</v>
      </c>
      <c r="F17" s="50">
        <f t="shared" ref="F17:H17" si="0">SUM(F14:F16)</f>
        <v>0</v>
      </c>
      <c r="H17" s="50">
        <f t="shared" si="0"/>
        <v>0</v>
      </c>
    </row>
    <row r="18" spans="1:8" s="76" customFormat="1">
      <c r="A18" s="72">
        <v>5</v>
      </c>
      <c r="B18" s="76" t="s">
        <v>81</v>
      </c>
      <c r="F18" s="79">
        <v>0</v>
      </c>
      <c r="H18" s="79">
        <v>0</v>
      </c>
    </row>
    <row r="19" spans="1:8" s="76" customFormat="1">
      <c r="A19" s="72">
        <v>6</v>
      </c>
      <c r="B19" s="76" t="s">
        <v>82</v>
      </c>
      <c r="F19" s="50">
        <f t="shared" ref="F19:H19" si="1">SUM(F17:F18)</f>
        <v>0</v>
      </c>
      <c r="H19" s="50">
        <f t="shared" si="1"/>
        <v>0</v>
      </c>
    </row>
    <row r="20" spans="1:8" s="76" customFormat="1">
      <c r="A20" s="72"/>
      <c r="F20" s="50"/>
      <c r="H20" s="50"/>
    </row>
    <row r="21" spans="1:8" s="76" customFormat="1">
      <c r="A21" s="72"/>
      <c r="B21" s="76" t="s">
        <v>83</v>
      </c>
      <c r="F21" s="50"/>
      <c r="H21" s="50"/>
    </row>
    <row r="22" spans="1:8" s="76" customFormat="1">
      <c r="A22" s="72"/>
      <c r="B22" s="76" t="s">
        <v>84</v>
      </c>
      <c r="F22" s="50"/>
      <c r="H22" s="50"/>
    </row>
    <row r="23" spans="1:8" s="76" customFormat="1">
      <c r="A23" s="72">
        <v>7</v>
      </c>
      <c r="C23" s="76" t="s">
        <v>85</v>
      </c>
      <c r="F23" s="50">
        <v>0</v>
      </c>
      <c r="H23" s="50">
        <v>0</v>
      </c>
    </row>
    <row r="24" spans="1:8" s="76" customFormat="1">
      <c r="A24" s="72">
        <v>8</v>
      </c>
      <c r="C24" s="76" t="s">
        <v>86</v>
      </c>
      <c r="F24" s="50">
        <v>0</v>
      </c>
      <c r="H24" s="50">
        <v>0</v>
      </c>
    </row>
    <row r="25" spans="1:8" s="76" customFormat="1">
      <c r="A25" s="72">
        <v>9</v>
      </c>
      <c r="C25" s="76" t="s">
        <v>87</v>
      </c>
      <c r="F25" s="50">
        <v>0</v>
      </c>
      <c r="H25" s="50">
        <v>0</v>
      </c>
    </row>
    <row r="26" spans="1:8" s="76" customFormat="1">
      <c r="A26" s="72">
        <v>10</v>
      </c>
      <c r="C26" s="77" t="s">
        <v>88</v>
      </c>
      <c r="D26" s="77"/>
      <c r="E26" s="77"/>
      <c r="F26" s="50"/>
      <c r="H26" s="50"/>
    </row>
    <row r="27" spans="1:8" s="76" customFormat="1">
      <c r="A27" s="72">
        <v>11</v>
      </c>
      <c r="C27" s="76" t="s">
        <v>89</v>
      </c>
      <c r="F27" s="79">
        <v>0</v>
      </c>
      <c r="H27" s="79">
        <v>0</v>
      </c>
    </row>
    <row r="28" spans="1:8" s="76" customFormat="1">
      <c r="A28" s="72">
        <v>12</v>
      </c>
      <c r="B28" s="76" t="s">
        <v>90</v>
      </c>
      <c r="F28" s="50">
        <f t="shared" ref="F28:H28" si="2">SUM(F23:F27)</f>
        <v>0</v>
      </c>
      <c r="H28" s="50">
        <f t="shared" si="2"/>
        <v>0</v>
      </c>
    </row>
    <row r="29" spans="1:8" s="76" customFormat="1">
      <c r="A29" s="72"/>
      <c r="F29" s="50"/>
      <c r="H29" s="50"/>
    </row>
    <row r="30" spans="1:8" s="76" customFormat="1">
      <c r="A30" s="72"/>
      <c r="B30" s="76" t="s">
        <v>91</v>
      </c>
      <c r="F30" s="50"/>
      <c r="H30" s="50"/>
    </row>
    <row r="31" spans="1:8" s="76" customFormat="1">
      <c r="A31" s="72">
        <v>13</v>
      </c>
      <c r="C31" s="76" t="s">
        <v>85</v>
      </c>
      <c r="F31" s="50">
        <v>0</v>
      </c>
      <c r="H31" s="50">
        <v>0</v>
      </c>
    </row>
    <row r="32" spans="1:8" s="76" customFormat="1">
      <c r="A32" s="72">
        <v>14</v>
      </c>
      <c r="C32" s="76" t="s">
        <v>92</v>
      </c>
      <c r="F32" s="50">
        <v>0</v>
      </c>
      <c r="H32" s="50">
        <v>0</v>
      </c>
    </row>
    <row r="33" spans="1:8" s="76" customFormat="1">
      <c r="A33" s="72">
        <v>15</v>
      </c>
      <c r="C33" s="76" t="s">
        <v>88</v>
      </c>
      <c r="F33" s="50">
        <v>0</v>
      </c>
      <c r="H33" s="50">
        <v>0</v>
      </c>
    </row>
    <row r="34" spans="1:8" s="76" customFormat="1">
      <c r="A34" s="72">
        <v>16</v>
      </c>
      <c r="C34" s="76" t="s">
        <v>89</v>
      </c>
      <c r="F34" s="79">
        <v>0</v>
      </c>
      <c r="H34" s="79">
        <v>0</v>
      </c>
    </row>
    <row r="35" spans="1:8" s="76" customFormat="1">
      <c r="A35" s="72">
        <v>17</v>
      </c>
      <c r="B35" s="76" t="s">
        <v>93</v>
      </c>
      <c r="F35" s="50">
        <f t="shared" ref="F35:H35" si="3">SUM(F31:F34)</f>
        <v>0</v>
      </c>
      <c r="H35" s="50">
        <f t="shared" si="3"/>
        <v>0</v>
      </c>
    </row>
    <row r="36" spans="1:8" s="76" customFormat="1">
      <c r="F36" s="50"/>
      <c r="H36" s="50"/>
    </row>
    <row r="37" spans="1:8" s="76" customFormat="1">
      <c r="A37" s="72">
        <v>18</v>
      </c>
      <c r="B37" s="76" t="s">
        <v>94</v>
      </c>
      <c r="F37" s="50">
        <v>0</v>
      </c>
      <c r="H37" s="50">
        <v>0</v>
      </c>
    </row>
    <row r="38" spans="1:8" s="76" customFormat="1">
      <c r="A38" s="72">
        <v>19</v>
      </c>
      <c r="B38" s="76" t="s">
        <v>95</v>
      </c>
      <c r="F38" s="50">
        <v>0</v>
      </c>
      <c r="H38" s="50">
        <v>0</v>
      </c>
    </row>
    <row r="39" spans="1:8" s="76" customFormat="1">
      <c r="A39" s="72">
        <v>20</v>
      </c>
      <c r="B39" s="76" t="s">
        <v>96</v>
      </c>
      <c r="F39" s="50">
        <v>0</v>
      </c>
      <c r="H39" s="50">
        <v>0</v>
      </c>
    </row>
    <row r="40" spans="1:8" s="76" customFormat="1">
      <c r="A40" s="72"/>
      <c r="F40" s="50"/>
      <c r="H40" s="50"/>
    </row>
    <row r="41" spans="1:8" s="76" customFormat="1">
      <c r="B41" s="76" t="s">
        <v>97</v>
      </c>
      <c r="F41" s="50"/>
      <c r="H41" s="50"/>
    </row>
    <row r="42" spans="1:8" s="76" customFormat="1">
      <c r="A42" s="72">
        <v>21</v>
      </c>
      <c r="C42" s="76" t="s">
        <v>85</v>
      </c>
      <c r="F42" s="50">
        <v>0</v>
      </c>
      <c r="H42" s="50">
        <v>0</v>
      </c>
    </row>
    <row r="43" spans="1:8" s="76" customFormat="1">
      <c r="A43" s="72">
        <v>22</v>
      </c>
      <c r="C43" s="76" t="s">
        <v>92</v>
      </c>
      <c r="F43" s="50">
        <v>0</v>
      </c>
      <c r="H43" s="50">
        <v>0</v>
      </c>
    </row>
    <row r="44" spans="1:8" s="76" customFormat="1">
      <c r="A44" s="80">
        <v>23</v>
      </c>
      <c r="C44" s="76" t="s">
        <v>89</v>
      </c>
      <c r="F44" s="79">
        <v>0</v>
      </c>
      <c r="H44" s="79">
        <v>0</v>
      </c>
    </row>
    <row r="45" spans="1:8" s="76" customFormat="1">
      <c r="A45" s="72">
        <v>24</v>
      </c>
      <c r="B45" s="76" t="s">
        <v>98</v>
      </c>
      <c r="F45" s="79">
        <f t="shared" ref="F45:H45" si="4">SUM(F42:F44)</f>
        <v>0</v>
      </c>
      <c r="H45" s="79">
        <f t="shared" si="4"/>
        <v>0</v>
      </c>
    </row>
    <row r="46" spans="1:8" s="76" customFormat="1" ht="18" customHeight="1">
      <c r="A46" s="72">
        <v>25</v>
      </c>
      <c r="B46" s="76" t="s">
        <v>99</v>
      </c>
      <c r="F46" s="79">
        <f t="shared" ref="F46:H46" si="5">F45+F39+F38+F37+F35+F28</f>
        <v>0</v>
      </c>
      <c r="H46" s="79">
        <f t="shared" si="5"/>
        <v>0</v>
      </c>
    </row>
    <row r="47" spans="1:8" s="76" customFormat="1">
      <c r="F47" s="50"/>
      <c r="H47" s="50"/>
    </row>
    <row r="48" spans="1:8" s="76" customFormat="1">
      <c r="A48" s="72">
        <v>26</v>
      </c>
      <c r="B48" s="76" t="s">
        <v>100</v>
      </c>
      <c r="F48" s="50">
        <f t="shared" ref="F48:H48" si="6">F19-F46</f>
        <v>0</v>
      </c>
      <c r="H48" s="50">
        <f t="shared" si="6"/>
        <v>0</v>
      </c>
    </row>
    <row r="49" spans="1:8" s="76" customFormat="1">
      <c r="A49" s="72"/>
      <c r="F49" s="50"/>
      <c r="H49" s="50"/>
    </row>
    <row r="50" spans="1:8" s="76" customFormat="1">
      <c r="A50" s="81"/>
      <c r="B50" s="76" t="s">
        <v>101</v>
      </c>
      <c r="F50" s="50"/>
      <c r="H50" s="50"/>
    </row>
    <row r="51" spans="1:8" s="76" customFormat="1">
      <c r="A51" s="80">
        <v>27</v>
      </c>
      <c r="B51" s="76" t="s">
        <v>102</v>
      </c>
      <c r="D51" s="82"/>
      <c r="E51" s="82"/>
      <c r="F51" s="50">
        <f>'2015 GRC Embedded Tax-Ele'!C38</f>
        <v>-4505.4780759257674</v>
      </c>
      <c r="H51" s="50">
        <v>0</v>
      </c>
    </row>
    <row r="52" spans="1:8" s="77" customFormat="1">
      <c r="A52" s="72">
        <v>28</v>
      </c>
      <c r="B52" s="77" t="s">
        <v>103</v>
      </c>
      <c r="F52" s="50"/>
      <c r="H52" s="50">
        <v>-4.4667839999999996</v>
      </c>
    </row>
    <row r="53" spans="1:8" s="76" customFormat="1">
      <c r="A53" s="72">
        <v>29</v>
      </c>
      <c r="B53" s="76" t="s">
        <v>104</v>
      </c>
      <c r="F53" s="50"/>
      <c r="H53" s="50">
        <v>-1471.5666666666666</v>
      </c>
    </row>
    <row r="54" spans="1:8" s="76" customFormat="1">
      <c r="A54" s="81">
        <v>30</v>
      </c>
      <c r="B54" s="76" t="s">
        <v>106</v>
      </c>
      <c r="F54" s="78">
        <v>0</v>
      </c>
      <c r="H54" s="78">
        <v>0</v>
      </c>
    </row>
    <row r="55" spans="1:8">
      <c r="F55" s="50"/>
      <c r="H55" s="50"/>
    </row>
    <row r="56" spans="1:8" s="73" customFormat="1" ht="12.75" thickBot="1">
      <c r="A56" s="84">
        <v>31</v>
      </c>
      <c r="B56" s="73" t="s">
        <v>107</v>
      </c>
      <c r="F56" s="85">
        <f t="shared" ref="F56:H56" si="7">F48-SUM(F51:F54)</f>
        <v>4505.4780759257674</v>
      </c>
      <c r="H56" s="85">
        <f t="shared" si="7"/>
        <v>1476.0334506666666</v>
      </c>
    </row>
    <row r="57" spans="1:8" ht="6" customHeight="1" thickTop="1">
      <c r="A57" s="84"/>
      <c r="F57" s="50"/>
      <c r="H57" s="50"/>
    </row>
    <row r="58" spans="1:8">
      <c r="A58" s="84"/>
      <c r="B58" s="49" t="s">
        <v>108</v>
      </c>
      <c r="F58" s="50"/>
      <c r="H58" s="50"/>
    </row>
    <row r="59" spans="1:8">
      <c r="B59" s="49" t="s">
        <v>109</v>
      </c>
      <c r="F59" s="50"/>
      <c r="H59" s="50"/>
    </row>
    <row r="60" spans="1:8" s="73" customFormat="1">
      <c r="A60" s="86">
        <v>32</v>
      </c>
      <c r="C60" s="73" t="s">
        <v>110</v>
      </c>
      <c r="F60" s="74">
        <v>0</v>
      </c>
      <c r="H60" s="74">
        <v>0</v>
      </c>
    </row>
    <row r="61" spans="1:8" s="76" customFormat="1">
      <c r="A61" s="84">
        <v>33</v>
      </c>
      <c r="C61" s="76" t="s">
        <v>111</v>
      </c>
      <c r="F61" s="50">
        <v>0</v>
      </c>
      <c r="H61" s="50">
        <v>0</v>
      </c>
    </row>
    <row r="62" spans="1:8" s="76" customFormat="1" ht="12.75" customHeight="1">
      <c r="A62" s="84">
        <v>34</v>
      </c>
      <c r="C62" s="76" t="s">
        <v>112</v>
      </c>
      <c r="F62" s="50">
        <v>0</v>
      </c>
      <c r="H62" s="50">
        <v>0</v>
      </c>
    </row>
    <row r="63" spans="1:8" s="76" customFormat="1" ht="12" customHeight="1">
      <c r="A63" s="84">
        <v>35</v>
      </c>
      <c r="C63" s="76" t="s">
        <v>91</v>
      </c>
      <c r="F63" s="50">
        <v>0</v>
      </c>
      <c r="H63" s="50">
        <v>0</v>
      </c>
    </row>
    <row r="64" spans="1:8" s="76" customFormat="1">
      <c r="A64" s="84">
        <v>36</v>
      </c>
      <c r="C64" s="76" t="s">
        <v>113</v>
      </c>
      <c r="F64" s="79">
        <v>0</v>
      </c>
      <c r="H64" s="79">
        <v>0</v>
      </c>
    </row>
    <row r="65" spans="1:8" s="76" customFormat="1">
      <c r="A65" s="84">
        <v>37</v>
      </c>
      <c r="B65" s="76" t="s">
        <v>114</v>
      </c>
      <c r="F65" s="50">
        <f t="shared" ref="F65:H65" si="8">SUM(F60:F64)</f>
        <v>0</v>
      </c>
      <c r="H65" s="50">
        <f t="shared" si="8"/>
        <v>0</v>
      </c>
    </row>
    <row r="66" spans="1:8" s="76" customFormat="1" ht="14.25" customHeight="1">
      <c r="A66" s="84"/>
      <c r="B66" s="76" t="s">
        <v>115</v>
      </c>
      <c r="F66" s="50"/>
      <c r="H66" s="50"/>
    </row>
    <row r="67" spans="1:8" s="76" customFormat="1">
      <c r="A67" s="84">
        <v>38</v>
      </c>
      <c r="C67" s="73" t="s">
        <v>110</v>
      </c>
      <c r="F67" s="51">
        <v>0</v>
      </c>
      <c r="H67" s="51">
        <v>0</v>
      </c>
    </row>
    <row r="68" spans="1:8" s="76" customFormat="1">
      <c r="A68" s="84">
        <v>39</v>
      </c>
      <c r="C68" s="76" t="s">
        <v>111</v>
      </c>
      <c r="F68" s="51">
        <v>0</v>
      </c>
      <c r="H68" s="51">
        <v>0</v>
      </c>
    </row>
    <row r="69" spans="1:8" s="76" customFormat="1">
      <c r="A69" s="84">
        <v>40</v>
      </c>
      <c r="C69" s="76" t="s">
        <v>112</v>
      </c>
      <c r="F69" s="51">
        <v>0</v>
      </c>
      <c r="H69" s="51">
        <v>0</v>
      </c>
    </row>
    <row r="70" spans="1:8" s="76" customFormat="1">
      <c r="A70" s="84">
        <v>41</v>
      </c>
      <c r="C70" s="76" t="s">
        <v>91</v>
      </c>
      <c r="F70" s="51">
        <v>0</v>
      </c>
      <c r="H70" s="51">
        <v>0</v>
      </c>
    </row>
    <row r="71" spans="1:8" s="76" customFormat="1">
      <c r="A71" s="84">
        <v>42</v>
      </c>
      <c r="C71" s="76" t="s">
        <v>113</v>
      </c>
      <c r="F71" s="51">
        <v>0</v>
      </c>
      <c r="H71" s="51">
        <v>0</v>
      </c>
    </row>
    <row r="72" spans="1:8" s="76" customFormat="1">
      <c r="A72" s="84">
        <v>43</v>
      </c>
      <c r="B72" s="76" t="s">
        <v>116</v>
      </c>
      <c r="F72" s="87">
        <f t="shared" ref="F72:H72" si="9">SUM(F67:F71)</f>
        <v>0</v>
      </c>
      <c r="H72" s="87">
        <f t="shared" si="9"/>
        <v>0</v>
      </c>
    </row>
    <row r="73" spans="1:8" s="76" customFormat="1">
      <c r="A73" s="84">
        <v>44</v>
      </c>
      <c r="B73" s="76" t="s">
        <v>117</v>
      </c>
      <c r="F73" s="87">
        <f t="shared" ref="F73:H73" si="10">F65+F72</f>
        <v>0</v>
      </c>
      <c r="H73" s="87">
        <f t="shared" si="10"/>
        <v>0</v>
      </c>
    </row>
    <row r="74" spans="1:8" s="76" customFormat="1" ht="12.75" customHeight="1">
      <c r="A74" s="84"/>
      <c r="F74" s="54"/>
      <c r="H74" s="54"/>
    </row>
    <row r="75" spans="1:8" s="76" customFormat="1">
      <c r="A75" s="81">
        <v>45</v>
      </c>
      <c r="B75" s="76" t="s">
        <v>118</v>
      </c>
      <c r="F75" s="79"/>
      <c r="H75" s="79">
        <v>736</v>
      </c>
    </row>
    <row r="76" spans="1:8" s="76" customFormat="1">
      <c r="A76" s="81">
        <v>46</v>
      </c>
      <c r="C76" s="76" t="s">
        <v>119</v>
      </c>
      <c r="F76" s="54">
        <f t="shared" ref="F76:H76" si="11">SUM(F73:F75)</f>
        <v>0</v>
      </c>
      <c r="H76" s="54">
        <f t="shared" si="11"/>
        <v>736</v>
      </c>
    </row>
    <row r="77" spans="1:8" s="76" customFormat="1">
      <c r="A77" s="84">
        <v>47</v>
      </c>
      <c r="B77" s="76" t="s">
        <v>120</v>
      </c>
      <c r="F77" s="50">
        <v>0</v>
      </c>
      <c r="H77" s="50">
        <v>0</v>
      </c>
    </row>
    <row r="78" spans="1:8" s="76" customFormat="1">
      <c r="A78" s="84">
        <v>48</v>
      </c>
      <c r="B78" s="76" t="s">
        <v>121</v>
      </c>
      <c r="F78" s="79">
        <v>0</v>
      </c>
      <c r="H78" s="79">
        <v>0</v>
      </c>
    </row>
    <row r="79" spans="1:8" s="76" customFormat="1">
      <c r="A79" s="81"/>
      <c r="F79" s="50"/>
      <c r="H79" s="50"/>
    </row>
    <row r="80" spans="1:8" s="73" customFormat="1" ht="13.5" customHeight="1" thickBot="1">
      <c r="A80" s="72">
        <v>49</v>
      </c>
      <c r="B80" s="73" t="s">
        <v>122</v>
      </c>
      <c r="F80" s="85">
        <f t="shared" ref="F80:H80" si="12">SUM(F76:F78)</f>
        <v>0</v>
      </c>
      <c r="H80" s="85">
        <f t="shared" si="12"/>
        <v>736</v>
      </c>
    </row>
    <row r="81" spans="1:9" ht="18" customHeight="1" thickTop="1" thickBot="1">
      <c r="A81" s="72">
        <v>50</v>
      </c>
      <c r="B81" s="49" t="s">
        <v>123</v>
      </c>
      <c r="F81" s="50"/>
      <c r="H81" s="50"/>
      <c r="I81" s="64" t="s">
        <v>36</v>
      </c>
    </row>
    <row r="82" spans="1:9" ht="12.75" thickBot="1">
      <c r="A82" s="48">
        <v>51</v>
      </c>
      <c r="B82" s="49" t="s">
        <v>124</v>
      </c>
      <c r="F82" s="174">
        <f>F91</f>
        <v>-5982.3775282001889</v>
      </c>
      <c r="G82" s="177"/>
      <c r="H82" s="176">
        <f>H91</f>
        <v>-1886.5838349100966</v>
      </c>
      <c r="I82" s="173">
        <f>SUM(F82:H82)</f>
        <v>-7868.9613631102857</v>
      </c>
    </row>
    <row r="83" spans="1:9" ht="34.15" customHeight="1">
      <c r="B83" s="90"/>
      <c r="D83" s="166" t="s">
        <v>130</v>
      </c>
      <c r="E83" s="167">
        <v>7.4999999999999997E-2</v>
      </c>
      <c r="F83" s="169" t="s">
        <v>181</v>
      </c>
      <c r="H83" s="178" t="s">
        <v>182</v>
      </c>
    </row>
    <row r="84" spans="1:9" ht="24.6" customHeight="1">
      <c r="D84" s="166" t="s">
        <v>44</v>
      </c>
      <c r="E84" s="168">
        <v>0.75312500000000004</v>
      </c>
      <c r="F84" s="91"/>
      <c r="H84" s="91"/>
    </row>
    <row r="85" spans="1:9">
      <c r="F85" s="50"/>
      <c r="H85" s="50"/>
    </row>
    <row r="86" spans="1:9">
      <c r="F86" s="50"/>
      <c r="H86" s="50"/>
    </row>
    <row r="87" spans="1:9">
      <c r="D87" s="49" t="s">
        <v>125</v>
      </c>
      <c r="F87" s="50"/>
      <c r="H87" s="50"/>
    </row>
    <row r="88" spans="1:9">
      <c r="F88" s="50"/>
      <c r="H88" s="50"/>
    </row>
    <row r="89" spans="1:9">
      <c r="D89" s="49" t="s">
        <v>126</v>
      </c>
      <c r="F89" s="88">
        <f>F80*$E$83-F56</f>
        <v>-4505.4780759257674</v>
      </c>
      <c r="H89" s="88">
        <f>H80*$E$83-H56</f>
        <v>-1420.8334506666665</v>
      </c>
    </row>
    <row r="90" spans="1:9" s="92" customFormat="1">
      <c r="A90" s="93"/>
      <c r="D90" s="92" t="s">
        <v>127</v>
      </c>
      <c r="F90" s="79"/>
      <c r="H90" s="79"/>
    </row>
    <row r="91" spans="1:9" s="95" customFormat="1" ht="11.25" customHeight="1">
      <c r="A91" s="94"/>
      <c r="D91" s="92" t="s">
        <v>128</v>
      </c>
      <c r="E91" s="92"/>
      <c r="F91" s="79">
        <f>F89/$E$84</f>
        <v>-5982.3775282001889</v>
      </c>
      <c r="H91" s="79">
        <f>H89/$E$84</f>
        <v>-1886.5838349100966</v>
      </c>
    </row>
    <row r="92" spans="1:9" s="95" customFormat="1">
      <c r="A92" s="94"/>
      <c r="D92" s="95" t="s">
        <v>129</v>
      </c>
      <c r="F92" s="96"/>
      <c r="H92" s="96"/>
    </row>
    <row r="93" spans="1:9" s="52" customFormat="1">
      <c r="A93" s="97"/>
    </row>
    <row r="94" spans="1:9" s="52" customFormat="1">
      <c r="A94" s="97"/>
    </row>
    <row r="95" spans="1:9" s="52" customFormat="1">
      <c r="A95" s="97"/>
    </row>
    <row r="96" spans="1:9" s="95" customFormat="1">
      <c r="A96" s="94"/>
    </row>
    <row r="97" spans="1:1" s="95" customFormat="1">
      <c r="A97" s="94"/>
    </row>
  </sheetData>
  <mergeCells count="2">
    <mergeCell ref="F4:H5"/>
    <mergeCell ref="D1:E1"/>
  </mergeCells>
  <pageMargins left="0.7" right="0.51" top="1" bottom="0.5" header="0.5" footer="0.5"/>
  <pageSetup scale="65" firstPageNumber="4" fitToWidth="7" orientation="portrait" r:id="rId1"/>
  <headerFooter scaleWithDoc="0" alignWithMargins="0">
    <oddHeader xml:space="preserve">&amp;RREVISED Exh. EMA-11
</oddHeader>
    <oddFooter>&amp;LBench Request 9 - Attachment 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view="pageBreakPreview" zoomScale="115" zoomScaleNormal="100" zoomScaleSheetLayoutView="115" workbookViewId="0">
      <pane xSplit="5" ySplit="12" topLeftCell="F58" activePane="bottomRight" state="frozen"/>
      <selection activeCell="G65" sqref="G65"/>
      <selection pane="topRight" activeCell="G65" sqref="G65"/>
      <selection pane="bottomLeft" activeCell="G65" sqref="G65"/>
      <selection pane="bottomRight" activeCell="H85" activeCellId="1" sqref="F85 H85"/>
    </sheetView>
  </sheetViews>
  <sheetFormatPr defaultColWidth="10.7109375" defaultRowHeight="12"/>
  <cols>
    <col min="1" max="1" width="5.7109375" style="98" customWidth="1"/>
    <col min="2" max="3" width="1.7109375" style="99" customWidth="1"/>
    <col min="4" max="4" width="31.85546875" style="99" customWidth="1"/>
    <col min="5" max="5" width="8.7109375" style="99" bestFit="1" customWidth="1"/>
    <col min="6" max="6" width="20.28515625" style="99" customWidth="1"/>
    <col min="7" max="7" width="16.140625" style="99" customWidth="1"/>
    <col min="8" max="8" width="18.7109375" style="99" customWidth="1"/>
    <col min="9" max="16384" width="10.7109375" style="99"/>
  </cols>
  <sheetData>
    <row r="1" spans="1:10" ht="12.75" customHeight="1"/>
    <row r="2" spans="1:10" ht="12.75" customHeight="1">
      <c r="A2" s="103" t="str">
        <f>'[5]ROO INPUT'!A3:C3</f>
        <v>AVISTA UTILITIES</v>
      </c>
    </row>
    <row r="3" spans="1:10" ht="15" customHeight="1">
      <c r="A3" s="103" t="s">
        <v>131</v>
      </c>
    </row>
    <row r="4" spans="1:10" ht="12.75" customHeight="1">
      <c r="A4" s="103" t="str">
        <f>'[5]ROO INPUT'!A6:C6</f>
        <v xml:space="preserve">(000'S OF DOLLARS)   </v>
      </c>
    </row>
    <row r="5" spans="1:10" s="106" customFormat="1" ht="14.25" customHeight="1">
      <c r="A5" s="103"/>
      <c r="B5" s="98"/>
      <c r="C5" s="98"/>
      <c r="D5" s="98"/>
      <c r="E5" s="98"/>
      <c r="F5" s="105" t="s">
        <v>183</v>
      </c>
      <c r="G5" s="105"/>
      <c r="H5" s="105"/>
    </row>
    <row r="6" spans="1:10" ht="12" customHeight="1">
      <c r="F6" s="107"/>
      <c r="G6" s="107"/>
      <c r="H6" s="107"/>
      <c r="I6" s="108"/>
      <c r="J6" s="108"/>
    </row>
    <row r="7" spans="1:10" s="110" customFormat="1" ht="6" customHeight="1">
      <c r="A7" s="109"/>
      <c r="D7" s="111"/>
      <c r="E7" s="111"/>
      <c r="I7" s="107"/>
      <c r="J7" s="107"/>
    </row>
    <row r="8" spans="1:10" s="110" customFormat="1" ht="12" customHeight="1">
      <c r="A8" s="112"/>
      <c r="B8" s="113"/>
      <c r="C8" s="114"/>
      <c r="D8" s="115"/>
      <c r="E8" s="115"/>
      <c r="F8" s="117" t="s">
        <v>62</v>
      </c>
      <c r="G8" s="116" t="s">
        <v>62</v>
      </c>
      <c r="H8" s="116" t="s">
        <v>62</v>
      </c>
      <c r="I8" s="107"/>
      <c r="J8" s="107"/>
    </row>
    <row r="9" spans="1:10" s="110" customFormat="1">
      <c r="A9" s="118" t="s">
        <v>63</v>
      </c>
      <c r="B9" s="119"/>
      <c r="C9" s="120"/>
      <c r="D9" s="121"/>
      <c r="E9" s="121"/>
      <c r="F9" s="123" t="s">
        <v>64</v>
      </c>
      <c r="G9" s="122" t="s">
        <v>65</v>
      </c>
      <c r="H9" s="122" t="s">
        <v>65</v>
      </c>
      <c r="I9" s="107"/>
      <c r="J9" s="107"/>
    </row>
    <row r="10" spans="1:10" s="110" customFormat="1">
      <c r="A10" s="124" t="s">
        <v>66</v>
      </c>
      <c r="B10" s="125"/>
      <c r="C10" s="126"/>
      <c r="D10" s="127" t="s">
        <v>67</v>
      </c>
      <c r="E10" s="127"/>
      <c r="F10" s="129" t="s">
        <v>70</v>
      </c>
      <c r="G10" s="128" t="s">
        <v>71</v>
      </c>
      <c r="H10" s="128" t="s">
        <v>69</v>
      </c>
      <c r="I10" s="107"/>
      <c r="J10" s="107"/>
    </row>
    <row r="11" spans="1:10" s="110" customFormat="1">
      <c r="A11" s="109"/>
      <c r="B11" s="130" t="s">
        <v>132</v>
      </c>
      <c r="F11" s="131">
        <v>5.03</v>
      </c>
      <c r="G11" s="131">
        <v>5.04</v>
      </c>
      <c r="H11" s="131">
        <v>5.05</v>
      </c>
      <c r="I11" s="132"/>
      <c r="J11" s="132"/>
    </row>
    <row r="12" spans="1:10" s="110" customFormat="1">
      <c r="A12" s="109"/>
      <c r="B12" s="130" t="s">
        <v>73</v>
      </c>
      <c r="F12" s="104" t="s">
        <v>133</v>
      </c>
      <c r="G12" s="104" t="s">
        <v>134</v>
      </c>
      <c r="H12" s="104" t="s">
        <v>135</v>
      </c>
      <c r="I12" s="132"/>
      <c r="J12" s="132"/>
    </row>
    <row r="13" spans="1:10" ht="6" customHeight="1">
      <c r="F13" s="132"/>
      <c r="G13" s="132"/>
      <c r="H13" s="132"/>
      <c r="I13" s="132"/>
      <c r="J13" s="132"/>
    </row>
    <row r="14" spans="1:10">
      <c r="B14" s="99" t="s">
        <v>136</v>
      </c>
      <c r="F14" s="108"/>
      <c r="G14" s="108"/>
      <c r="H14" s="108"/>
      <c r="I14" s="108"/>
      <c r="J14" s="108"/>
    </row>
    <row r="15" spans="1:10" s="133" customFormat="1">
      <c r="A15" s="98">
        <v>1</v>
      </c>
      <c r="B15" s="133" t="s">
        <v>137</v>
      </c>
      <c r="F15" s="134">
        <v>0</v>
      </c>
      <c r="G15" s="134">
        <v>0</v>
      </c>
      <c r="H15" s="134">
        <v>0</v>
      </c>
      <c r="I15" s="135"/>
      <c r="J15" s="135"/>
    </row>
    <row r="16" spans="1:10">
      <c r="A16" s="98">
        <v>2</v>
      </c>
      <c r="B16" s="136" t="s">
        <v>138</v>
      </c>
      <c r="D16" s="136"/>
      <c r="E16" s="136"/>
      <c r="F16" s="137">
        <v>0</v>
      </c>
      <c r="G16" s="137">
        <v>0</v>
      </c>
      <c r="H16" s="137">
        <v>0</v>
      </c>
      <c r="I16" s="139"/>
      <c r="J16" s="139"/>
    </row>
    <row r="17" spans="1:10">
      <c r="A17" s="98">
        <v>3</v>
      </c>
      <c r="B17" s="136" t="s">
        <v>139</v>
      </c>
      <c r="D17" s="136"/>
      <c r="E17" s="136"/>
      <c r="F17" s="140">
        <v>0</v>
      </c>
      <c r="G17" s="140">
        <v>0</v>
      </c>
      <c r="H17" s="140">
        <v>0</v>
      </c>
      <c r="I17" s="139"/>
      <c r="J17" s="139"/>
    </row>
    <row r="18" spans="1:10">
      <c r="A18" s="98">
        <v>4</v>
      </c>
      <c r="B18" s="99" t="s">
        <v>140</v>
      </c>
      <c r="C18" s="136"/>
      <c r="D18" s="136"/>
      <c r="E18" s="136"/>
      <c r="F18" s="141">
        <f t="shared" ref="F18:H18" si="0">SUM(F15:F17)</f>
        <v>0</v>
      </c>
      <c r="G18" s="141">
        <f t="shared" si="0"/>
        <v>0</v>
      </c>
      <c r="H18" s="141">
        <f t="shared" si="0"/>
        <v>0</v>
      </c>
      <c r="I18" s="139"/>
      <c r="J18" s="139"/>
    </row>
    <row r="19" spans="1:10">
      <c r="C19" s="136"/>
      <c r="D19" s="136"/>
      <c r="E19" s="136"/>
      <c r="F19" s="137"/>
      <c r="G19" s="137"/>
      <c r="H19" s="137"/>
      <c r="I19" s="139"/>
      <c r="J19" s="139"/>
    </row>
    <row r="20" spans="1:10">
      <c r="B20" s="99" t="s">
        <v>141</v>
      </c>
      <c r="C20" s="136"/>
      <c r="D20" s="136"/>
      <c r="E20" s="136"/>
      <c r="F20" s="137"/>
      <c r="G20" s="137"/>
      <c r="H20" s="137"/>
      <c r="I20" s="139"/>
      <c r="J20" s="139"/>
    </row>
    <row r="21" spans="1:10">
      <c r="B21" s="136" t="s">
        <v>142</v>
      </c>
      <c r="D21" s="136"/>
      <c r="E21" s="136"/>
      <c r="F21" s="137"/>
      <c r="G21" s="137"/>
      <c r="H21" s="137"/>
      <c r="I21" s="139"/>
      <c r="J21" s="139"/>
    </row>
    <row r="22" spans="1:10">
      <c r="A22" s="98">
        <v>5</v>
      </c>
      <c r="C22" s="136" t="s">
        <v>143</v>
      </c>
      <c r="D22" s="136"/>
      <c r="E22" s="136"/>
      <c r="F22" s="137">
        <v>0</v>
      </c>
      <c r="G22" s="137">
        <v>0</v>
      </c>
      <c r="H22" s="137">
        <v>0</v>
      </c>
      <c r="I22" s="139"/>
      <c r="J22" s="139"/>
    </row>
    <row r="23" spans="1:10">
      <c r="A23" s="98">
        <v>6</v>
      </c>
      <c r="C23" s="136" t="s">
        <v>144</v>
      </c>
      <c r="D23" s="136"/>
      <c r="E23" s="136"/>
      <c r="F23" s="137">
        <v>0</v>
      </c>
      <c r="G23" s="137">
        <v>0</v>
      </c>
      <c r="H23" s="137">
        <v>0</v>
      </c>
      <c r="I23" s="139"/>
      <c r="J23" s="139"/>
    </row>
    <row r="24" spans="1:10">
      <c r="A24" s="98">
        <v>7</v>
      </c>
      <c r="C24" s="136" t="s">
        <v>145</v>
      </c>
      <c r="D24" s="136"/>
      <c r="E24" s="136"/>
      <c r="F24" s="140">
        <v>0</v>
      </c>
      <c r="G24" s="140">
        <v>0</v>
      </c>
      <c r="H24" s="140">
        <v>0</v>
      </c>
      <c r="I24" s="139"/>
      <c r="J24" s="139"/>
    </row>
    <row r="25" spans="1:10">
      <c r="A25" s="98">
        <v>8</v>
      </c>
      <c r="B25" s="136" t="s">
        <v>146</v>
      </c>
      <c r="C25" s="136"/>
      <c r="F25" s="141">
        <f t="shared" ref="F25:H25" si="1">SUM(F22:F24)</f>
        <v>0</v>
      </c>
      <c r="G25" s="141">
        <f t="shared" si="1"/>
        <v>0</v>
      </c>
      <c r="H25" s="141">
        <f t="shared" si="1"/>
        <v>0</v>
      </c>
      <c r="I25" s="139"/>
      <c r="J25" s="139"/>
    </row>
    <row r="26" spans="1:10">
      <c r="B26" s="136"/>
      <c r="C26" s="136"/>
      <c r="F26" s="141"/>
      <c r="G26" s="141"/>
      <c r="H26" s="141"/>
      <c r="I26" s="139"/>
      <c r="J26" s="139"/>
    </row>
    <row r="27" spans="1:10">
      <c r="B27" s="136" t="s">
        <v>147</v>
      </c>
      <c r="D27" s="136"/>
      <c r="E27" s="136"/>
      <c r="F27" s="137"/>
      <c r="G27" s="137"/>
      <c r="H27" s="137"/>
      <c r="I27" s="139"/>
      <c r="J27" s="139"/>
    </row>
    <row r="28" spans="1:10">
      <c r="A28" s="98">
        <v>9</v>
      </c>
      <c r="C28" s="136" t="s">
        <v>148</v>
      </c>
      <c r="D28" s="136"/>
      <c r="E28" s="136"/>
      <c r="F28" s="137">
        <v>0</v>
      </c>
      <c r="G28" s="137">
        <v>0</v>
      </c>
      <c r="H28" s="137">
        <v>0</v>
      </c>
      <c r="I28" s="139"/>
      <c r="J28" s="139"/>
    </row>
    <row r="29" spans="1:10">
      <c r="A29" s="98">
        <v>10</v>
      </c>
      <c r="C29" s="136" t="s">
        <v>92</v>
      </c>
      <c r="D29" s="136"/>
      <c r="E29" s="136"/>
      <c r="F29" s="137">
        <v>0</v>
      </c>
      <c r="G29" s="137">
        <v>0</v>
      </c>
      <c r="H29" s="137">
        <v>0</v>
      </c>
      <c r="I29" s="139"/>
      <c r="J29" s="139"/>
    </row>
    <row r="30" spans="1:10">
      <c r="A30" s="98">
        <v>11</v>
      </c>
      <c r="C30" s="136" t="s">
        <v>68</v>
      </c>
      <c r="D30" s="136"/>
      <c r="E30" s="136"/>
      <c r="F30" s="140">
        <v>0</v>
      </c>
      <c r="G30" s="140">
        <v>0</v>
      </c>
      <c r="H30" s="140">
        <v>0</v>
      </c>
      <c r="I30" s="139"/>
      <c r="J30" s="139"/>
    </row>
    <row r="31" spans="1:10">
      <c r="A31" s="98">
        <v>12</v>
      </c>
      <c r="B31" s="136" t="s">
        <v>149</v>
      </c>
      <c r="C31" s="136"/>
      <c r="F31" s="141">
        <f t="shared" ref="F31:H31" si="2">SUM(F28:F30)</f>
        <v>0</v>
      </c>
      <c r="G31" s="141">
        <f t="shared" si="2"/>
        <v>0</v>
      </c>
      <c r="H31" s="141">
        <f t="shared" si="2"/>
        <v>0</v>
      </c>
      <c r="I31" s="139"/>
      <c r="J31" s="139"/>
    </row>
    <row r="32" spans="1:10">
      <c r="B32" s="136"/>
      <c r="C32" s="136"/>
      <c r="F32" s="141"/>
      <c r="G32" s="141"/>
      <c r="H32" s="141"/>
      <c r="I32" s="139"/>
      <c r="J32" s="139"/>
    </row>
    <row r="33" spans="1:10">
      <c r="B33" s="136" t="s">
        <v>150</v>
      </c>
      <c r="D33" s="136"/>
      <c r="E33" s="136"/>
      <c r="F33" s="137"/>
      <c r="G33" s="137"/>
      <c r="H33" s="137"/>
      <c r="I33" s="139"/>
      <c r="J33" s="139"/>
    </row>
    <row r="34" spans="1:10">
      <c r="A34" s="98">
        <v>13</v>
      </c>
      <c r="C34" s="136" t="s">
        <v>148</v>
      </c>
      <c r="D34" s="136"/>
      <c r="E34" s="136"/>
      <c r="F34" s="137">
        <v>0</v>
      </c>
      <c r="G34" s="137">
        <v>0</v>
      </c>
      <c r="H34" s="137">
        <v>0</v>
      </c>
      <c r="I34" s="139"/>
      <c r="J34" s="139"/>
    </row>
    <row r="35" spans="1:10" ht="15.75" customHeight="1">
      <c r="A35" s="98">
        <v>14</v>
      </c>
      <c r="C35" s="136" t="s">
        <v>92</v>
      </c>
      <c r="D35" s="136"/>
      <c r="E35" s="136"/>
      <c r="F35" s="137">
        <v>0</v>
      </c>
      <c r="G35" s="137">
        <v>0</v>
      </c>
      <c r="H35" s="137">
        <v>0</v>
      </c>
      <c r="I35" s="139"/>
      <c r="J35" s="139"/>
    </row>
    <row r="36" spans="1:10">
      <c r="A36" s="98">
        <v>15</v>
      </c>
      <c r="C36" s="136" t="s">
        <v>68</v>
      </c>
      <c r="D36" s="136"/>
      <c r="E36" s="136"/>
      <c r="F36" s="140">
        <v>0</v>
      </c>
      <c r="G36" s="140">
        <v>0</v>
      </c>
      <c r="H36" s="140">
        <v>0</v>
      </c>
      <c r="I36" s="139"/>
      <c r="J36" s="139"/>
    </row>
    <row r="37" spans="1:10" ht="12.95" customHeight="1">
      <c r="A37" s="98">
        <v>16</v>
      </c>
      <c r="B37" s="136" t="s">
        <v>151</v>
      </c>
      <c r="C37" s="136"/>
      <c r="F37" s="141">
        <f t="shared" ref="F37:H37" si="3">SUM(F34:F36)</f>
        <v>0</v>
      </c>
      <c r="G37" s="141">
        <f t="shared" si="3"/>
        <v>0</v>
      </c>
      <c r="H37" s="141">
        <f t="shared" si="3"/>
        <v>0</v>
      </c>
      <c r="I37" s="139"/>
      <c r="J37" s="139"/>
    </row>
    <row r="38" spans="1:10" ht="12.95" customHeight="1">
      <c r="C38" s="136"/>
      <c r="D38" s="136"/>
      <c r="E38" s="136"/>
      <c r="F38" s="141"/>
      <c r="G38" s="141"/>
      <c r="H38" s="141"/>
      <c r="I38" s="139"/>
      <c r="J38" s="139"/>
    </row>
    <row r="39" spans="1:10" ht="12.95" customHeight="1">
      <c r="A39" s="98">
        <v>17</v>
      </c>
      <c r="B39" s="99" t="s">
        <v>152</v>
      </c>
      <c r="C39" s="136"/>
      <c r="D39" s="136"/>
      <c r="E39" s="136"/>
      <c r="F39" s="138">
        <v>0</v>
      </c>
      <c r="G39" s="138">
        <v>0</v>
      </c>
      <c r="H39" s="138">
        <v>0</v>
      </c>
      <c r="I39" s="139"/>
      <c r="J39" s="139"/>
    </row>
    <row r="40" spans="1:10">
      <c r="A40" s="98">
        <v>18</v>
      </c>
      <c r="B40" s="99" t="s">
        <v>153</v>
      </c>
      <c r="C40" s="136"/>
      <c r="D40" s="136"/>
      <c r="E40" s="136"/>
      <c r="F40" s="137">
        <v>0</v>
      </c>
      <c r="G40" s="137">
        <v>0</v>
      </c>
      <c r="H40" s="137">
        <v>0</v>
      </c>
      <c r="I40" s="139"/>
      <c r="J40" s="139"/>
    </row>
    <row r="41" spans="1:10">
      <c r="A41" s="98">
        <v>19</v>
      </c>
      <c r="B41" s="99" t="s">
        <v>154</v>
      </c>
      <c r="C41" s="136"/>
      <c r="D41" s="136"/>
      <c r="E41" s="136"/>
      <c r="F41" s="137">
        <v>0</v>
      </c>
      <c r="G41" s="137">
        <v>0</v>
      </c>
      <c r="H41" s="137">
        <v>0</v>
      </c>
      <c r="I41" s="139"/>
      <c r="J41" s="139"/>
    </row>
    <row r="42" spans="1:10">
      <c r="C42" s="136"/>
      <c r="D42" s="136"/>
      <c r="E42" s="136"/>
      <c r="F42" s="137"/>
      <c r="G42" s="137"/>
      <c r="H42" s="137"/>
      <c r="I42" s="139"/>
      <c r="J42" s="139"/>
    </row>
    <row r="43" spans="1:10">
      <c r="B43" s="99" t="s">
        <v>155</v>
      </c>
      <c r="C43" s="136"/>
      <c r="D43" s="136"/>
      <c r="E43" s="136"/>
      <c r="F43" s="137"/>
      <c r="G43" s="137"/>
      <c r="H43" s="137"/>
      <c r="I43" s="139"/>
      <c r="J43" s="139"/>
    </row>
    <row r="44" spans="1:10">
      <c r="A44" s="98">
        <v>20</v>
      </c>
      <c r="C44" s="136" t="s">
        <v>148</v>
      </c>
      <c r="D44" s="136"/>
      <c r="E44" s="136"/>
      <c r="F44" s="137">
        <v>0</v>
      </c>
      <c r="G44" s="137">
        <v>0</v>
      </c>
      <c r="H44" s="137">
        <v>0</v>
      </c>
      <c r="I44" s="139"/>
      <c r="J44" s="139"/>
    </row>
    <row r="45" spans="1:10">
      <c r="A45" s="98">
        <v>21</v>
      </c>
      <c r="C45" s="136" t="s">
        <v>92</v>
      </c>
      <c r="D45" s="136"/>
      <c r="E45" s="136"/>
      <c r="F45" s="137">
        <v>0</v>
      </c>
      <c r="G45" s="137">
        <v>0</v>
      </c>
      <c r="H45" s="137">
        <v>0</v>
      </c>
      <c r="I45" s="139"/>
      <c r="J45" s="139"/>
    </row>
    <row r="46" spans="1:10">
      <c r="A46" s="98">
        <v>22</v>
      </c>
      <c r="C46" s="143" t="s">
        <v>156</v>
      </c>
      <c r="D46" s="136"/>
      <c r="E46" s="136"/>
      <c r="F46" s="137">
        <v>0</v>
      </c>
      <c r="G46" s="137">
        <v>0</v>
      </c>
      <c r="H46" s="137">
        <v>0</v>
      </c>
      <c r="I46" s="139"/>
      <c r="J46" s="139"/>
    </row>
    <row r="47" spans="1:10">
      <c r="A47" s="98">
        <v>23</v>
      </c>
      <c r="C47" s="136" t="s">
        <v>68</v>
      </c>
      <c r="D47" s="136"/>
      <c r="E47" s="136"/>
      <c r="F47" s="140">
        <v>0</v>
      </c>
      <c r="G47" s="140">
        <v>0</v>
      </c>
      <c r="H47" s="140">
        <v>0</v>
      </c>
      <c r="I47" s="139"/>
      <c r="J47" s="139"/>
    </row>
    <row r="48" spans="1:10">
      <c r="A48" s="98">
        <v>24</v>
      </c>
      <c r="B48" s="136" t="s">
        <v>157</v>
      </c>
      <c r="C48" s="136"/>
      <c r="F48" s="144">
        <f t="shared" ref="F48:H48" si="4">SUM(F44:F47)</f>
        <v>0</v>
      </c>
      <c r="G48" s="144">
        <f t="shared" si="4"/>
        <v>0</v>
      </c>
      <c r="H48" s="144">
        <f t="shared" si="4"/>
        <v>0</v>
      </c>
      <c r="I48" s="139"/>
      <c r="J48" s="139"/>
    </row>
    <row r="49" spans="1:10" ht="19.5" customHeight="1">
      <c r="A49" s="98">
        <v>25</v>
      </c>
      <c r="B49" s="99" t="s">
        <v>158</v>
      </c>
      <c r="C49" s="136"/>
      <c r="D49" s="136"/>
      <c r="E49" s="136"/>
      <c r="F49" s="144">
        <f t="shared" ref="F49:H49" si="5">F21+F25+F31+F37+F39+F40+F41+F48</f>
        <v>0</v>
      </c>
      <c r="G49" s="144">
        <f t="shared" si="5"/>
        <v>0</v>
      </c>
      <c r="H49" s="144">
        <f t="shared" si="5"/>
        <v>0</v>
      </c>
      <c r="I49" s="139"/>
      <c r="J49" s="139"/>
    </row>
    <row r="50" spans="1:10" ht="9" customHeight="1">
      <c r="C50" s="136"/>
      <c r="D50" s="136"/>
      <c r="E50" s="136"/>
      <c r="F50" s="141"/>
      <c r="G50" s="141"/>
      <c r="H50" s="141"/>
      <c r="I50" s="139"/>
      <c r="J50" s="139"/>
    </row>
    <row r="51" spans="1:10" ht="12.95" customHeight="1">
      <c r="A51" s="98">
        <v>26</v>
      </c>
      <c r="B51" s="99" t="s">
        <v>159</v>
      </c>
      <c r="C51" s="136"/>
      <c r="D51" s="136"/>
      <c r="E51" s="136"/>
      <c r="F51" s="141">
        <f t="shared" ref="F51:H51" si="6">F18-F49</f>
        <v>0</v>
      </c>
      <c r="G51" s="141">
        <f t="shared" si="6"/>
        <v>0</v>
      </c>
      <c r="H51" s="141">
        <f t="shared" si="6"/>
        <v>0</v>
      </c>
      <c r="I51" s="139"/>
      <c r="J51" s="139"/>
    </row>
    <row r="52" spans="1:10" ht="12.95" customHeight="1">
      <c r="C52" s="136"/>
      <c r="D52" s="136"/>
      <c r="E52" s="136"/>
      <c r="F52" s="141"/>
      <c r="G52" s="141"/>
      <c r="H52" s="141"/>
      <c r="I52" s="139"/>
      <c r="J52" s="139"/>
    </row>
    <row r="53" spans="1:10" ht="12.95" customHeight="1">
      <c r="B53" s="99" t="s">
        <v>160</v>
      </c>
      <c r="C53" s="136"/>
      <c r="D53" s="136"/>
      <c r="E53" s="136"/>
      <c r="F53" s="137"/>
      <c r="G53" s="137"/>
      <c r="H53" s="137"/>
      <c r="I53" s="145"/>
      <c r="J53" s="145"/>
    </row>
    <row r="54" spans="1:10">
      <c r="A54" s="98">
        <v>27</v>
      </c>
      <c r="B54" s="136" t="s">
        <v>161</v>
      </c>
      <c r="D54" s="136"/>
      <c r="E54" s="136"/>
      <c r="F54" s="137">
        <f t="shared" ref="F54" si="7">F51*0.35</f>
        <v>0</v>
      </c>
      <c r="G54" s="146">
        <f>'2015 GRC Embedded Tax-Gas'!C38</f>
        <v>-1293.1138604351358</v>
      </c>
      <c r="H54" s="146"/>
    </row>
    <row r="55" spans="1:10">
      <c r="A55" s="98">
        <v>28</v>
      </c>
      <c r="B55" s="136" t="s">
        <v>103</v>
      </c>
      <c r="D55" s="136"/>
      <c r="E55" s="136"/>
      <c r="F55" s="137">
        <f>(F82*'[5]RR SUMMARY'!$P$13)*-0.21</f>
        <v>-6.3603119999999995</v>
      </c>
      <c r="G55" s="137">
        <f>(G82*'[5]RR SUMMARY'!$P$13)*-0.21</f>
        <v>0</v>
      </c>
      <c r="H55" s="137">
        <f>(H82*'[5]RR SUMMARY'!$P$13)*-0.21</f>
        <v>-0.92248799999999986</v>
      </c>
      <c r="I55" s="139"/>
      <c r="J55" s="139"/>
    </row>
    <row r="56" spans="1:10">
      <c r="A56" s="98">
        <v>29</v>
      </c>
      <c r="B56" s="136" t="s">
        <v>162</v>
      </c>
      <c r="D56" s="136"/>
      <c r="E56" s="136"/>
      <c r="F56" s="83">
        <v>-931</v>
      </c>
      <c r="G56" s="146"/>
      <c r="H56" s="146">
        <f>(-910.8*4-1079.3*0)/12</f>
        <v>-303.59999999999997</v>
      </c>
      <c r="I56" s="139">
        <f>409-46</f>
        <v>363</v>
      </c>
      <c r="J56" s="139" t="s">
        <v>105</v>
      </c>
    </row>
    <row r="57" spans="1:10">
      <c r="A57" s="98">
        <v>30</v>
      </c>
      <c r="B57" s="136" t="s">
        <v>163</v>
      </c>
      <c r="D57" s="136"/>
      <c r="E57" s="136"/>
      <c r="F57" s="140">
        <v>0</v>
      </c>
      <c r="G57" s="140">
        <v>0</v>
      </c>
      <c r="H57" s="140">
        <v>0</v>
      </c>
      <c r="I57" s="108"/>
      <c r="J57" s="108"/>
    </row>
    <row r="58" spans="1:10">
      <c r="F58" s="141"/>
      <c r="G58" s="141"/>
      <c r="H58" s="141"/>
      <c r="J58" s="135"/>
    </row>
    <row r="59" spans="1:10" s="133" customFormat="1" ht="12.75" thickBot="1">
      <c r="A59" s="98">
        <v>31</v>
      </c>
      <c r="B59" s="133" t="s">
        <v>164</v>
      </c>
      <c r="F59" s="147">
        <f t="shared" ref="F59:H59" si="8">F51-SUM(F54:F57)</f>
        <v>937.36031200000002</v>
      </c>
      <c r="G59" s="147">
        <f t="shared" si="8"/>
        <v>1293.1138604351358</v>
      </c>
      <c r="H59" s="147">
        <f t="shared" si="8"/>
        <v>304.52248799999995</v>
      </c>
      <c r="I59" s="135"/>
      <c r="J59" s="108"/>
    </row>
    <row r="60" spans="1:10" ht="6" customHeight="1" thickTop="1">
      <c r="F60" s="141"/>
      <c r="G60" s="141"/>
      <c r="H60" s="141"/>
      <c r="I60" s="108"/>
      <c r="J60" s="108"/>
    </row>
    <row r="61" spans="1:10">
      <c r="B61" s="99" t="s">
        <v>165</v>
      </c>
      <c r="F61" s="141"/>
      <c r="G61" s="141"/>
      <c r="H61" s="141"/>
      <c r="I61" s="135"/>
      <c r="J61" s="135"/>
    </row>
    <row r="62" spans="1:10">
      <c r="B62" s="99" t="s">
        <v>166</v>
      </c>
      <c r="F62" s="137"/>
      <c r="G62" s="137"/>
      <c r="H62" s="137"/>
      <c r="I62" s="139"/>
      <c r="J62" s="139"/>
    </row>
    <row r="63" spans="1:10">
      <c r="A63" s="98">
        <v>32</v>
      </c>
      <c r="B63" s="136"/>
      <c r="C63" s="136" t="s">
        <v>147</v>
      </c>
      <c r="D63" s="136"/>
      <c r="E63" s="136"/>
      <c r="F63" s="134">
        <v>0</v>
      </c>
      <c r="G63" s="134">
        <v>0</v>
      </c>
      <c r="H63" s="134">
        <v>0</v>
      </c>
      <c r="I63" s="139"/>
      <c r="J63" s="139"/>
    </row>
    <row r="64" spans="1:10">
      <c r="A64" s="98">
        <v>33</v>
      </c>
      <c r="B64" s="136"/>
      <c r="C64" s="136" t="s">
        <v>167</v>
      </c>
      <c r="D64" s="136"/>
      <c r="E64" s="136"/>
      <c r="F64" s="137">
        <v>0</v>
      </c>
      <c r="G64" s="137">
        <v>0</v>
      </c>
      <c r="H64" s="137">
        <v>0</v>
      </c>
      <c r="I64" s="139"/>
      <c r="J64" s="139"/>
    </row>
    <row r="65" spans="1:10">
      <c r="A65" s="98">
        <v>34</v>
      </c>
      <c r="B65" s="136"/>
      <c r="C65" s="136" t="s">
        <v>168</v>
      </c>
      <c r="D65" s="136"/>
      <c r="E65" s="136"/>
      <c r="F65" s="140">
        <v>0</v>
      </c>
      <c r="G65" s="140">
        <v>0</v>
      </c>
      <c r="H65" s="140">
        <v>0</v>
      </c>
      <c r="I65" s="139"/>
      <c r="J65" s="139"/>
    </row>
    <row r="66" spans="1:10" ht="18" customHeight="1">
      <c r="A66" s="98">
        <v>35</v>
      </c>
      <c r="B66" s="136" t="s">
        <v>169</v>
      </c>
      <c r="C66" s="136"/>
      <c r="F66" s="141">
        <f t="shared" ref="F66:H66" si="9">SUM(F63:F65)</f>
        <v>0</v>
      </c>
      <c r="G66" s="141">
        <f t="shared" si="9"/>
        <v>0</v>
      </c>
      <c r="H66" s="141">
        <f t="shared" si="9"/>
        <v>0</v>
      </c>
      <c r="I66" s="139"/>
      <c r="J66" s="139"/>
    </row>
    <row r="67" spans="1:10" ht="3.75" customHeight="1">
      <c r="B67" s="136"/>
      <c r="C67" s="136"/>
      <c r="F67" s="141"/>
      <c r="G67" s="141"/>
      <c r="H67" s="141"/>
      <c r="I67" s="139"/>
      <c r="J67" s="139"/>
    </row>
    <row r="68" spans="1:10">
      <c r="B68" s="136" t="s">
        <v>115</v>
      </c>
      <c r="C68" s="136"/>
      <c r="D68" s="136"/>
      <c r="E68" s="136"/>
      <c r="F68" s="137"/>
      <c r="G68" s="137"/>
      <c r="H68" s="137"/>
      <c r="I68" s="139"/>
      <c r="J68" s="139"/>
    </row>
    <row r="69" spans="1:10">
      <c r="A69" s="98">
        <v>36</v>
      </c>
      <c r="B69" s="136"/>
      <c r="C69" s="136" t="s">
        <v>147</v>
      </c>
      <c r="D69" s="136"/>
      <c r="E69" s="136"/>
      <c r="F69" s="137">
        <v>0</v>
      </c>
      <c r="G69" s="137">
        <v>0</v>
      </c>
      <c r="H69" s="137">
        <v>0</v>
      </c>
      <c r="I69" s="139"/>
      <c r="J69" s="139"/>
    </row>
    <row r="70" spans="1:10">
      <c r="A70" s="98">
        <v>37</v>
      </c>
      <c r="B70" s="136"/>
      <c r="C70" s="136" t="s">
        <v>167</v>
      </c>
      <c r="D70" s="136"/>
      <c r="E70" s="136"/>
      <c r="F70" s="137">
        <v>0</v>
      </c>
      <c r="G70" s="137">
        <v>0</v>
      </c>
      <c r="H70" s="137">
        <v>0</v>
      </c>
      <c r="I70" s="139"/>
      <c r="J70" s="139"/>
    </row>
    <row r="71" spans="1:10">
      <c r="A71" s="98">
        <v>38</v>
      </c>
      <c r="B71" s="136"/>
      <c r="C71" s="136" t="s">
        <v>168</v>
      </c>
      <c r="D71" s="136"/>
      <c r="E71" s="136"/>
      <c r="F71" s="137">
        <v>0</v>
      </c>
      <c r="G71" s="137">
        <v>0</v>
      </c>
      <c r="H71" s="137">
        <v>0</v>
      </c>
      <c r="I71" s="139"/>
      <c r="J71" s="139"/>
    </row>
    <row r="72" spans="1:10">
      <c r="A72" s="98">
        <v>39</v>
      </c>
      <c r="B72" s="136" t="s">
        <v>170</v>
      </c>
      <c r="C72" s="136"/>
      <c r="F72" s="148">
        <f t="shared" ref="F72:H72" si="10">SUM(F69:F71)</f>
        <v>0</v>
      </c>
      <c r="G72" s="148">
        <f t="shared" si="10"/>
        <v>0</v>
      </c>
      <c r="H72" s="148">
        <f t="shared" si="10"/>
        <v>0</v>
      </c>
      <c r="I72" s="139"/>
      <c r="J72" s="139"/>
    </row>
    <row r="73" spans="1:10">
      <c r="A73" s="98">
        <v>40</v>
      </c>
      <c r="B73" s="136" t="s">
        <v>171</v>
      </c>
      <c r="C73" s="136"/>
      <c r="D73" s="136"/>
      <c r="E73" s="136"/>
      <c r="F73" s="142">
        <f t="shared" ref="F73:H73" si="11">F66+F72</f>
        <v>0</v>
      </c>
      <c r="G73" s="142">
        <f t="shared" si="11"/>
        <v>0</v>
      </c>
      <c r="H73" s="142">
        <f t="shared" si="11"/>
        <v>0</v>
      </c>
      <c r="I73" s="139"/>
      <c r="J73" s="139"/>
    </row>
    <row r="74" spans="1:10" s="152" customFormat="1" ht="13.5" customHeight="1">
      <c r="A74" s="149">
        <v>41</v>
      </c>
      <c r="B74" s="150" t="s">
        <v>172</v>
      </c>
      <c r="C74" s="150"/>
      <c r="D74" s="150"/>
      <c r="E74" s="150"/>
      <c r="F74" s="151">
        <v>0</v>
      </c>
      <c r="G74" s="151">
        <v>0</v>
      </c>
      <c r="H74" s="151">
        <v>152</v>
      </c>
      <c r="I74" s="139"/>
      <c r="J74" s="139"/>
    </row>
    <row r="75" spans="1:10" s="152" customFormat="1" ht="18.95" customHeight="1">
      <c r="A75" s="149">
        <v>42</v>
      </c>
      <c r="B75" s="150" t="s">
        <v>119</v>
      </c>
      <c r="C75" s="150"/>
      <c r="D75" s="150"/>
      <c r="E75" s="150"/>
      <c r="F75" s="142">
        <f t="shared" ref="F75:H75" si="12">F73+F74</f>
        <v>0</v>
      </c>
      <c r="G75" s="142">
        <f t="shared" si="12"/>
        <v>0</v>
      </c>
      <c r="H75" s="142">
        <f t="shared" si="12"/>
        <v>152</v>
      </c>
      <c r="I75" s="139"/>
      <c r="J75" s="139"/>
    </row>
    <row r="76" spans="1:10">
      <c r="A76" s="98">
        <v>43</v>
      </c>
      <c r="B76" s="136" t="s">
        <v>173</v>
      </c>
      <c r="C76" s="136"/>
      <c r="D76" s="136"/>
      <c r="E76" s="136"/>
      <c r="F76" s="137">
        <v>0</v>
      </c>
      <c r="G76" s="137">
        <v>0</v>
      </c>
      <c r="H76" s="137">
        <v>0</v>
      </c>
      <c r="I76" s="139"/>
      <c r="J76" s="139"/>
    </row>
    <row r="77" spans="1:10" s="152" customFormat="1">
      <c r="A77" s="149">
        <v>44</v>
      </c>
      <c r="B77" s="150" t="s">
        <v>174</v>
      </c>
      <c r="C77" s="150"/>
      <c r="D77" s="150"/>
      <c r="E77" s="150"/>
      <c r="F77" s="138">
        <v>0</v>
      </c>
      <c r="G77" s="138">
        <v>0</v>
      </c>
      <c r="H77" s="138">
        <v>0</v>
      </c>
      <c r="I77" s="139"/>
      <c r="J77" s="139"/>
    </row>
    <row r="78" spans="1:10" s="152" customFormat="1">
      <c r="A78" s="149">
        <v>45</v>
      </c>
      <c r="B78" s="150" t="s">
        <v>175</v>
      </c>
      <c r="C78" s="150"/>
      <c r="D78" s="150"/>
      <c r="E78" s="150"/>
      <c r="F78" s="146">
        <v>1048</v>
      </c>
      <c r="G78" s="146">
        <v>0</v>
      </c>
      <c r="H78" s="146">
        <v>0</v>
      </c>
      <c r="I78" s="139"/>
      <c r="J78" s="139"/>
    </row>
    <row r="79" spans="1:10">
      <c r="A79" s="98">
        <v>46</v>
      </c>
      <c r="B79" s="136" t="s">
        <v>121</v>
      </c>
      <c r="C79" s="136"/>
      <c r="D79" s="136"/>
      <c r="E79" s="136"/>
      <c r="F79" s="140">
        <v>0</v>
      </c>
      <c r="G79" s="140">
        <v>0</v>
      </c>
      <c r="H79" s="140">
        <v>0</v>
      </c>
      <c r="I79" s="139"/>
      <c r="J79" s="139"/>
    </row>
    <row r="80" spans="1:10" ht="7.5" customHeight="1">
      <c r="F80" s="101"/>
      <c r="G80" s="101"/>
      <c r="H80" s="101"/>
      <c r="I80" s="139"/>
      <c r="J80" s="139"/>
    </row>
    <row r="81" spans="1:10" ht="6.75" customHeight="1">
      <c r="F81" s="141"/>
      <c r="G81" s="141"/>
      <c r="H81" s="141"/>
      <c r="I81" s="135"/>
      <c r="J81" s="135"/>
    </row>
    <row r="82" spans="1:10" s="153" customFormat="1" ht="12.75" thickBot="1">
      <c r="A82" s="109">
        <v>47</v>
      </c>
      <c r="B82" s="153" t="s">
        <v>176</v>
      </c>
      <c r="F82" s="154">
        <f t="shared" ref="F82:H82" si="13">F75+F76+F77+F79+F78</f>
        <v>1048</v>
      </c>
      <c r="G82" s="154">
        <f t="shared" si="13"/>
        <v>0</v>
      </c>
      <c r="H82" s="154">
        <f t="shared" si="13"/>
        <v>152</v>
      </c>
      <c r="I82" s="108"/>
      <c r="J82" s="108"/>
    </row>
    <row r="83" spans="1:10" ht="13.5" thickTop="1" thickBot="1">
      <c r="A83" s="98">
        <v>48</v>
      </c>
      <c r="B83" s="99" t="s">
        <v>177</v>
      </c>
      <c r="F83" s="141"/>
      <c r="G83" s="141"/>
      <c r="H83" s="141"/>
      <c r="I83" s="64" t="s">
        <v>36</v>
      </c>
      <c r="J83" s="108"/>
    </row>
    <row r="84" spans="1:10" ht="12.75" thickBot="1">
      <c r="A84" s="98">
        <v>50</v>
      </c>
      <c r="B84" s="99" t="s">
        <v>178</v>
      </c>
      <c r="F84" s="174">
        <f t="shared" ref="F84:H84" si="14">F92</f>
        <v>-1140.0083526595893</v>
      </c>
      <c r="G84" s="175">
        <f t="shared" si="14"/>
        <v>-1716.6147308353268</v>
      </c>
      <c r="H84" s="176">
        <f t="shared" si="14"/>
        <v>-389.12148128284741</v>
      </c>
      <c r="I84" s="173">
        <f>SUM(F84:H84)</f>
        <v>-3245.7445647777636</v>
      </c>
      <c r="J84" s="108"/>
    </row>
    <row r="85" spans="1:10" ht="23.25" customHeight="1">
      <c r="D85" s="170" t="s">
        <v>179</v>
      </c>
      <c r="E85" s="167">
        <v>7.4999999999999997E-2</v>
      </c>
      <c r="F85" s="178" t="s">
        <v>182</v>
      </c>
      <c r="G85" s="165" t="s">
        <v>180</v>
      </c>
      <c r="H85" s="178" t="s">
        <v>182</v>
      </c>
      <c r="I85" s="108"/>
      <c r="J85" s="108"/>
    </row>
    <row r="86" spans="1:10" ht="21.6" customHeight="1">
      <c r="D86" s="171" t="s">
        <v>44</v>
      </c>
      <c r="E86" s="172">
        <v>0.75329299999999999</v>
      </c>
      <c r="F86" s="91"/>
      <c r="G86" s="91"/>
      <c r="H86" s="91"/>
      <c r="I86" s="108"/>
      <c r="J86" s="108"/>
    </row>
    <row r="87" spans="1:10" s="156" customFormat="1" ht="16.5" customHeight="1">
      <c r="A87" s="155"/>
      <c r="E87" s="157"/>
      <c r="F87" s="141"/>
      <c r="G87" s="141"/>
      <c r="H87" s="141"/>
      <c r="I87" s="108"/>
      <c r="J87" s="108"/>
    </row>
    <row r="88" spans="1:10" s="156" customFormat="1" ht="17.25" customHeight="1">
      <c r="A88" s="158"/>
      <c r="D88" s="157" t="s">
        <v>125</v>
      </c>
      <c r="E88" s="157"/>
      <c r="F88" s="141"/>
      <c r="G88" s="141"/>
      <c r="H88" s="141"/>
      <c r="I88" s="108"/>
      <c r="J88" s="108"/>
    </row>
    <row r="89" spans="1:10" s="156" customFormat="1" ht="12" customHeight="1">
      <c r="A89" s="158"/>
      <c r="E89" s="108"/>
      <c r="F89" s="141"/>
      <c r="G89" s="141"/>
      <c r="H89" s="141"/>
      <c r="I89" s="108"/>
      <c r="J89" s="108"/>
    </row>
    <row r="90" spans="1:10" s="156" customFormat="1" ht="29.25" customHeight="1">
      <c r="A90" s="158"/>
      <c r="D90" s="157" t="s">
        <v>126</v>
      </c>
      <c r="E90" s="157"/>
      <c r="F90" s="100">
        <f>F82*$E$85-F59</f>
        <v>-858.760312</v>
      </c>
      <c r="G90" s="100">
        <f>G82*$E$85-G59</f>
        <v>-1293.1138604351358</v>
      </c>
      <c r="H90" s="100">
        <f>H82*$E$85-H59</f>
        <v>-293.12248799999998</v>
      </c>
      <c r="I90" s="108"/>
      <c r="J90" s="108"/>
    </row>
    <row r="91" spans="1:10" s="156" customFormat="1">
      <c r="A91" s="158"/>
      <c r="D91" s="157" t="s">
        <v>127</v>
      </c>
      <c r="E91" s="157"/>
      <c r="F91" s="100"/>
      <c r="G91" s="100"/>
      <c r="H91" s="100"/>
      <c r="I91" s="108"/>
      <c r="J91" s="108"/>
    </row>
    <row r="92" spans="1:10" s="156" customFormat="1">
      <c r="A92" s="158"/>
      <c r="D92" s="157" t="s">
        <v>128</v>
      </c>
      <c r="E92" s="157"/>
      <c r="F92" s="100">
        <f>F90/$E$86</f>
        <v>-1140.0083526595893</v>
      </c>
      <c r="G92" s="100">
        <f>G90/$E$86</f>
        <v>-1716.6147308353268</v>
      </c>
      <c r="H92" s="100">
        <f>H90/$E$86</f>
        <v>-389.12148128284741</v>
      </c>
      <c r="I92" s="159"/>
      <c r="J92" s="159"/>
    </row>
    <row r="93" spans="1:10" s="156" customFormat="1">
      <c r="A93" s="155"/>
      <c r="D93" s="157" t="s">
        <v>129</v>
      </c>
      <c r="E93" s="157"/>
      <c r="F93" s="89"/>
      <c r="G93" s="89"/>
      <c r="H93" s="89"/>
    </row>
    <row r="94" spans="1:10" s="156" customFormat="1">
      <c r="A94" s="158"/>
      <c r="F94" s="160"/>
      <c r="G94" s="160"/>
    </row>
    <row r="95" spans="1:10" s="156" customFormat="1">
      <c r="A95" s="158"/>
      <c r="D95" s="157"/>
      <c r="E95" s="157"/>
    </row>
    <row r="96" spans="1:10" s="102" customFormat="1">
      <c r="A96" s="161"/>
      <c r="D96" s="162"/>
      <c r="E96" s="162"/>
    </row>
    <row r="97" spans="1:8" s="102" customFormat="1">
      <c r="A97" s="161"/>
      <c r="D97" s="163"/>
      <c r="E97" s="163"/>
      <c r="F97" s="156"/>
      <c r="G97" s="156"/>
      <c r="H97" s="156"/>
    </row>
    <row r="98" spans="1:8" s="102" customFormat="1">
      <c r="A98" s="161"/>
    </row>
    <row r="99" spans="1:8" s="102" customFormat="1">
      <c r="A99" s="161"/>
    </row>
    <row r="100" spans="1:8" s="152" customFormat="1">
      <c r="A100" s="149"/>
      <c r="F100" s="102"/>
      <c r="G100" s="102"/>
      <c r="H100" s="102"/>
    </row>
    <row r="101" spans="1:8" s="152" customFormat="1">
      <c r="A101" s="149"/>
      <c r="F101" s="102"/>
      <c r="G101" s="102"/>
      <c r="H101" s="102"/>
    </row>
    <row r="102" spans="1:8" s="152" customFormat="1">
      <c r="A102" s="149"/>
    </row>
    <row r="103" spans="1:8">
      <c r="F103" s="152"/>
      <c r="G103" s="152"/>
      <c r="H103" s="152"/>
    </row>
    <row r="104" spans="1:8">
      <c r="F104" s="152"/>
      <c r="G104" s="152"/>
      <c r="H104" s="152"/>
    </row>
  </sheetData>
  <pageMargins left="0.75" right="0.5" top="0.97" bottom="0.84" header="0.5" footer="0.5"/>
  <pageSetup scale="65" firstPageNumber="4" fitToWidth="5" orientation="portrait" r:id="rId1"/>
  <headerFooter scaleWithDoc="0" alignWithMargins="0">
    <oddHeader xml:space="preserve">&amp;RREVISED Exh. EMA-12
</oddHeader>
    <oddFooter>&amp;LBench Request 9 - Attachment B&amp;RPage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2018-02-27T08:00:00+00:00</OpenedDate>
    <SignificantOrder xmlns="dc463f71-b30c-4ab2-9473-d307f9d35888">false</SignificantOrder>
    <Date1 xmlns="dc463f71-b30c-4ab2-9473-d307f9d35888">2018-04-30T07:00:00+00:00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180177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DF940A0A2CD63488A9A5C88B4C7D3AF" ma:contentTypeVersion="76" ma:contentTypeDescription="" ma:contentTypeScope="" ma:versionID="8eea633d6688d928a142e8d801bb0a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EC18C8-764C-43FB-BA4F-222E800E5B12}"/>
</file>

<file path=customXml/itemProps2.xml><?xml version="1.0" encoding="utf-8"?>
<ds:datastoreItem xmlns:ds="http://schemas.openxmlformats.org/officeDocument/2006/customXml" ds:itemID="{BCB45586-7734-4615-80AF-09B4AAA3D485}"/>
</file>

<file path=customXml/itemProps3.xml><?xml version="1.0" encoding="utf-8"?>
<ds:datastoreItem xmlns:ds="http://schemas.openxmlformats.org/officeDocument/2006/customXml" ds:itemID="{F13943B4-F0B7-48BA-A635-0E335622E2BA}"/>
</file>

<file path=customXml/itemProps4.xml><?xml version="1.0" encoding="utf-8"?>
<ds:datastoreItem xmlns:ds="http://schemas.openxmlformats.org/officeDocument/2006/customXml" ds:itemID="{FEB8A814-7DC7-4362-9D99-DD8DA74A0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- Deferred TCJA</vt:lpstr>
      <vt:lpstr>2015 GRC Embedded Tax-Ele</vt:lpstr>
      <vt:lpstr>2015 GRC Embedded Tax-Gas</vt:lpstr>
      <vt:lpstr>ADJ DETAIL-Elec</vt:lpstr>
      <vt:lpstr>ADJ DETAIL - Nat Gas</vt:lpstr>
      <vt:lpstr>'2015 GRC Embedded Tax-Gas'!Print_Area</vt:lpstr>
      <vt:lpstr>'ADJ DETAIL - Nat Gas'!Print_Area</vt:lpstr>
      <vt:lpstr>'ADJ DETAIL-Elec'!Print_Area</vt:lpstr>
      <vt:lpstr>'ADJ DETAIL - Nat Gas'!Print_Titles</vt:lpstr>
      <vt:lpstr>'ADJ DETAIL-Elec'!Print_Titles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Liz Andrews</cp:lastModifiedBy>
  <dcterms:created xsi:type="dcterms:W3CDTF">2018-04-27T17:52:02Z</dcterms:created>
  <dcterms:modified xsi:type="dcterms:W3CDTF">2018-04-30T19:09:28Z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0x0101006E56B4D1795A2E4DB2F0B01679ED314A006DF940A0A2CD63488A9A5C88B4C7D3AF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