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27.xml" ContentType="application/vnd.openxmlformats-officedocument.spreadsheetml.worksheet+xml"/>
  <Override PartName="/xl/externalLinks/externalLink1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xl/externalLinks/externalLink8.xml" ContentType="application/vnd.openxmlformats-officedocument.spreadsheetml.externalLink+xml"/>
  <Override PartName="/xl/externalLinks/externalLink10.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externalLinks/externalLink9.xml" ContentType="application/vnd.openxmlformats-officedocument.spreadsheetml.externalLink+xml"/>
  <Override PartName="/xl/externalLinks/externalLink1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70" windowWidth="16950" windowHeight="5580" tabRatio="893" activeTab="13"/>
  </bookViews>
  <sheets>
    <sheet name="2025 BS" sheetId="8" r:id="rId1"/>
    <sheet name="2025 IS" sheetId="1" r:id="rId2"/>
    <sheet name="Consolidated IS" sheetId="2" r:id="rId3"/>
    <sheet name="Pro-forma" sheetId="30" r:id="rId4"/>
    <sheet name="Restating Adj" sheetId="13" r:id="rId5"/>
    <sheet name="Restating Expl" sheetId="14" r:id="rId6"/>
    <sheet name="Pro Forma Adj" sheetId="21" r:id="rId7"/>
    <sheet name="Ratios" sheetId="20" r:id="rId8"/>
    <sheet name="LG" sheetId="6" r:id="rId9"/>
    <sheet name="LG G-48" sheetId="26" r:id="rId10"/>
    <sheet name="LG G-51" sheetId="25" r:id="rId11"/>
    <sheet name="G-48 Price Out" sheetId="17" r:id="rId12"/>
    <sheet name="G-51 Price Out" sheetId="18" r:id="rId13"/>
    <sheet name="Rate Schedule G-48" sheetId="12" r:id="rId14"/>
    <sheet name="References" sheetId="32" r:id="rId15"/>
    <sheet name="G-48 DF Calc" sheetId="31" r:id="rId16"/>
    <sheet name="DF Schedule" sheetId="33" r:id="rId17"/>
    <sheet name="Depr Summary" sheetId="22" r:id="rId18"/>
    <sheet name="Depreciation" sheetId="23" r:id="rId19"/>
    <sheet name="Payroll Detail" sheetId="27" r:id="rId20"/>
    <sheet name="DivCon-DVP Alloc In" sheetId="28" r:id="rId21"/>
    <sheet name="Corp-OH" sheetId="10" r:id="rId22"/>
    <sheet name="Region OH Calc" sheetId="29" r:id="rId23"/>
    <sheet name="Corp-BS" sheetId="15" r:id="rId24"/>
    <sheet name="Corp-IS" sheetId="16" r:id="rId25"/>
    <sheet name="38000 Other Rev" sheetId="19" r:id="rId26"/>
    <sheet name="2025 BS 3-31-2015" sheetId="2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123Graph_g" hidden="1">'[2]#REF'!$F$9:$F$83</definedName>
    <definedName name="_132" hidden="1">[3]XXXXXX!$B$10:$B$10</definedName>
    <definedName name="_132Graph_h" localSheetId="15" hidden="1">#REF!</definedName>
    <definedName name="_132Graph_h" hidden="1">#REF!</definedName>
    <definedName name="_ACT1" localSheetId="15">[4]Hidden!#REF!</definedName>
    <definedName name="_ACT1" localSheetId="12">[5]Hidden!#REF!</definedName>
    <definedName name="_ACT1" localSheetId="8">[4]Hidden!#REF!</definedName>
    <definedName name="_ACT1" localSheetId="3">[4]Hidden!#REF!</definedName>
    <definedName name="_ACT1" localSheetId="14">[6]Hidden!#REF!</definedName>
    <definedName name="_ACT1">[4]Hidden!#REF!</definedName>
    <definedName name="_ACT2" localSheetId="15">[4]Hidden!#REF!</definedName>
    <definedName name="_ACT2" localSheetId="12">[5]Hidden!#REF!</definedName>
    <definedName name="_ACT2" localSheetId="8">[4]Hidden!#REF!</definedName>
    <definedName name="_ACT2" localSheetId="3">[4]Hidden!#REF!</definedName>
    <definedName name="_ACT2" localSheetId="14">[6]Hidden!#REF!</definedName>
    <definedName name="_ACT2">[4]Hidden!#REF!</definedName>
    <definedName name="_ACT3" localSheetId="15">[4]Hidden!#REF!</definedName>
    <definedName name="_ACT3" localSheetId="12">[5]Hidden!#REF!</definedName>
    <definedName name="_ACT3" localSheetId="8">[4]Hidden!#REF!</definedName>
    <definedName name="_ACT3" localSheetId="3">[4]Hidden!#REF!</definedName>
    <definedName name="_ACT3" localSheetId="14">[6]Hidden!#REF!</definedName>
    <definedName name="_ACT3">[4]Hidden!#REF!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15" hidden="1">#REF!</definedName>
    <definedName name="_Fill" hidden="1">#REF!</definedName>
    <definedName name="_xlnm._FilterDatabase" localSheetId="25" hidden="1">'38000 Other Rev'!$B$19:$AL$19</definedName>
    <definedName name="_Key1" localSheetId="15" hidden="1">#REF!</definedName>
    <definedName name="_Key1" hidden="1">#REF!</definedName>
    <definedName name="_Key2" hidden="1">'[2]#REF'!$D$12</definedName>
    <definedName name="_key5" hidden="1">[3]XXXXXX!$H$10</definedName>
    <definedName name="_LYA12">[1]Hidden!$O$11</definedName>
    <definedName name="_max" localSheetId="15" hidden="1">#REF!</definedName>
    <definedName name="_max" hidden="1">#REF!</definedName>
    <definedName name="_Mon" localSheetId="15" hidden="1">#REF!</definedName>
    <definedName name="_Mon" hidden="1">#REF!</definedName>
    <definedName name="_Order1" hidden="1">255</definedName>
    <definedName name="_Order2" hidden="1">255</definedName>
    <definedName name="_Order3" hidden="1">0</definedName>
    <definedName name="_Sort" localSheetId="15" hidden="1">#REF!</definedName>
    <definedName name="_Sort" hidden="1">#REF!</definedName>
    <definedName name="_Sort1" hidden="1">'[2]#REF'!$A$10:$Z$281</definedName>
    <definedName name="_sort3" hidden="1">[3]XXXXXX!$G$10:$J$11</definedName>
    <definedName name="Accounts">'38000 Other Rev'!$K$13</definedName>
    <definedName name="ACCT" localSheetId="15">[4]Hidden!#REF!</definedName>
    <definedName name="ACCT" localSheetId="12">[5]Hidden!#REF!</definedName>
    <definedName name="ACCT" localSheetId="8">[4]Hidden!#REF!</definedName>
    <definedName name="ACCT" localSheetId="3">[4]Hidden!#REF!</definedName>
    <definedName name="ACCT" localSheetId="14">[6]Hidden!#REF!</definedName>
    <definedName name="ACCT">[4]Hidden!#REF!</definedName>
    <definedName name="ACCT.ConsolSum">[1]Hidden!$Q$11</definedName>
    <definedName name="ACT_CUR" localSheetId="15">[4]Hidden!#REF!</definedName>
    <definedName name="ACT_CUR" localSheetId="12">[5]Hidden!#REF!</definedName>
    <definedName name="ACT_CUR" localSheetId="8">[4]Hidden!#REF!</definedName>
    <definedName name="ACT_CUR" localSheetId="3">[4]Hidden!#REF!</definedName>
    <definedName name="ACT_CUR" localSheetId="14">[6]Hidden!#REF!</definedName>
    <definedName name="ACT_CUR">[4]Hidden!#REF!</definedName>
    <definedName name="ACT_YTD" localSheetId="15">[4]Hidden!#REF!</definedName>
    <definedName name="ACT_YTD" localSheetId="12">[5]Hidden!#REF!</definedName>
    <definedName name="ACT_YTD" localSheetId="3">[4]Hidden!#REF!</definedName>
    <definedName name="ACT_YTD" localSheetId="14">[6]Hidden!#REF!</definedName>
    <definedName name="ACT_YTD">[4]Hidden!#REF!</definedName>
    <definedName name="AmountCount" localSheetId="15">#REF!</definedName>
    <definedName name="AmountCount" localSheetId="12">#REF!</definedName>
    <definedName name="AmountCount" localSheetId="8">#REF!</definedName>
    <definedName name="AmountCount" localSheetId="3">#REF!</definedName>
    <definedName name="AmountCount" localSheetId="13">#REF!</definedName>
    <definedName name="AmountCount" localSheetId="14">#REF!</definedName>
    <definedName name="AmountCount" localSheetId="4">#REF!</definedName>
    <definedName name="AmountCount">#REF!</definedName>
    <definedName name="AmountCount1" localSheetId="15">#REF!</definedName>
    <definedName name="AmountCount1" localSheetId="3">#REF!</definedName>
    <definedName name="AmountCount1">#REF!</definedName>
    <definedName name="AmountFrom">'38000 Other Rev'!$N$13</definedName>
    <definedName name="AmountTo">'38000 Other Rev'!$N$14</definedName>
    <definedName name="AmountTotal" localSheetId="15">#REF!</definedName>
    <definedName name="AmountTotal" localSheetId="12">#REF!</definedName>
    <definedName name="AmountTotal" localSheetId="8">#REF!</definedName>
    <definedName name="AmountTotal" localSheetId="3">#REF!</definedName>
    <definedName name="AmountTotal" localSheetId="13">#REF!</definedName>
    <definedName name="AmountTotal" localSheetId="14">#REF!</definedName>
    <definedName name="AmountTotal" localSheetId="4">#REF!</definedName>
    <definedName name="AmountTotal">#REF!</definedName>
    <definedName name="AmountTotal1" localSheetId="15">#REF!</definedName>
    <definedName name="AmountTotal1" localSheetId="3">#REF!</definedName>
    <definedName name="AmountTotal1">#REF!</definedName>
    <definedName name="BookRev" localSheetId="14">'[7]Pacific Regulated - Price Out'!$F$50</definedName>
    <definedName name="BookRev">'[8]Pacific Regulated - Price Out'!$F$50</definedName>
    <definedName name="BookRev_com" localSheetId="14">'[7]Pacific Regulated - Price Out'!$F$214</definedName>
    <definedName name="BookRev_com">'[8]Pacific Regulated - Price Out'!$F$214</definedName>
    <definedName name="BookRev_mfr" localSheetId="14">'[7]Pacific Regulated - Price Out'!$F$222</definedName>
    <definedName name="BookRev_mfr">'[8]Pacific Regulated - Price Out'!$F$222</definedName>
    <definedName name="BookRev_ro" localSheetId="14">'[7]Pacific Regulated - Price Out'!$F$282</definedName>
    <definedName name="BookRev_ro">'[8]Pacific Regulated - Price Out'!$F$282</definedName>
    <definedName name="BookRev_rr" localSheetId="14">'[7]Pacific Regulated - Price Out'!$F$59</definedName>
    <definedName name="BookRev_rr">'[8]Pacific Regulated - Price Out'!$F$59</definedName>
    <definedName name="BookRev_yw" localSheetId="14">'[7]Pacific Regulated - Price Out'!$F$70</definedName>
    <definedName name="BookRev_yw">'[8]Pacific Regulated - Price Out'!$F$70</definedName>
    <definedName name="BREMAIR_COST_of_SERVICE_STUDY" localSheetId="15">#REF!</definedName>
    <definedName name="BREMAIR_COST_of_SERVICE_STUDY" localSheetId="12">#REF!</definedName>
    <definedName name="BREMAIR_COST_of_SERVICE_STUDY" localSheetId="8">#REF!</definedName>
    <definedName name="BREMAIR_COST_of_SERVICE_STUDY" localSheetId="3">#REF!</definedName>
    <definedName name="BREMAIR_COST_of_SERVICE_STUDY" localSheetId="13">#REF!</definedName>
    <definedName name="BREMAIR_COST_of_SERVICE_STUDY" localSheetId="14">#REF!</definedName>
    <definedName name="BREMAIR_COST_of_SERVICE_STUDY">#REF!</definedName>
    <definedName name="BUD_CUR" localSheetId="15">[4]Hidden!#REF!</definedName>
    <definedName name="BUD_CUR" localSheetId="12">[5]Hidden!#REF!</definedName>
    <definedName name="BUD_CUR" localSheetId="8">[4]Hidden!#REF!</definedName>
    <definedName name="BUD_CUR" localSheetId="3">[4]Hidden!#REF!</definedName>
    <definedName name="BUD_CUR" localSheetId="13">[4]Hidden!#REF!</definedName>
    <definedName name="BUD_CUR" localSheetId="14">[6]Hidden!#REF!</definedName>
    <definedName name="BUD_CUR">[4]Hidden!#REF!</definedName>
    <definedName name="BUD_YTD" localSheetId="15">[4]Hidden!#REF!</definedName>
    <definedName name="BUD_YTD" localSheetId="12">[5]Hidden!#REF!</definedName>
    <definedName name="BUD_YTD" localSheetId="8">[4]Hidden!#REF!</definedName>
    <definedName name="BUD_YTD" localSheetId="3">[4]Hidden!#REF!</definedName>
    <definedName name="BUD_YTD" localSheetId="13">[4]Hidden!#REF!</definedName>
    <definedName name="BUD_YTD" localSheetId="14">[6]Hidden!#REF!</definedName>
    <definedName name="BUD_YTD">[4]Hidden!#REF!</definedName>
    <definedName name="CalRecyTons" localSheetId="14">'[9]Recycl Tons, Commodity Value'!$L$23</definedName>
    <definedName name="CalRecyTons">'[10]Recycl Tons, Commodity Value'!$L$23</definedName>
    <definedName name="CheckTotals" localSheetId="15">#REF!</definedName>
    <definedName name="CheckTotals" localSheetId="12">#REF!</definedName>
    <definedName name="CheckTotals" localSheetId="8">#REF!</definedName>
    <definedName name="CheckTotals" localSheetId="3">#REF!</definedName>
    <definedName name="CheckTotals" localSheetId="13">#REF!</definedName>
    <definedName name="CheckTotals" localSheetId="14">#REF!</definedName>
    <definedName name="CheckTotals">#REF!</definedName>
    <definedName name="colgroup">[1]Orientation!$G$6</definedName>
    <definedName name="colsegment">[1]Orientation!$F$6</definedName>
    <definedName name="CRCTable" localSheetId="15">#REF!</definedName>
    <definedName name="CRCTable" localSheetId="12">#REF!</definedName>
    <definedName name="CRCTable" localSheetId="8">#REF!</definedName>
    <definedName name="CRCTable" localSheetId="3">#REF!</definedName>
    <definedName name="CRCTable" localSheetId="13">#REF!</definedName>
    <definedName name="CRCTable" localSheetId="14">#REF!</definedName>
    <definedName name="CRCTable">#REF!</definedName>
    <definedName name="CRCTableOLD" localSheetId="15">#REF!</definedName>
    <definedName name="CRCTableOLD" localSheetId="12">#REF!</definedName>
    <definedName name="CRCTableOLD" localSheetId="8">#REF!</definedName>
    <definedName name="CRCTableOLD" localSheetId="3">#REF!</definedName>
    <definedName name="CRCTableOLD" localSheetId="13">#REF!</definedName>
    <definedName name="CRCTableOLD" localSheetId="14">#REF!</definedName>
    <definedName name="CRCTableOLD">#REF!</definedName>
    <definedName name="CriteriaType">[11]ControlPanel!$Z$2:$Z$5</definedName>
    <definedName name="CurrentMonth">'38000 Other Rev'!$H$8</definedName>
    <definedName name="Cutomers" localSheetId="15">#REF!</definedName>
    <definedName name="Cutomers" localSheetId="12">#REF!</definedName>
    <definedName name="Cutomers" localSheetId="8">#REF!</definedName>
    <definedName name="Cutomers" localSheetId="3">#REF!</definedName>
    <definedName name="Cutomers" localSheetId="13">#REF!</definedName>
    <definedName name="Cutomers" localSheetId="14">#REF!</definedName>
    <definedName name="Cutomers">#REF!</definedName>
    <definedName name="_xlnm.Database" localSheetId="15">#REF!</definedName>
    <definedName name="_xlnm.Database" localSheetId="12">#REF!</definedName>
    <definedName name="_xlnm.Database" localSheetId="8">#REF!</definedName>
    <definedName name="_xlnm.Database" localSheetId="3">#REF!</definedName>
    <definedName name="_xlnm.Database" localSheetId="13">#REF!</definedName>
    <definedName name="_xlnm.Database" localSheetId="14">#REF!</definedName>
    <definedName name="_xlnm.Database">#REF!</definedName>
    <definedName name="Database1" localSheetId="15">#REF!</definedName>
    <definedName name="Database1" localSheetId="12">#REF!</definedName>
    <definedName name="Database1" localSheetId="8">#REF!</definedName>
    <definedName name="Database1" localSheetId="3">#REF!</definedName>
    <definedName name="Database1" localSheetId="13">#REF!</definedName>
    <definedName name="Database1" localSheetId="14">#REF!</definedName>
    <definedName name="Database1">#REF!</definedName>
    <definedName name="DateFrom">'38000 Other Rev'!$G$12</definedName>
    <definedName name="DateTo">'38000 Other Rev'!$G$13</definedName>
    <definedName name="DEPT" localSheetId="15">[4]Hidden!#REF!</definedName>
    <definedName name="DEPT" localSheetId="12">[5]Hidden!#REF!</definedName>
    <definedName name="DEPT" localSheetId="8">[4]Hidden!#REF!</definedName>
    <definedName name="DEPT" localSheetId="3">[4]Hidden!#REF!</definedName>
    <definedName name="DEPT" localSheetId="13">[4]Hidden!#REF!</definedName>
    <definedName name="DEPT" localSheetId="14">[6]Hidden!#REF!</definedName>
    <definedName name="DEPT">[4]Hidden!#REF!</definedName>
    <definedName name="Dist">[12]Data!$E$3</definedName>
    <definedName name="District" localSheetId="26">'2025 BS 3-31-2015'!$K$3</definedName>
    <definedName name="District" localSheetId="1">'2025 IS'!$K$1</definedName>
    <definedName name="District" localSheetId="3">'[13]Vashon BS'!#REF!</definedName>
    <definedName name="District" localSheetId="13">'[13]Vashon BS'!#REF!</definedName>
    <definedName name="District" localSheetId="14">'[14]Vashon BS'!#REF!</definedName>
    <definedName name="District" localSheetId="22">'Region OH Calc'!$K$1</definedName>
    <definedName name="District">'2025 BS'!$K$1</definedName>
    <definedName name="DistrictName" localSheetId="0">'2025 BS'!#REF!</definedName>
    <definedName name="DistrictName" localSheetId="26">'2025 BS 3-31-2015'!#REF!</definedName>
    <definedName name="DistrictName" localSheetId="1">'2025 IS'!$K$2</definedName>
    <definedName name="DistrictName" localSheetId="22">'Region OH Calc'!$K$2</definedName>
    <definedName name="DistrictNum" localSheetId="15">#REF!</definedName>
    <definedName name="DistrictNum" localSheetId="12">#REF!</definedName>
    <definedName name="DistrictNum" localSheetId="8">#REF!</definedName>
    <definedName name="DistrictNum" localSheetId="3">#REF!</definedName>
    <definedName name="DistrictNum" localSheetId="13">#REF!</definedName>
    <definedName name="DistrictNum" localSheetId="14">#REF!</definedName>
    <definedName name="DistrictNum">#REF!</definedName>
    <definedName name="Districts">'38000 Other Rev'!$K$12</definedName>
    <definedName name="drlFilter">[1]Settings!$D$27</definedName>
    <definedName name="End" localSheetId="15">#REF!</definedName>
    <definedName name="End" localSheetId="12">#REF!</definedName>
    <definedName name="End" localSheetId="8">#REF!</definedName>
    <definedName name="End" localSheetId="3">#REF!</definedName>
    <definedName name="End" localSheetId="13">#REF!</definedName>
    <definedName name="End" localSheetId="14">#REF!</definedName>
    <definedName name="End">#REF!</definedName>
    <definedName name="EntrieShownLimit">'38000 Other Rev'!$D$6</definedName>
    <definedName name="ExcludeIC" localSheetId="26">'2025 BS 3-31-2015'!#REF!</definedName>
    <definedName name="ExcludeIC" localSheetId="1">'2025 IS'!$O$1</definedName>
    <definedName name="ExcludeIC" localSheetId="15">'2025 BS'!#REF!</definedName>
    <definedName name="ExcludeIC" localSheetId="3">'[13]Vashon BS'!#REF!</definedName>
    <definedName name="ExcludeIC" localSheetId="13">'[13]Vashon BS'!#REF!</definedName>
    <definedName name="ExcludeIC" localSheetId="14">'[14]Vashon BS'!#REF!</definedName>
    <definedName name="ExcludeIC" localSheetId="22">'Region OH Calc'!$O$1</definedName>
    <definedName name="ExcludeIC">'2025 BS'!#REF!</definedName>
    <definedName name="FBTable" localSheetId="15">#REF!</definedName>
    <definedName name="FBTable" localSheetId="12">#REF!</definedName>
    <definedName name="FBTable" localSheetId="8">#REF!</definedName>
    <definedName name="FBTable" localSheetId="3">#REF!</definedName>
    <definedName name="FBTable" localSheetId="13">#REF!</definedName>
    <definedName name="FBTable" localSheetId="14">#REF!</definedName>
    <definedName name="FBTable">#REF!</definedName>
    <definedName name="FBTableOld" localSheetId="15">#REF!</definedName>
    <definedName name="FBTableOld" localSheetId="12">#REF!</definedName>
    <definedName name="FBTableOld" localSheetId="8">#REF!</definedName>
    <definedName name="FBTableOld" localSheetId="3">#REF!</definedName>
    <definedName name="FBTableOld" localSheetId="13">#REF!</definedName>
    <definedName name="FBTableOld" localSheetId="14">#REF!</definedName>
    <definedName name="FBTableOld">#REF!</definedName>
    <definedName name="filter">[1]Settings!$B$14:$H$25</definedName>
    <definedName name="FromMonth">'38000 Other Rev'!$C$8</definedName>
    <definedName name="FundsApprPend" localSheetId="15">[12]Data!#REF!</definedName>
    <definedName name="FundsApprPend" localSheetId="3">[12]Data!#REF!</definedName>
    <definedName name="FundsApprPend">[12]Data!#REF!</definedName>
    <definedName name="FundsBudUnbud" localSheetId="15">[12]Data!#REF!</definedName>
    <definedName name="FundsBudUnbud" localSheetId="3">[12]Data!#REF!</definedName>
    <definedName name="FundsBudUnbud">[12]Data!#REF!</definedName>
    <definedName name="GLMappingStart" localSheetId="15">#REF!</definedName>
    <definedName name="GLMappingStart" localSheetId="12">#REF!</definedName>
    <definedName name="GLMappingStart" localSheetId="8">#REF!</definedName>
    <definedName name="GLMappingStart" localSheetId="3">#REF!</definedName>
    <definedName name="GLMappingStart" localSheetId="13">#REF!</definedName>
    <definedName name="GLMappingStart" localSheetId="14">#REF!</definedName>
    <definedName name="GLMappingStart" localSheetId="4">#REF!</definedName>
    <definedName name="GLMappingStart">#REF!</definedName>
    <definedName name="GLMappingStart1" localSheetId="15">#REF!</definedName>
    <definedName name="GLMappingStart1" localSheetId="3">#REF!</definedName>
    <definedName name="GLMappingStart1">#REF!</definedName>
    <definedName name="Import_Range" localSheetId="15">[12]Data!#REF!</definedName>
    <definedName name="Import_Range" localSheetId="3">[12]Data!#REF!</definedName>
    <definedName name="Import_Range">[12]Data!#REF!</definedName>
    <definedName name="IncomeStmnt" localSheetId="15">#REF!</definedName>
    <definedName name="IncomeStmnt" localSheetId="12">#REF!</definedName>
    <definedName name="IncomeStmnt" localSheetId="8">#REF!</definedName>
    <definedName name="IncomeStmnt" localSheetId="3">#REF!</definedName>
    <definedName name="IncomeStmnt" localSheetId="13">#REF!</definedName>
    <definedName name="IncomeStmnt" localSheetId="14">#REF!</definedName>
    <definedName name="IncomeStmnt">#REF!</definedName>
    <definedName name="INPUT" localSheetId="15">#REF!</definedName>
    <definedName name="INPUT" localSheetId="12">#REF!</definedName>
    <definedName name="INPUT" localSheetId="8">#REF!</definedName>
    <definedName name="INPUT" localSheetId="3">#REF!</definedName>
    <definedName name="INPUT" localSheetId="13">#REF!</definedName>
    <definedName name="INPUT" localSheetId="14">#REF!</definedName>
    <definedName name="INPUT">#REF!</definedName>
    <definedName name="Insurance" localSheetId="15">#REF!</definedName>
    <definedName name="Insurance" localSheetId="12">#REF!</definedName>
    <definedName name="Insurance" localSheetId="8">#REF!</definedName>
    <definedName name="Insurance" localSheetId="3">#REF!</definedName>
    <definedName name="Insurance" localSheetId="13">#REF!</definedName>
    <definedName name="Insurance" localSheetId="14">#REF!</definedName>
    <definedName name="Insurance">#REF!</definedName>
    <definedName name="Invoice_Start" localSheetId="15">[12]Invoice_Drill!#REF!</definedName>
    <definedName name="Invoice_Start" localSheetId="3">[12]Invoice_Drill!#REF!</definedName>
    <definedName name="Invoice_Start">[12]Invoice_Drill!#REF!</definedName>
    <definedName name="JEDetail" localSheetId="15">#REF!</definedName>
    <definedName name="JEDetail" localSheetId="12">#REF!</definedName>
    <definedName name="JEDetail" localSheetId="8">#REF!</definedName>
    <definedName name="JEDetail" localSheetId="3">#REF!</definedName>
    <definedName name="JEDetail" localSheetId="13">#REF!</definedName>
    <definedName name="JEDetail" localSheetId="14">#REF!</definedName>
    <definedName name="JEDetail" localSheetId="4">#REF!</definedName>
    <definedName name="JEDetail">#REF!</definedName>
    <definedName name="JEDetail1" localSheetId="15">#REF!</definedName>
    <definedName name="JEDetail1" localSheetId="3">#REF!</definedName>
    <definedName name="JEDetail1">#REF!</definedName>
    <definedName name="JEType" localSheetId="15">#REF!</definedName>
    <definedName name="JEType" localSheetId="12">#REF!</definedName>
    <definedName name="JEType" localSheetId="8">#REF!</definedName>
    <definedName name="JEType" localSheetId="3">#REF!</definedName>
    <definedName name="JEType" localSheetId="13">#REF!</definedName>
    <definedName name="JEType" localSheetId="14">#REF!</definedName>
    <definedName name="JEType" localSheetId="4">#REF!</definedName>
    <definedName name="JEType">#REF!</definedName>
    <definedName name="JEType1" localSheetId="15">#REF!</definedName>
    <definedName name="JEType1" localSheetId="3">#REF!</definedName>
    <definedName name="JEType1">#REF!</definedName>
    <definedName name="lblBillAreaStatus" localSheetId="15">#REF!</definedName>
    <definedName name="lblBillAreaStatus" localSheetId="12">#REF!</definedName>
    <definedName name="lblBillAreaStatus" localSheetId="8">#REF!</definedName>
    <definedName name="lblBillAreaStatus" localSheetId="3">#REF!</definedName>
    <definedName name="lblBillAreaStatus" localSheetId="13">#REF!</definedName>
    <definedName name="lblBillAreaStatus" localSheetId="14">#REF!</definedName>
    <definedName name="lblBillAreaStatus" localSheetId="4">#REF!</definedName>
    <definedName name="lblBillAreaStatus">#REF!</definedName>
    <definedName name="lblBillCycleStatus" localSheetId="15">#REF!</definedName>
    <definedName name="lblBillCycleStatus" localSheetId="12">#REF!</definedName>
    <definedName name="lblBillCycleStatus" localSheetId="8">#REF!</definedName>
    <definedName name="lblBillCycleStatus" localSheetId="3">#REF!</definedName>
    <definedName name="lblBillCycleStatus" localSheetId="13">#REF!</definedName>
    <definedName name="lblBillCycleStatus" localSheetId="14">#REF!</definedName>
    <definedName name="lblBillCycleStatus" localSheetId="4">#REF!</definedName>
    <definedName name="lblBillCycleStatus">#REF!</definedName>
    <definedName name="lblCategoryStatus" localSheetId="15">#REF!</definedName>
    <definedName name="lblCategoryStatus" localSheetId="12">#REF!</definedName>
    <definedName name="lblCategoryStatus" localSheetId="8">#REF!</definedName>
    <definedName name="lblCategoryStatus" localSheetId="3">#REF!</definedName>
    <definedName name="lblCategoryStatus" localSheetId="13">#REF!</definedName>
    <definedName name="lblCategoryStatus" localSheetId="14">#REF!</definedName>
    <definedName name="lblCategoryStatus" localSheetId="4">#REF!</definedName>
    <definedName name="lblCategoryStatus">#REF!</definedName>
    <definedName name="lblCompanyStatus" localSheetId="15">#REF!</definedName>
    <definedName name="lblCompanyStatus" localSheetId="12">#REF!</definedName>
    <definedName name="lblCompanyStatus" localSheetId="8">#REF!</definedName>
    <definedName name="lblCompanyStatus" localSheetId="3">#REF!</definedName>
    <definedName name="lblCompanyStatus" localSheetId="13">#REF!</definedName>
    <definedName name="lblCompanyStatus" localSheetId="14">#REF!</definedName>
    <definedName name="lblCompanyStatus" localSheetId="4">#REF!</definedName>
    <definedName name="lblCompanyStatus">#REF!</definedName>
    <definedName name="lblDatabaseStatus" localSheetId="15">#REF!</definedName>
    <definedName name="lblDatabaseStatus" localSheetId="12">#REF!</definedName>
    <definedName name="lblDatabaseStatus" localSheetId="8">#REF!</definedName>
    <definedName name="lblDatabaseStatus" localSheetId="3">#REF!</definedName>
    <definedName name="lblDatabaseStatus" localSheetId="13">#REF!</definedName>
    <definedName name="lblDatabaseStatus" localSheetId="14">#REF!</definedName>
    <definedName name="lblDatabaseStatus" localSheetId="4">#REF!</definedName>
    <definedName name="lblDatabaseStatus">#REF!</definedName>
    <definedName name="lblPullStatus" localSheetId="15">#REF!</definedName>
    <definedName name="lblPullStatus" localSheetId="12">#REF!</definedName>
    <definedName name="lblPullStatus" localSheetId="8">#REF!</definedName>
    <definedName name="lblPullStatus" localSheetId="3">#REF!</definedName>
    <definedName name="lblPullStatus" localSheetId="13">#REF!</definedName>
    <definedName name="lblPullStatus" localSheetId="14">#REF!</definedName>
    <definedName name="lblPullStatus" localSheetId="4">#REF!</definedName>
    <definedName name="lblPullStatus">#REF!</definedName>
    <definedName name="lllllllllllllllllllll" localSheetId="15">#REF!</definedName>
    <definedName name="lllllllllllllllllllll" localSheetId="12">#REF!</definedName>
    <definedName name="lllllllllllllllllllll" localSheetId="8">#REF!</definedName>
    <definedName name="lllllllllllllllllllll" localSheetId="3">#REF!</definedName>
    <definedName name="lllllllllllllllllllll" localSheetId="13">#REF!</definedName>
    <definedName name="lllllllllllllllllllll" localSheetId="14">#REF!</definedName>
    <definedName name="lllllllllllllllllllll">#REF!</definedName>
    <definedName name="MainDataEnd" localSheetId="15">#REF!</definedName>
    <definedName name="MainDataEnd" localSheetId="12">#REF!</definedName>
    <definedName name="MainDataEnd" localSheetId="8">#REF!</definedName>
    <definedName name="MainDataEnd" localSheetId="3">#REF!</definedName>
    <definedName name="MainDataEnd" localSheetId="13">#REF!</definedName>
    <definedName name="MainDataEnd" localSheetId="14">#REF!</definedName>
    <definedName name="MainDataEnd" localSheetId="4">#REF!</definedName>
    <definedName name="MainDataEnd">#REF!</definedName>
    <definedName name="MainDataStart" localSheetId="15">#REF!</definedName>
    <definedName name="MainDataStart" localSheetId="12">#REF!</definedName>
    <definedName name="MainDataStart" localSheetId="8">#REF!</definedName>
    <definedName name="MainDataStart" localSheetId="3">#REF!</definedName>
    <definedName name="MainDataStart" localSheetId="13">#REF!</definedName>
    <definedName name="MainDataStart" localSheetId="14">#REF!</definedName>
    <definedName name="MainDataStart" localSheetId="4">#REF!</definedName>
    <definedName name="MainDataStart">#REF!</definedName>
    <definedName name="MapKeyStart" localSheetId="15">#REF!</definedName>
    <definedName name="MapKeyStart" localSheetId="12">#REF!</definedName>
    <definedName name="MapKeyStart" localSheetId="8">#REF!</definedName>
    <definedName name="MapKeyStart" localSheetId="3">#REF!</definedName>
    <definedName name="MapKeyStart" localSheetId="13">#REF!</definedName>
    <definedName name="MapKeyStart" localSheetId="14">#REF!</definedName>
    <definedName name="MapKeyStart" localSheetId="4">#REF!</definedName>
    <definedName name="MapKeyStart">#REF!</definedName>
    <definedName name="master_def" localSheetId="15">#REF!</definedName>
    <definedName name="master_def" localSheetId="12">#REF!</definedName>
    <definedName name="master_def" localSheetId="8">#REF!</definedName>
    <definedName name="master_def" localSheetId="3">#REF!</definedName>
    <definedName name="master_def" localSheetId="13">#REF!</definedName>
    <definedName name="master_def" localSheetId="14">#REF!</definedName>
    <definedName name="master_def">#REF!</definedName>
    <definedName name="MemoAttachment" localSheetId="15">#REF!</definedName>
    <definedName name="MemoAttachment" localSheetId="3">#REF!</definedName>
    <definedName name="MemoAttachment" localSheetId="14">#REF!</definedName>
    <definedName name="MemoAttachment">#REF!</definedName>
    <definedName name="MetaSet">[1]Orientation!$C$22</definedName>
    <definedName name="MonthList">'[12]Lookup Tables'!$A$1:$A$13</definedName>
    <definedName name="NewOnlyOrg">#N/A</definedName>
    <definedName name="NOTES" localSheetId="15">#REF!</definedName>
    <definedName name="NOTES" localSheetId="12">#REF!</definedName>
    <definedName name="NOTES" localSheetId="8">#REF!</definedName>
    <definedName name="NOTES" localSheetId="3">#REF!</definedName>
    <definedName name="NOTES" localSheetId="13">#REF!</definedName>
    <definedName name="NOTES" localSheetId="14">#REF!</definedName>
    <definedName name="NOTES" localSheetId="4">#REF!</definedName>
    <definedName name="NOTES">#REF!</definedName>
    <definedName name="NR" localSheetId="15">#REF!</definedName>
    <definedName name="NR" localSheetId="3">#REF!</definedName>
    <definedName name="NR" localSheetId="14">#REF!</definedName>
    <definedName name="NR">#REF!</definedName>
    <definedName name="OfficerSalary">#N/A</definedName>
    <definedName name="OffsetAcctBil">[15]JEexport!$L$10</definedName>
    <definedName name="OffsetAcctPmt">[15]JEexport!$L$9</definedName>
    <definedName name="Org11_13">#N/A</definedName>
    <definedName name="Org7_10">#N/A</definedName>
    <definedName name="p" localSheetId="15">#REF!</definedName>
    <definedName name="p" localSheetId="12">#REF!</definedName>
    <definedName name="p" localSheetId="8">#REF!</definedName>
    <definedName name="p" localSheetId="3">#REF!</definedName>
    <definedName name="p" localSheetId="13">#REF!</definedName>
    <definedName name="p" localSheetId="14">#REF!</definedName>
    <definedName name="p">#REF!</definedName>
    <definedName name="PAGE_1" localSheetId="15">#REF!</definedName>
    <definedName name="PAGE_1" localSheetId="12">#REF!</definedName>
    <definedName name="PAGE_1" localSheetId="8">#REF!</definedName>
    <definedName name="PAGE_1" localSheetId="3">#REF!</definedName>
    <definedName name="PAGE_1" localSheetId="13">#REF!</definedName>
    <definedName name="PAGE_1" localSheetId="14">#REF!</definedName>
    <definedName name="PAGE_1">#REF!</definedName>
    <definedName name="pBatchID" localSheetId="15">#REF!</definedName>
    <definedName name="pBatchID" localSheetId="12">#REF!</definedName>
    <definedName name="pBatchID" localSheetId="8">#REF!</definedName>
    <definedName name="pBatchID" localSheetId="3">#REF!</definedName>
    <definedName name="pBatchID" localSheetId="13">#REF!</definedName>
    <definedName name="pBatchID" localSheetId="14">#REF!</definedName>
    <definedName name="pBatchID" localSheetId="4">#REF!</definedName>
    <definedName name="pBatchID">#REF!</definedName>
    <definedName name="pBillArea" localSheetId="15">#REF!</definedName>
    <definedName name="pBillArea" localSheetId="12">#REF!</definedName>
    <definedName name="pBillArea" localSheetId="8">#REF!</definedName>
    <definedName name="pBillArea" localSheetId="3">#REF!</definedName>
    <definedName name="pBillArea" localSheetId="13">#REF!</definedName>
    <definedName name="pBillArea" localSheetId="14">#REF!</definedName>
    <definedName name="pBillArea" localSheetId="4">#REF!</definedName>
    <definedName name="pBillArea">#REF!</definedName>
    <definedName name="pBillCycle" localSheetId="15">#REF!</definedName>
    <definedName name="pBillCycle" localSheetId="12">#REF!</definedName>
    <definedName name="pBillCycle" localSheetId="8">#REF!</definedName>
    <definedName name="pBillCycle" localSheetId="3">#REF!</definedName>
    <definedName name="pBillCycle" localSheetId="13">#REF!</definedName>
    <definedName name="pBillCycle" localSheetId="14">#REF!</definedName>
    <definedName name="pBillCycle" localSheetId="4">#REF!</definedName>
    <definedName name="pBillCycle">#REF!</definedName>
    <definedName name="pCategory" localSheetId="15">#REF!</definedName>
    <definedName name="pCategory" localSheetId="12">#REF!</definedName>
    <definedName name="pCategory" localSheetId="8">#REF!</definedName>
    <definedName name="pCategory" localSheetId="3">#REF!</definedName>
    <definedName name="pCategory" localSheetId="13">#REF!</definedName>
    <definedName name="pCategory" localSheetId="14">#REF!</definedName>
    <definedName name="pCategory" localSheetId="4">#REF!</definedName>
    <definedName name="pCategory">#REF!</definedName>
    <definedName name="pCompany" localSheetId="15">#REF!</definedName>
    <definedName name="pCompany" localSheetId="12">#REF!</definedName>
    <definedName name="pCompany" localSheetId="8">#REF!</definedName>
    <definedName name="pCompany" localSheetId="3">#REF!</definedName>
    <definedName name="pCompany" localSheetId="13">#REF!</definedName>
    <definedName name="pCompany" localSheetId="14">#REF!</definedName>
    <definedName name="pCompany" localSheetId="4">#REF!</definedName>
    <definedName name="pCompany">#REF!</definedName>
    <definedName name="pCustomerNumber" localSheetId="15">#REF!</definedName>
    <definedName name="pCustomerNumber" localSheetId="12">#REF!</definedName>
    <definedName name="pCustomerNumber" localSheetId="8">#REF!</definedName>
    <definedName name="pCustomerNumber" localSheetId="3">#REF!</definedName>
    <definedName name="pCustomerNumber" localSheetId="13">#REF!</definedName>
    <definedName name="pCustomerNumber" localSheetId="14">#REF!</definedName>
    <definedName name="pCustomerNumber" localSheetId="4">#REF!</definedName>
    <definedName name="pCustomerNumber">#REF!</definedName>
    <definedName name="pDatabase" localSheetId="15">#REF!</definedName>
    <definedName name="pDatabase" localSheetId="12">#REF!</definedName>
    <definedName name="pDatabase" localSheetId="8">#REF!</definedName>
    <definedName name="pDatabase" localSheetId="3">#REF!</definedName>
    <definedName name="pDatabase" localSheetId="13">#REF!</definedName>
    <definedName name="pDatabase" localSheetId="14">#REF!</definedName>
    <definedName name="pDatabase" localSheetId="4">#REF!</definedName>
    <definedName name="pDatabase">#REF!</definedName>
    <definedName name="pEndPostDate" localSheetId="15">#REF!</definedName>
    <definedName name="pEndPostDate" localSheetId="12">#REF!</definedName>
    <definedName name="pEndPostDate" localSheetId="8">#REF!</definedName>
    <definedName name="pEndPostDate" localSheetId="3">#REF!</definedName>
    <definedName name="pEndPostDate" localSheetId="13">#REF!</definedName>
    <definedName name="pEndPostDate" localSheetId="14">#REF!</definedName>
    <definedName name="pEndPostDate" localSheetId="4">#REF!</definedName>
    <definedName name="pEndPostDate">#REF!</definedName>
    <definedName name="Period" localSheetId="15">#REF!</definedName>
    <definedName name="Period" localSheetId="12">#REF!</definedName>
    <definedName name="Period" localSheetId="8">#REF!</definedName>
    <definedName name="Period" localSheetId="3">#REF!</definedName>
    <definedName name="Period" localSheetId="13">#REF!</definedName>
    <definedName name="Period" localSheetId="14">#REF!</definedName>
    <definedName name="Period">#REF!</definedName>
    <definedName name="pMonth" localSheetId="15">#REF!</definedName>
    <definedName name="pMonth" localSheetId="12">#REF!</definedName>
    <definedName name="pMonth" localSheetId="8">#REF!</definedName>
    <definedName name="pMonth" localSheetId="3">#REF!</definedName>
    <definedName name="pMonth" localSheetId="13">#REF!</definedName>
    <definedName name="pMonth" localSheetId="14">#REF!</definedName>
    <definedName name="pMonth" localSheetId="4">#REF!</definedName>
    <definedName name="pMonth">#REF!</definedName>
    <definedName name="pOnlyShowLastTranx" localSheetId="15">#REF!</definedName>
    <definedName name="pOnlyShowLastTranx" localSheetId="12">#REF!</definedName>
    <definedName name="pOnlyShowLastTranx" localSheetId="8">#REF!</definedName>
    <definedName name="pOnlyShowLastTranx" localSheetId="3">#REF!</definedName>
    <definedName name="pOnlyShowLastTranx" localSheetId="13">#REF!</definedName>
    <definedName name="pOnlyShowLastTranx" localSheetId="14">#REF!</definedName>
    <definedName name="pOnlyShowLastTranx" localSheetId="4">#REF!</definedName>
    <definedName name="pOnlyShowLastTranx">#REF!</definedName>
    <definedName name="Posting">'38000 Other Rev'!$N$15</definedName>
    <definedName name="primtbl">[1]Orientation!$C$23</definedName>
    <definedName name="_xlnm.Print_Area" localSheetId="0">'2025 BS'!$A$1:$AE$169</definedName>
    <definedName name="_xlnm.Print_Area" localSheetId="26">'2025 BS 3-31-2015'!$A$3:$AE$168</definedName>
    <definedName name="_xlnm.Print_Area" localSheetId="1">'2025 IS'!$A$1:$AG$262</definedName>
    <definedName name="_xlnm.Print_Area" localSheetId="25">'38000 Other Rev'!$A:$O</definedName>
    <definedName name="_xlnm.Print_Area" localSheetId="2">'Consolidated IS'!$A$1:$M$181</definedName>
    <definedName name="_xlnm.Print_Area" localSheetId="21">'Corp-OH'!$A$5:$G$92</definedName>
    <definedName name="_xlnm.Print_Area" localSheetId="17">'Depr Summary'!$A$2:$I$34</definedName>
    <definedName name="_xlnm.Print_Area" localSheetId="18">Depreciation!$A$1:$AA$81</definedName>
    <definedName name="_xlnm.Print_Area" localSheetId="16">'DF Schedule'!$A$1:$O$72</definedName>
    <definedName name="_xlnm.Print_Area" localSheetId="15">#REF!</definedName>
    <definedName name="_xlnm.Print_Area" localSheetId="11">'G-48 Price Out'!$A$1:$N$152</definedName>
    <definedName name="_xlnm.Print_Area" localSheetId="12">#REF!</definedName>
    <definedName name="_xlnm.Print_Area" localSheetId="8">LG!$B$1:$K$40</definedName>
    <definedName name="_xlnm.Print_Area" localSheetId="9">'LG G-48'!$A$1:$K$40</definedName>
    <definedName name="_xlnm.Print_Area" localSheetId="10">'LG G-51'!$A$1:$K$40</definedName>
    <definedName name="_xlnm.Print_Area" localSheetId="19">'Payroll Detail'!$A$1:$W$37</definedName>
    <definedName name="_xlnm.Print_Area" localSheetId="3">'Pro-forma'!$A$1:$O$65</definedName>
    <definedName name="_xlnm.Print_Area" localSheetId="13">'Rate Schedule G-48'!$A$1:$G$232</definedName>
    <definedName name="_xlnm.Print_Area" localSheetId="14">#REF!</definedName>
    <definedName name="_xlnm.Print_Area" localSheetId="22">'Region OH Calc'!$A$1:$AK$47</definedName>
    <definedName name="_xlnm.Print_Area" localSheetId="4">'Restating Adj'!$A$3:$N$60</definedName>
    <definedName name="_xlnm.Print_Area" localSheetId="5">'Restating Expl'!$A$1:$G$157</definedName>
    <definedName name="_xlnm.Print_Area">#REF!</definedName>
    <definedName name="Print_Area_MI" localSheetId="15">#REF!</definedName>
    <definedName name="Print_Area_MI" localSheetId="12">#REF!</definedName>
    <definedName name="Print_Area_MI" localSheetId="8">#REF!</definedName>
    <definedName name="Print_Area_MI" localSheetId="3">#REF!</definedName>
    <definedName name="Print_Area_MI" localSheetId="13">#REF!</definedName>
    <definedName name="Print_Area_MI" localSheetId="14">#REF!</definedName>
    <definedName name="Print_Area_MI">#REF!</definedName>
    <definedName name="Print_Area1" localSheetId="15">#REF!</definedName>
    <definedName name="Print_Area1" localSheetId="12">#REF!</definedName>
    <definedName name="Print_Area1" localSheetId="8">#REF!</definedName>
    <definedName name="Print_Area1" localSheetId="3">#REF!</definedName>
    <definedName name="Print_Area1" localSheetId="13">#REF!</definedName>
    <definedName name="Print_Area1" localSheetId="14">#REF!</definedName>
    <definedName name="Print_Area1">#REF!</definedName>
    <definedName name="Print_Area2" localSheetId="15">#REF!</definedName>
    <definedName name="Print_Area2" localSheetId="12">#REF!</definedName>
    <definedName name="Print_Area2" localSheetId="8">#REF!</definedName>
    <definedName name="Print_Area2" localSheetId="3">#REF!</definedName>
    <definedName name="Print_Area2" localSheetId="13">#REF!</definedName>
    <definedName name="Print_Area2" localSheetId="14">#REF!</definedName>
    <definedName name="Print_Area2">#REF!</definedName>
    <definedName name="Print_Area3" localSheetId="15">#REF!</definedName>
    <definedName name="Print_Area3" localSheetId="12">#REF!</definedName>
    <definedName name="Print_Area3" localSheetId="8">#REF!</definedName>
    <definedName name="Print_Area3" localSheetId="3">#REF!</definedName>
    <definedName name="Print_Area3" localSheetId="13">#REF!</definedName>
    <definedName name="Print_Area3" localSheetId="14">#REF!</definedName>
    <definedName name="Print_Area3">#REF!</definedName>
    <definedName name="Print_Area5" localSheetId="15">#REF!</definedName>
    <definedName name="Print_Area5" localSheetId="12">#REF!</definedName>
    <definedName name="Print_Area5" localSheetId="8">#REF!</definedName>
    <definedName name="Print_Area5" localSheetId="3">#REF!</definedName>
    <definedName name="Print_Area5" localSheetId="13">#REF!</definedName>
    <definedName name="Print_Area5" localSheetId="14">#REF!</definedName>
    <definedName name="Print_Area5">#REF!</definedName>
    <definedName name="_xlnm.Print_Titles" localSheetId="0">'2025 BS'!$A:$D,'2025 BS'!$1:$5</definedName>
    <definedName name="_xlnm.Print_Titles" localSheetId="26">'2025 BS 3-31-2015'!$A:$A,'2025 BS 3-31-2015'!$3:$9</definedName>
    <definedName name="_xlnm.Print_Titles" localSheetId="1">'2025 IS'!$A:$E,'2025 IS'!$1:$6</definedName>
    <definedName name="_xlnm.Print_Titles" localSheetId="25">'38000 Other Rev'!$B:$B,'38000 Other Rev'!$9:$20</definedName>
    <definedName name="_xlnm.Print_Titles" localSheetId="2">'Consolidated IS'!$1:$6</definedName>
    <definedName name="_xlnm.Print_Titles" localSheetId="18">Depreciation!$1:$10</definedName>
    <definedName name="_xlnm.Print_Titles" localSheetId="15">'G-48 DF Calc'!$5:$6</definedName>
    <definedName name="_xlnm.Print_Titles" localSheetId="11">'G-48 Price Out'!$1:$6</definedName>
    <definedName name="_xlnm.Print_Titles" localSheetId="12">'G-51 Price Out'!$1:$6</definedName>
    <definedName name="_xlnm.Print_Titles" localSheetId="13">'Rate Schedule G-48'!$5:$5</definedName>
    <definedName name="_xlnm.Print_Titles" localSheetId="22">'Region OH Calc'!$A:$E,'Region OH Calc'!$1:$6</definedName>
    <definedName name="_xlnm.Print_Titles" localSheetId="5">'Restating Expl'!$1:$2</definedName>
    <definedName name="Print1" localSheetId="15">#REF!</definedName>
    <definedName name="Print1" localSheetId="12">#REF!</definedName>
    <definedName name="Print1" localSheetId="8">#REF!</definedName>
    <definedName name="Print1" localSheetId="3">#REF!</definedName>
    <definedName name="Print1" localSheetId="13">#REF!</definedName>
    <definedName name="Print1" localSheetId="14">#REF!</definedName>
    <definedName name="Print1">#REF!</definedName>
    <definedName name="Print2" localSheetId="15">#REF!</definedName>
    <definedName name="Print2" localSheetId="12">#REF!</definedName>
    <definedName name="Print2" localSheetId="8">#REF!</definedName>
    <definedName name="Print2" localSheetId="3">#REF!</definedName>
    <definedName name="Print2" localSheetId="13">#REF!</definedName>
    <definedName name="Print2" localSheetId="14">#REF!</definedName>
    <definedName name="Print2">#REF!</definedName>
    <definedName name="Print5" localSheetId="15">#REF!</definedName>
    <definedName name="Print5" localSheetId="12">#REF!</definedName>
    <definedName name="Print5" localSheetId="8">#REF!</definedName>
    <definedName name="Print5" localSheetId="3">#REF!</definedName>
    <definedName name="Print5" localSheetId="13">#REF!</definedName>
    <definedName name="Print5" localSheetId="14">#REF!</definedName>
    <definedName name="Print5">#REF!</definedName>
    <definedName name="ProRev" localSheetId="14">'[7]Pacific Regulated - Price Out'!$M$49</definedName>
    <definedName name="ProRev">'[8]Pacific Regulated - Price Out'!$M$49</definedName>
    <definedName name="ProRev_com" localSheetId="14">'[7]Pacific Regulated - Price Out'!$M$213</definedName>
    <definedName name="ProRev_com">'[8]Pacific Regulated - Price Out'!$M$213</definedName>
    <definedName name="ProRev_mfr" localSheetId="14">'[7]Pacific Regulated - Price Out'!$M$221</definedName>
    <definedName name="ProRev_mfr">'[8]Pacific Regulated - Price Out'!$M$221</definedName>
    <definedName name="ProRev_ro" localSheetId="14">'[7]Pacific Regulated - Price Out'!$M$281</definedName>
    <definedName name="ProRev_ro">'[8]Pacific Regulated - Price Out'!$M$281</definedName>
    <definedName name="ProRev_rr" localSheetId="14">'[7]Pacific Regulated - Price Out'!$M$58</definedName>
    <definedName name="ProRev_rr">'[8]Pacific Regulated - Price Out'!$M$58</definedName>
    <definedName name="ProRev_yw" localSheetId="14">'[7]Pacific Regulated - Price Out'!$M$69</definedName>
    <definedName name="ProRev_yw">'[8]Pacific Regulated - Price Out'!$M$69</definedName>
    <definedName name="pServer" localSheetId="15">#REF!</definedName>
    <definedName name="pServer" localSheetId="12">#REF!</definedName>
    <definedName name="pServer" localSheetId="8">#REF!</definedName>
    <definedName name="pServer" localSheetId="3">#REF!</definedName>
    <definedName name="pServer" localSheetId="13">#REF!</definedName>
    <definedName name="pServer" localSheetId="14">#REF!</definedName>
    <definedName name="pServer" localSheetId="4">#REF!</definedName>
    <definedName name="pServer">#REF!</definedName>
    <definedName name="pServiceCode" localSheetId="15">#REF!</definedName>
    <definedName name="pServiceCode" localSheetId="12">#REF!</definedName>
    <definedName name="pServiceCode" localSheetId="8">#REF!</definedName>
    <definedName name="pServiceCode" localSheetId="3">#REF!</definedName>
    <definedName name="pServiceCode" localSheetId="13">#REF!</definedName>
    <definedName name="pServiceCode" localSheetId="14">#REF!</definedName>
    <definedName name="pServiceCode" localSheetId="4">#REF!</definedName>
    <definedName name="pServiceCode">#REF!</definedName>
    <definedName name="pShowAllUnposted" localSheetId="15">#REF!</definedName>
    <definedName name="pShowAllUnposted" localSheetId="12">#REF!</definedName>
    <definedName name="pShowAllUnposted" localSheetId="8">#REF!</definedName>
    <definedName name="pShowAllUnposted" localSheetId="3">#REF!</definedName>
    <definedName name="pShowAllUnposted" localSheetId="13">#REF!</definedName>
    <definedName name="pShowAllUnposted" localSheetId="14">#REF!</definedName>
    <definedName name="pShowAllUnposted" localSheetId="4">#REF!</definedName>
    <definedName name="pShowAllUnposted">#REF!</definedName>
    <definedName name="pShowCustomerDetail" localSheetId="15">#REF!</definedName>
    <definedName name="pShowCustomerDetail" localSheetId="12">#REF!</definedName>
    <definedName name="pShowCustomerDetail" localSheetId="8">#REF!</definedName>
    <definedName name="pShowCustomerDetail" localSheetId="3">#REF!</definedName>
    <definedName name="pShowCustomerDetail" localSheetId="13">#REF!</definedName>
    <definedName name="pShowCustomerDetail" localSheetId="14">#REF!</definedName>
    <definedName name="pShowCustomerDetail" localSheetId="4">#REF!</definedName>
    <definedName name="pShowCustomerDetail">#REF!</definedName>
    <definedName name="pSortOption" localSheetId="15">#REF!</definedName>
    <definedName name="pSortOption" localSheetId="12">#REF!</definedName>
    <definedName name="pSortOption" localSheetId="8">#REF!</definedName>
    <definedName name="pSortOption" localSheetId="3">#REF!</definedName>
    <definedName name="pSortOption" localSheetId="13">#REF!</definedName>
    <definedName name="pSortOption" localSheetId="14">#REF!</definedName>
    <definedName name="pSortOption" localSheetId="4">#REF!</definedName>
    <definedName name="pSortOption">#REF!</definedName>
    <definedName name="pStartPostDate" localSheetId="15">#REF!</definedName>
    <definedName name="pStartPostDate" localSheetId="12">#REF!</definedName>
    <definedName name="pStartPostDate" localSheetId="8">#REF!</definedName>
    <definedName name="pStartPostDate" localSheetId="3">#REF!</definedName>
    <definedName name="pStartPostDate" localSheetId="13">#REF!</definedName>
    <definedName name="pStartPostDate" localSheetId="14">#REF!</definedName>
    <definedName name="pStartPostDate" localSheetId="4">#REF!</definedName>
    <definedName name="pStartPostDate">#REF!</definedName>
    <definedName name="pTransType" localSheetId="15">#REF!</definedName>
    <definedName name="pTransType" localSheetId="12">#REF!</definedName>
    <definedName name="pTransType" localSheetId="8">#REF!</definedName>
    <definedName name="pTransType" localSheetId="3">#REF!</definedName>
    <definedName name="pTransType" localSheetId="13">#REF!</definedName>
    <definedName name="pTransType" localSheetId="14">#REF!</definedName>
    <definedName name="pTransType" localSheetId="4">#REF!</definedName>
    <definedName name="pTransType">#REF!</definedName>
    <definedName name="RCW_81.04.080">#N/A</definedName>
    <definedName name="RecyDisposal">#N/A</definedName>
    <definedName name="RelatedSalary">#N/A</definedName>
    <definedName name="report_type">[1]Orientation!$C$24</definedName>
    <definedName name="ReportNames" localSheetId="0">[16]ControlPanel!$S$2:$S$16</definedName>
    <definedName name="ReportNames" localSheetId="26">[16]ControlPanel!$S$2:$S$16</definedName>
    <definedName name="ReportNames" localSheetId="4">[11]ControlPanel!$X$2:$X$8</definedName>
    <definedName name="ReportNames">[17]ControlPanel!$S$2:$S$16</definedName>
    <definedName name="ReportVersion">[1]Settings!$D$5</definedName>
    <definedName name="RetainedEarnings" localSheetId="15">#REF!</definedName>
    <definedName name="RetainedEarnings" localSheetId="12">#REF!</definedName>
    <definedName name="RetainedEarnings" localSheetId="8">#REF!</definedName>
    <definedName name="RetainedEarnings" localSheetId="3">#REF!</definedName>
    <definedName name="RetainedEarnings" localSheetId="13">#REF!</definedName>
    <definedName name="RetainedEarnings" localSheetId="14">#REF!</definedName>
    <definedName name="RetainedEarnings">#REF!</definedName>
    <definedName name="RevCust" localSheetId="15">[18]RevenuesCust!#REF!</definedName>
    <definedName name="RevCust" localSheetId="12">[19]RevenuesCust!#REF!</definedName>
    <definedName name="RevCust" localSheetId="8">'[20]RevenuesCust, pg 8'!#REF!</definedName>
    <definedName name="RevCust" localSheetId="3">[18]RevenuesCust!#REF!</definedName>
    <definedName name="RevCust" localSheetId="13">[18]RevenuesCust!#REF!</definedName>
    <definedName name="RevCust" localSheetId="14">[21]RevenuesCust!#REF!</definedName>
    <definedName name="RevCust">[18]RevenuesCust!#REF!</definedName>
    <definedName name="RevCustomer" localSheetId="15">#REF!</definedName>
    <definedName name="RevCustomer" localSheetId="3">#REF!</definedName>
    <definedName name="RevCustomer" localSheetId="14">#REF!</definedName>
    <definedName name="RevCustomer">#REF!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15">#REF!</definedName>
    <definedName name="sortcol" localSheetId="12">#REF!</definedName>
    <definedName name="sortcol" localSheetId="8">#REF!</definedName>
    <definedName name="sortcol" localSheetId="3">#REF!</definedName>
    <definedName name="sortcol" localSheetId="13">#REF!</definedName>
    <definedName name="sortcol" localSheetId="14">#REF!</definedName>
    <definedName name="sortcol">#REF!</definedName>
    <definedName name="sSRCDate" localSheetId="15">'[22]Feb''12 FAR Data'!#REF!</definedName>
    <definedName name="sSRCDate" localSheetId="12">'[22]Feb''12 FAR Data'!#REF!</definedName>
    <definedName name="sSRCDate" localSheetId="8">'[23]Feb''12 FAR Data'!#REF!</definedName>
    <definedName name="sSRCDate" localSheetId="3">'[23]Feb''12 FAR Data'!#REF!</definedName>
    <definedName name="sSRCDate" localSheetId="13">'[23]Feb''12 FAR Data'!#REF!</definedName>
    <definedName name="sSRCDate" localSheetId="14">'[24]Feb''12 FAR Data'!#REF!</definedName>
    <definedName name="sSRCDate">'[22]Feb''12 FAR Data'!#REF!</definedName>
    <definedName name="SubSystems">'38000 Other Rev'!$K$15</definedName>
    <definedName name="Supplemental_filter">[1]Settings!$C$31</definedName>
    <definedName name="SWDisposal">#N/A</definedName>
    <definedName name="System" localSheetId="0">'2025 BS'!#REF!</definedName>
    <definedName name="System" localSheetId="26">'2025 BS 3-31-2015'!#REF!</definedName>
    <definedName name="System" localSheetId="1">'2025 IS'!$O$2</definedName>
    <definedName name="System" localSheetId="22">'Region OH Calc'!$O$2</definedName>
    <definedName name="System">[25]BS_Close!$V$8</definedName>
    <definedName name="Systems">'38000 Other Rev'!$K$14</definedName>
    <definedName name="TemplateEnd" localSheetId="15">#REF!</definedName>
    <definedName name="TemplateEnd" localSheetId="12">#REF!</definedName>
    <definedName name="TemplateEnd" localSheetId="8">#REF!</definedName>
    <definedName name="TemplateEnd" localSheetId="3">#REF!</definedName>
    <definedName name="TemplateEnd" localSheetId="13">#REF!</definedName>
    <definedName name="TemplateEnd" localSheetId="14">#REF!</definedName>
    <definedName name="TemplateEnd" localSheetId="4">#REF!</definedName>
    <definedName name="TemplateEnd">#REF!</definedName>
    <definedName name="TemplateStart" localSheetId="15">#REF!</definedName>
    <definedName name="TemplateStart" localSheetId="12">#REF!</definedName>
    <definedName name="TemplateStart" localSheetId="8">#REF!</definedName>
    <definedName name="TemplateStart" localSheetId="3">#REF!</definedName>
    <definedName name="TemplateStart" localSheetId="13">#REF!</definedName>
    <definedName name="TemplateStart" localSheetId="14">#REF!</definedName>
    <definedName name="TemplateStart" localSheetId="4">#REF!</definedName>
    <definedName name="TemplateStart">#REF!</definedName>
    <definedName name="TheTable" localSheetId="15">#REF!</definedName>
    <definedName name="TheTable" localSheetId="12">#REF!</definedName>
    <definedName name="TheTable" localSheetId="8">#REF!</definedName>
    <definedName name="TheTable" localSheetId="3">#REF!</definedName>
    <definedName name="TheTable" localSheetId="13">#REF!</definedName>
    <definedName name="TheTable" localSheetId="14">#REF!</definedName>
    <definedName name="TheTable">#REF!</definedName>
    <definedName name="TheTableOLD" localSheetId="15">#REF!</definedName>
    <definedName name="TheTableOLD" localSheetId="12">#REF!</definedName>
    <definedName name="TheTableOLD" localSheetId="8">#REF!</definedName>
    <definedName name="TheTableOLD" localSheetId="3">#REF!</definedName>
    <definedName name="TheTableOLD" localSheetId="13">#REF!</definedName>
    <definedName name="TheTableOLD" localSheetId="14">#REF!</definedName>
    <definedName name="TheTableOLD">#REF!</definedName>
    <definedName name="timeseries">[1]Orientation!$B$6:$C$13</definedName>
    <definedName name="ToMonth">'38000 Other Rev'!$E$8</definedName>
    <definedName name="Total_Comm" localSheetId="14">'[9]Tariff Rate Sheet'!$L$214</definedName>
    <definedName name="Total_Comm">'[10]Tariff Rate Sheet'!$L$214</definedName>
    <definedName name="Total_DB" localSheetId="14">'[9]Tariff Rate Sheet'!$L$278</definedName>
    <definedName name="Total_DB">'[10]Tariff Rate Sheet'!$L$278</definedName>
    <definedName name="Total_Resi" localSheetId="14">'[9]Tariff Rate Sheet'!$L$107</definedName>
    <definedName name="Total_Resi">'[10]Tariff Rate Sheet'!$L$107</definedName>
    <definedName name="Transactions" localSheetId="15">#REF!</definedName>
    <definedName name="Transactions" localSheetId="12">#REF!</definedName>
    <definedName name="Transactions" localSheetId="8">#REF!</definedName>
    <definedName name="Transactions" localSheetId="3">#REF!</definedName>
    <definedName name="Transactions" localSheetId="13">#REF!</definedName>
    <definedName name="Transactions" localSheetId="14">#REF!</definedName>
    <definedName name="Transactions">#REF!</definedName>
    <definedName name="VendorCode">'38000 Other Rev'!$N$12</definedName>
    <definedName name="Version" localSheetId="15">[12]Data!#REF!</definedName>
    <definedName name="Version" localSheetId="3">[12]Data!#REF!</definedName>
    <definedName name="Version">[12]Data!#REF!</definedName>
    <definedName name="WTable" localSheetId="15">#REF!</definedName>
    <definedName name="WTable" localSheetId="12">#REF!</definedName>
    <definedName name="WTable" localSheetId="8">#REF!</definedName>
    <definedName name="WTable" localSheetId="3">#REF!</definedName>
    <definedName name="WTable" localSheetId="13">#REF!</definedName>
    <definedName name="WTable" localSheetId="14">#REF!</definedName>
    <definedName name="WTable">#REF!</definedName>
    <definedName name="WTableOld" localSheetId="15">#REF!</definedName>
    <definedName name="WTableOld" localSheetId="12">#REF!</definedName>
    <definedName name="WTableOld" localSheetId="8">#REF!</definedName>
    <definedName name="WTableOld" localSheetId="3">#REF!</definedName>
    <definedName name="WTableOld" localSheetId="13">#REF!</definedName>
    <definedName name="WTableOld" localSheetId="14">#REF!</definedName>
    <definedName name="WTableOld">#REF!</definedName>
    <definedName name="ww" localSheetId="15">#REF!</definedName>
    <definedName name="ww" localSheetId="3">#REF!</definedName>
    <definedName name="ww" localSheetId="14">#REF!</definedName>
    <definedName name="ww">#REF!</definedName>
    <definedName name="xperiod">[1]Orientation!$G$15</definedName>
    <definedName name="xtabin" localSheetId="15">[4]Hidden!#REF!</definedName>
    <definedName name="xtabin" localSheetId="12">[5]Hidden!#REF!</definedName>
    <definedName name="xtabin" localSheetId="8">[4]Hidden!#REF!</definedName>
    <definedName name="xtabin" localSheetId="3">[4]Hidden!#REF!</definedName>
    <definedName name="xtabin" localSheetId="13">[4]Hidden!#REF!</definedName>
    <definedName name="xtabin" localSheetId="14">[6]Hidden!#REF!</definedName>
    <definedName name="xtabin">[4]Hidden!#REF!</definedName>
    <definedName name="xx" localSheetId="15">#REF!</definedName>
    <definedName name="xx" localSheetId="12">#REF!</definedName>
    <definedName name="xx" localSheetId="8">#REF!</definedName>
    <definedName name="xx" localSheetId="3">#REF!</definedName>
    <definedName name="xx" localSheetId="13">#REF!</definedName>
    <definedName name="xx" localSheetId="14">#REF!</definedName>
    <definedName name="xx">#REF!</definedName>
    <definedName name="xxx" localSheetId="15">#REF!</definedName>
    <definedName name="xxx" localSheetId="3">#REF!</definedName>
    <definedName name="xxx" localSheetId="14">#REF!</definedName>
    <definedName name="xxx">#REF!</definedName>
    <definedName name="xxxx" localSheetId="15">#REF!</definedName>
    <definedName name="xxxx" localSheetId="3">#REF!</definedName>
    <definedName name="xxxx" localSheetId="14">#REF!</definedName>
    <definedName name="xxxx">#REF!</definedName>
    <definedName name="YearMonth" localSheetId="26">'2025 BS 3-31-2015'!$A$5</definedName>
    <definedName name="YearMonth" localSheetId="1">'2025 IS'!$A$3</definedName>
    <definedName name="YearMonth" localSheetId="3">'[13]Vashon BS'!#REF!</definedName>
    <definedName name="YearMonth" localSheetId="13">'[13]Vashon BS'!#REF!</definedName>
    <definedName name="YearMonth" localSheetId="14">'[14]Vashon BS'!#REF!</definedName>
    <definedName name="YearMonth" localSheetId="22">'Region OH Calc'!$A$3</definedName>
    <definedName name="YearMonth">'2025 BS'!$A$3</definedName>
    <definedName name="YWMedWasteDisp">#N/A</definedName>
    <definedName name="yy" localSheetId="15">#REF!</definedName>
    <definedName name="yy" localSheetId="3">#REF!</definedName>
    <definedName name="yy" localSheetId="14">#REF!</definedName>
    <definedName name="yy">#REF!</definedName>
  </definedNames>
  <calcPr calcId="125725" concurrentManualCount="4"/>
</workbook>
</file>

<file path=xl/calcChain.xml><?xml version="1.0" encoding="utf-8"?>
<calcChain xmlns="http://schemas.openxmlformats.org/spreadsheetml/2006/main">
  <c r="E112" i="12"/>
  <c r="E110"/>
  <c r="E108"/>
  <c r="M28" i="27"/>
  <c r="M27"/>
  <c r="M23"/>
  <c r="M19"/>
  <c r="C13"/>
  <c r="M10"/>
  <c r="M11"/>
  <c r="M12"/>
  <c r="M13"/>
  <c r="M14"/>
  <c r="M9"/>
  <c r="C11"/>
  <c r="C10"/>
  <c r="C74" i="12"/>
  <c r="C73"/>
  <c r="G182" i="2"/>
  <c r="L180"/>
  <c r="C20" i="20"/>
  <c r="B22"/>
  <c r="B20"/>
  <c r="C22"/>
  <c r="D75" i="2"/>
  <c r="D14" i="33"/>
  <c r="D13"/>
  <c r="C13"/>
  <c r="C30"/>
  <c r="E13"/>
  <c r="E30"/>
  <c r="N48"/>
  <c r="M48"/>
  <c r="L48"/>
  <c r="K48"/>
  <c r="J48"/>
  <c r="I48"/>
  <c r="H48"/>
  <c r="G48"/>
  <c r="F48"/>
  <c r="E48"/>
  <c r="D48"/>
  <c r="C48"/>
  <c r="N47"/>
  <c r="M47"/>
  <c r="L47"/>
  <c r="K47"/>
  <c r="J47"/>
  <c r="I47"/>
  <c r="H47"/>
  <c r="G47"/>
  <c r="F47"/>
  <c r="E47"/>
  <c r="D47"/>
  <c r="C47"/>
  <c r="I13"/>
  <c r="I30"/>
  <c r="D30"/>
  <c r="H13"/>
  <c r="H30"/>
  <c r="M13"/>
  <c r="M14"/>
  <c r="M30"/>
  <c r="C174" i="2"/>
  <c r="C8" i="20" l="1"/>
  <c r="F87" i="18"/>
  <c r="F88"/>
  <c r="F89"/>
  <c r="F90"/>
  <c r="F91"/>
  <c r="F92"/>
  <c r="F93"/>
  <c r="F94"/>
  <c r="F86"/>
  <c r="F49"/>
  <c r="F50"/>
  <c r="F51"/>
  <c r="F52"/>
  <c r="F53"/>
  <c r="F54"/>
  <c r="F55"/>
  <c r="F56"/>
  <c r="F57"/>
  <c r="F58"/>
  <c r="F59"/>
  <c r="F60"/>
  <c r="F61"/>
  <c r="F62"/>
  <c r="F63"/>
  <c r="F64"/>
  <c r="F65"/>
  <c r="F66"/>
  <c r="F67"/>
  <c r="F68"/>
  <c r="F69"/>
  <c r="F70"/>
  <c r="F71"/>
  <c r="F72"/>
  <c r="F73"/>
  <c r="F74"/>
  <c r="F75"/>
  <c r="F76"/>
  <c r="F77"/>
  <c r="F78"/>
  <c r="F48"/>
  <c r="F14"/>
  <c r="F15"/>
  <c r="F16"/>
  <c r="F17"/>
  <c r="F18"/>
  <c r="F19"/>
  <c r="F20"/>
  <c r="F21"/>
  <c r="F22"/>
  <c r="F23"/>
  <c r="F24"/>
  <c r="F25"/>
  <c r="F26"/>
  <c r="F27"/>
  <c r="F28"/>
  <c r="F29"/>
  <c r="F30"/>
  <c r="F31"/>
  <c r="F32"/>
  <c r="F33"/>
  <c r="F34"/>
  <c r="F35"/>
  <c r="F36"/>
  <c r="F13"/>
  <c r="F81"/>
  <c r="F41"/>
  <c r="K133" i="17"/>
  <c r="J133"/>
  <c r="I133"/>
  <c r="K132"/>
  <c r="J132"/>
  <c r="I132"/>
  <c r="K131"/>
  <c r="J131"/>
  <c r="I131"/>
  <c r="J130"/>
  <c r="K130" s="1"/>
  <c r="I130"/>
  <c r="J129"/>
  <c r="I129"/>
  <c r="K129" s="1"/>
  <c r="J128"/>
  <c r="I128"/>
  <c r="K128" s="1"/>
  <c r="K127"/>
  <c r="J127"/>
  <c r="I127"/>
  <c r="J126"/>
  <c r="K126" s="1"/>
  <c r="I126"/>
  <c r="J125"/>
  <c r="I125"/>
  <c r="K125" s="1"/>
  <c r="J124"/>
  <c r="I124"/>
  <c r="K124" s="1"/>
  <c r="J123"/>
  <c r="I123"/>
  <c r="K123" s="1"/>
  <c r="J122"/>
  <c r="K122" s="1"/>
  <c r="I122"/>
  <c r="K121"/>
  <c r="J121"/>
  <c r="I121"/>
  <c r="F58"/>
  <c r="E58"/>
  <c r="K50" i="30"/>
  <c r="K39"/>
  <c r="K32"/>
  <c r="C10" i="21"/>
  <c r="C12" s="1"/>
  <c r="H118" i="31"/>
  <c r="E118"/>
  <c r="C118"/>
  <c r="F73"/>
  <c r="D122" i="12"/>
  <c r="H78" i="31"/>
  <c r="H77"/>
  <c r="H17"/>
  <c r="H16"/>
  <c r="H15"/>
  <c r="H14"/>
  <c r="H13"/>
  <c r="I118" l="1"/>
  <c r="C35" i="33"/>
  <c r="K14"/>
  <c r="K31"/>
  <c r="K39" s="1"/>
  <c r="K44" s="1"/>
  <c r="N49"/>
  <c r="M49"/>
  <c r="L49"/>
  <c r="K49"/>
  <c r="J49"/>
  <c r="I49"/>
  <c r="H49"/>
  <c r="G49"/>
  <c r="F49"/>
  <c r="E49"/>
  <c r="D49"/>
  <c r="C49"/>
  <c r="N39"/>
  <c r="M39"/>
  <c r="L39"/>
  <c r="J39"/>
  <c r="I39"/>
  <c r="H39"/>
  <c r="G39"/>
  <c r="F39"/>
  <c r="E39"/>
  <c r="D39"/>
  <c r="D44" s="1"/>
  <c r="N38"/>
  <c r="M38"/>
  <c r="M43" s="1"/>
  <c r="L38"/>
  <c r="K38"/>
  <c r="J38"/>
  <c r="J43" s="1"/>
  <c r="I38"/>
  <c r="H38"/>
  <c r="H43" s="1"/>
  <c r="G38"/>
  <c r="E38"/>
  <c r="O35"/>
  <c r="D34"/>
  <c r="D38" s="1"/>
  <c r="D43" s="1"/>
  <c r="C34"/>
  <c r="C38" s="1"/>
  <c r="F30"/>
  <c r="F38" s="1"/>
  <c r="N27"/>
  <c r="M27"/>
  <c r="L27"/>
  <c r="K27"/>
  <c r="J27"/>
  <c r="I27"/>
  <c r="H27"/>
  <c r="G27"/>
  <c r="F27"/>
  <c r="E27"/>
  <c r="D27"/>
  <c r="N26"/>
  <c r="M26"/>
  <c r="L26"/>
  <c r="K26"/>
  <c r="J26"/>
  <c r="I26"/>
  <c r="H26"/>
  <c r="G26"/>
  <c r="F26"/>
  <c r="E26"/>
  <c r="N23"/>
  <c r="M23"/>
  <c r="L23"/>
  <c r="J23"/>
  <c r="I23"/>
  <c r="H23"/>
  <c r="G23"/>
  <c r="F23"/>
  <c r="E23"/>
  <c r="D23"/>
  <c r="C23"/>
  <c r="N22"/>
  <c r="M22"/>
  <c r="L22"/>
  <c r="K22"/>
  <c r="J22"/>
  <c r="I22"/>
  <c r="H22"/>
  <c r="G22"/>
  <c r="E22"/>
  <c r="D22"/>
  <c r="C22"/>
  <c r="N14"/>
  <c r="N10" s="1"/>
  <c r="M44"/>
  <c r="L14"/>
  <c r="L44" s="1"/>
  <c r="J14"/>
  <c r="J44" s="1"/>
  <c r="I14"/>
  <c r="H14"/>
  <c r="H44" s="1"/>
  <c r="G14"/>
  <c r="G44" s="1"/>
  <c r="F14"/>
  <c r="F44" s="1"/>
  <c r="E14"/>
  <c r="C14"/>
  <c r="O14" s="1"/>
  <c r="N13"/>
  <c r="N43" s="1"/>
  <c r="L13"/>
  <c r="K13"/>
  <c r="I43"/>
  <c r="G13"/>
  <c r="F13"/>
  <c r="O13"/>
  <c r="C11"/>
  <c r="M10"/>
  <c r="L10"/>
  <c r="L11" s="1"/>
  <c r="K10"/>
  <c r="J10"/>
  <c r="I10"/>
  <c r="H10"/>
  <c r="G10"/>
  <c r="F10"/>
  <c r="E10"/>
  <c r="D10"/>
  <c r="D11" s="1"/>
  <c r="M9"/>
  <c r="L9"/>
  <c r="K9"/>
  <c r="J9"/>
  <c r="J11" s="1"/>
  <c r="I9"/>
  <c r="I11" s="1"/>
  <c r="H9"/>
  <c r="F9"/>
  <c r="F11" s="1"/>
  <c r="E9"/>
  <c r="E11" s="1"/>
  <c r="D9"/>
  <c r="M87" i="31"/>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26"/>
  <c r="M25"/>
  <c r="M24"/>
  <c r="M23"/>
  <c r="M22"/>
  <c r="M21"/>
  <c r="M20"/>
  <c r="M19"/>
  <c r="M18"/>
  <c r="M17"/>
  <c r="M16"/>
  <c r="M15"/>
  <c r="M14"/>
  <c r="M13"/>
  <c r="M12"/>
  <c r="M11"/>
  <c r="H86"/>
  <c r="H85"/>
  <c r="H84"/>
  <c r="H83"/>
  <c r="H82"/>
  <c r="H80"/>
  <c r="H81"/>
  <c r="H79"/>
  <c r="H87"/>
  <c r="H76"/>
  <c r="H75"/>
  <c r="H74"/>
  <c r="F78"/>
  <c r="F74"/>
  <c r="H73"/>
  <c r="H72"/>
  <c r="H71"/>
  <c r="H70"/>
  <c r="H69"/>
  <c r="H68"/>
  <c r="H67"/>
  <c r="H66"/>
  <c r="H65"/>
  <c r="H64"/>
  <c r="H63"/>
  <c r="H62"/>
  <c r="H61"/>
  <c r="H60"/>
  <c r="H59"/>
  <c r="H58"/>
  <c r="H57"/>
  <c r="H55"/>
  <c r="H54"/>
  <c r="H53"/>
  <c r="H52"/>
  <c r="H51"/>
  <c r="H50"/>
  <c r="H56"/>
  <c r="F49"/>
  <c r="H49"/>
  <c r="H48"/>
  <c r="H47"/>
  <c r="H46"/>
  <c r="F87"/>
  <c r="F86"/>
  <c r="F85"/>
  <c r="F84"/>
  <c r="F83"/>
  <c r="F82"/>
  <c r="F81"/>
  <c r="F80"/>
  <c r="F79"/>
  <c r="K90" i="17"/>
  <c r="J90"/>
  <c r="I90"/>
  <c r="J89"/>
  <c r="I89"/>
  <c r="K89" s="1"/>
  <c r="E87" i="31" s="1"/>
  <c r="J88" i="17"/>
  <c r="I88"/>
  <c r="K88" s="1"/>
  <c r="E86" i="31" s="1"/>
  <c r="J87" i="17"/>
  <c r="K87" s="1"/>
  <c r="E85" i="31" s="1"/>
  <c r="I87" i="17"/>
  <c r="J86"/>
  <c r="I86"/>
  <c r="K86" s="1"/>
  <c r="E84" i="31" s="1"/>
  <c r="J85" i="17"/>
  <c r="I85"/>
  <c r="J84"/>
  <c r="I84"/>
  <c r="K84" s="1"/>
  <c r="E82" i="31" s="1"/>
  <c r="J83" i="17"/>
  <c r="K83" s="1"/>
  <c r="E81" i="31" s="1"/>
  <c r="I83" i="17"/>
  <c r="J82"/>
  <c r="I82"/>
  <c r="K82" s="1"/>
  <c r="E80" i="31" s="1"/>
  <c r="J81" i="17"/>
  <c r="I81"/>
  <c r="K81" s="1"/>
  <c r="E79" i="31" s="1"/>
  <c r="H26"/>
  <c r="H25"/>
  <c r="H24"/>
  <c r="H23"/>
  <c r="F26"/>
  <c r="F25"/>
  <c r="G25" s="1"/>
  <c r="I25" s="1"/>
  <c r="F24"/>
  <c r="J28" i="17"/>
  <c r="I28"/>
  <c r="K28" s="1"/>
  <c r="E26" i="31" s="1"/>
  <c r="J27" i="17"/>
  <c r="K27" s="1"/>
  <c r="I27"/>
  <c r="J26"/>
  <c r="I26"/>
  <c r="K26" s="1"/>
  <c r="E24" i="31" s="1"/>
  <c r="J25" i="17"/>
  <c r="I25"/>
  <c r="F77" i="31"/>
  <c r="F76"/>
  <c r="F75"/>
  <c r="F70"/>
  <c r="G70" s="1"/>
  <c r="F69"/>
  <c r="F68"/>
  <c r="F67"/>
  <c r="F66"/>
  <c r="F65"/>
  <c r="F64"/>
  <c r="F63"/>
  <c r="F62"/>
  <c r="F61"/>
  <c r="F60"/>
  <c r="F59"/>
  <c r="F58"/>
  <c r="F57"/>
  <c r="F56"/>
  <c r="F55"/>
  <c r="F54"/>
  <c r="F51"/>
  <c r="F48"/>
  <c r="F53"/>
  <c r="F52"/>
  <c r="F47"/>
  <c r="F72" s="1"/>
  <c r="F50"/>
  <c r="F46"/>
  <c r="F71" s="1"/>
  <c r="H22"/>
  <c r="H21"/>
  <c r="H20"/>
  <c r="H19"/>
  <c r="H18"/>
  <c r="H12"/>
  <c r="H11"/>
  <c r="F23"/>
  <c r="F22"/>
  <c r="F21"/>
  <c r="F20"/>
  <c r="F19"/>
  <c r="F18"/>
  <c r="F17"/>
  <c r="F16"/>
  <c r="F15"/>
  <c r="F14"/>
  <c r="F13"/>
  <c r="F12"/>
  <c r="F11"/>
  <c r="H58" i="32"/>
  <c r="H60" s="1"/>
  <c r="C57"/>
  <c r="C60" s="1"/>
  <c r="H56"/>
  <c r="D56"/>
  <c r="D57" s="1"/>
  <c r="H55"/>
  <c r="D55"/>
  <c r="C50"/>
  <c r="C49"/>
  <c r="C47"/>
  <c r="C46"/>
  <c r="C45"/>
  <c r="C43"/>
  <c r="C42"/>
  <c r="C41"/>
  <c r="C40"/>
  <c r="C38"/>
  <c r="C37"/>
  <c r="C36"/>
  <c r="I9"/>
  <c r="H9"/>
  <c r="E9"/>
  <c r="D9"/>
  <c r="C9"/>
  <c r="F9" s="1"/>
  <c r="H8"/>
  <c r="D8"/>
  <c r="C8"/>
  <c r="I8" s="1"/>
  <c r="C7"/>
  <c r="H7" s="1"/>
  <c r="I6"/>
  <c r="F6"/>
  <c r="E6"/>
  <c r="C6"/>
  <c r="G6" s="1"/>
  <c r="I5"/>
  <c r="H5"/>
  <c r="E5"/>
  <c r="D5"/>
  <c r="C5"/>
  <c r="F5" s="1"/>
  <c r="H4"/>
  <c r="D4"/>
  <c r="C4"/>
  <c r="I4" s="1"/>
  <c r="G3"/>
  <c r="C3"/>
  <c r="H3" s="1"/>
  <c r="H11" i="33" l="1"/>
  <c r="G43"/>
  <c r="L43"/>
  <c r="L45" s="1"/>
  <c r="L52" s="1"/>
  <c r="D26"/>
  <c r="G9"/>
  <c r="G11" s="1"/>
  <c r="K43"/>
  <c r="K51" s="1"/>
  <c r="E44"/>
  <c r="I44"/>
  <c r="F22"/>
  <c r="O22" s="1"/>
  <c r="D66" s="1"/>
  <c r="C26"/>
  <c r="O26" s="1"/>
  <c r="O30"/>
  <c r="D70" s="1"/>
  <c r="L76" i="2" s="1"/>
  <c r="M11" i="33"/>
  <c r="K25" i="17"/>
  <c r="E23" i="31" s="1"/>
  <c r="G23" s="1"/>
  <c r="I23" s="1"/>
  <c r="K85" i="17"/>
  <c r="E83" i="31" s="1"/>
  <c r="G82"/>
  <c r="I70"/>
  <c r="G85"/>
  <c r="I85" s="1"/>
  <c r="G81"/>
  <c r="I81" s="1"/>
  <c r="G24"/>
  <c r="I24" s="1"/>
  <c r="G86"/>
  <c r="I86" s="1"/>
  <c r="G79"/>
  <c r="I79" s="1"/>
  <c r="G26"/>
  <c r="I26" s="1"/>
  <c r="G76"/>
  <c r="I76" s="1"/>
  <c r="G84"/>
  <c r="I84" s="1"/>
  <c r="G87"/>
  <c r="I87" s="1"/>
  <c r="I82"/>
  <c r="G80"/>
  <c r="I80" s="1"/>
  <c r="G83"/>
  <c r="I83" s="1"/>
  <c r="C60" i="33"/>
  <c r="K11"/>
  <c r="C56"/>
  <c r="O31"/>
  <c r="K23"/>
  <c r="O23" s="1"/>
  <c r="G51"/>
  <c r="G45"/>
  <c r="G52" s="1"/>
  <c r="L51"/>
  <c r="D45"/>
  <c r="D52" s="1"/>
  <c r="D51"/>
  <c r="K45"/>
  <c r="K52" s="1"/>
  <c r="O10"/>
  <c r="F43"/>
  <c r="O15"/>
  <c r="I45"/>
  <c r="I52" s="1"/>
  <c r="I51"/>
  <c r="N51"/>
  <c r="H45"/>
  <c r="H52" s="1"/>
  <c r="H51"/>
  <c r="C43"/>
  <c r="O38"/>
  <c r="J45"/>
  <c r="J52" s="1"/>
  <c r="J51"/>
  <c r="M45"/>
  <c r="M52" s="1"/>
  <c r="E43"/>
  <c r="C27"/>
  <c r="O27" s="1"/>
  <c r="O28" s="1"/>
  <c r="O34"/>
  <c r="O36" s="1"/>
  <c r="M51"/>
  <c r="N44"/>
  <c r="N45" s="1"/>
  <c r="N52" s="1"/>
  <c r="D56"/>
  <c r="B12" i="21" s="1"/>
  <c r="D12" s="1"/>
  <c r="C39" i="33"/>
  <c r="O39" s="1"/>
  <c r="N9"/>
  <c r="N11" s="1"/>
  <c r="E57" i="32"/>
  <c r="F3"/>
  <c r="G4"/>
  <c r="F7"/>
  <c r="G8"/>
  <c r="E3"/>
  <c r="I3"/>
  <c r="F4"/>
  <c r="G5"/>
  <c r="D6"/>
  <c r="H6"/>
  <c r="E7"/>
  <c r="I7"/>
  <c r="F8"/>
  <c r="G9"/>
  <c r="G7"/>
  <c r="D3"/>
  <c r="E4"/>
  <c r="D7"/>
  <c r="E8"/>
  <c r="O9" i="33" l="1"/>
  <c r="O11" s="1"/>
  <c r="B10" i="21"/>
  <c r="E123" i="31"/>
  <c r="G76" i="2"/>
  <c r="G11" s="1"/>
  <c r="J11" i="30"/>
  <c r="E56" i="33"/>
  <c r="C66"/>
  <c r="E66" s="1"/>
  <c r="O24"/>
  <c r="C70"/>
  <c r="O32"/>
  <c r="D60"/>
  <c r="E60" s="1"/>
  <c r="F45"/>
  <c r="F52" s="1"/>
  <c r="F51"/>
  <c r="O40"/>
  <c r="C51"/>
  <c r="O43"/>
  <c r="E45"/>
  <c r="E52" s="1"/>
  <c r="E51"/>
  <c r="C44"/>
  <c r="O44" s="1"/>
  <c r="C61" i="32" l="1"/>
  <c r="C62" s="1"/>
  <c r="E124" i="31"/>
  <c r="O45" i="33"/>
  <c r="L75" i="2"/>
  <c r="E70" i="33"/>
  <c r="C45"/>
  <c r="C52" s="1"/>
  <c r="C109" i="31" l="1"/>
  <c r="C100"/>
  <c r="C76"/>
  <c r="O57" i="30"/>
  <c r="I57"/>
  <c r="K57" s="1"/>
  <c r="M13"/>
  <c r="I13"/>
  <c r="K13" s="1"/>
  <c r="F57"/>
  <c r="F51"/>
  <c r="F49"/>
  <c r="F48"/>
  <c r="F47"/>
  <c r="F46"/>
  <c r="F45"/>
  <c r="E50"/>
  <c r="G50" s="1"/>
  <c r="M50" s="1"/>
  <c r="O50" s="1"/>
  <c r="E39"/>
  <c r="G39" s="1"/>
  <c r="M39" s="1"/>
  <c r="O39" s="1"/>
  <c r="E32"/>
  <c r="G32" s="1"/>
  <c r="M32" s="1"/>
  <c r="O32" s="1"/>
  <c r="D51"/>
  <c r="F14"/>
  <c r="H58"/>
  <c r="H60" s="1"/>
  <c r="AI43" i="29"/>
  <c r="AO86"/>
  <c r="AP83" s="1"/>
  <c r="AP66"/>
  <c r="AP62"/>
  <c r="AP58"/>
  <c r="AP54"/>
  <c r="AP50"/>
  <c r="AP46"/>
  <c r="AC43"/>
  <c r="AA43"/>
  <c r="Y43"/>
  <c r="W43"/>
  <c r="U43"/>
  <c r="S43"/>
  <c r="Q43"/>
  <c r="O43"/>
  <c r="M43"/>
  <c r="K43"/>
  <c r="I43"/>
  <c r="G43"/>
  <c r="AP42"/>
  <c r="AE41"/>
  <c r="AE40"/>
  <c r="AE39"/>
  <c r="AE38"/>
  <c r="AE37"/>
  <c r="AE36"/>
  <c r="AE35"/>
  <c r="AE34"/>
  <c r="AE33"/>
  <c r="AE32"/>
  <c r="AE31"/>
  <c r="AE30"/>
  <c r="AE29"/>
  <c r="AE28"/>
  <c r="AE27"/>
  <c r="AE26"/>
  <c r="AE25"/>
  <c r="AE24"/>
  <c r="AE23"/>
  <c r="AE22"/>
  <c r="AE21"/>
  <c r="AE20"/>
  <c r="AE19"/>
  <c r="AE18"/>
  <c r="AE17"/>
  <c r="AE16"/>
  <c r="AE15"/>
  <c r="AP14"/>
  <c r="AE14"/>
  <c r="AE13"/>
  <c r="AE12"/>
  <c r="AE11"/>
  <c r="AE10"/>
  <c r="AE9"/>
  <c r="AE8"/>
  <c r="AE43" s="1"/>
  <c r="AP5"/>
  <c r="O13" i="30" l="1"/>
  <c r="AH14" i="29"/>
  <c r="AH37"/>
  <c r="AJ37" s="1"/>
  <c r="AH41"/>
  <c r="AJ41" s="1"/>
  <c r="AH36"/>
  <c r="AJ36" s="1"/>
  <c r="AH40"/>
  <c r="AJ40" s="1"/>
  <c r="AH35"/>
  <c r="AJ35" s="1"/>
  <c r="AH34"/>
  <c r="AJ34" s="1"/>
  <c r="AH38"/>
  <c r="AJ38" s="1"/>
  <c r="AP13"/>
  <c r="AP70"/>
  <c r="AP74"/>
  <c r="AP78"/>
  <c r="AP82"/>
  <c r="AP7"/>
  <c r="AP8"/>
  <c r="AP9"/>
  <c r="AP10"/>
  <c r="AP11"/>
  <c r="AH3" s="1"/>
  <c r="AP25"/>
  <c r="AP26"/>
  <c r="AP27"/>
  <c r="AP28"/>
  <c r="AP29"/>
  <c r="AP30"/>
  <c r="AP31"/>
  <c r="AP32"/>
  <c r="AP44"/>
  <c r="AP48"/>
  <c r="AP52"/>
  <c r="AP56"/>
  <c r="AP60"/>
  <c r="AP64"/>
  <c r="AP68"/>
  <c r="AP72"/>
  <c r="AP76"/>
  <c r="AP80"/>
  <c r="AP84"/>
  <c r="AP4"/>
  <c r="AP12"/>
  <c r="AP33"/>
  <c r="AP34"/>
  <c r="AP35"/>
  <c r="AP36"/>
  <c r="AP37"/>
  <c r="AP38"/>
  <c r="AP39"/>
  <c r="AP40"/>
  <c r="AP41"/>
  <c r="AP45"/>
  <c r="AP49"/>
  <c r="AP53"/>
  <c r="AP57"/>
  <c r="AP61"/>
  <c r="AP65"/>
  <c r="AP69"/>
  <c r="AP73"/>
  <c r="AP77"/>
  <c r="AP81"/>
  <c r="AP85"/>
  <c r="AP6"/>
  <c r="AP15"/>
  <c r="AP16"/>
  <c r="AP17"/>
  <c r="AP18"/>
  <c r="AP19"/>
  <c r="AP20"/>
  <c r="AP21"/>
  <c r="AP22"/>
  <c r="AP23"/>
  <c r="AP24"/>
  <c r="AP43"/>
  <c r="AP47"/>
  <c r="AP51"/>
  <c r="AP55"/>
  <c r="AP59"/>
  <c r="AP63"/>
  <c r="AP67"/>
  <c r="AP71"/>
  <c r="AP75"/>
  <c r="AP79"/>
  <c r="AJ14" l="1"/>
  <c r="AI14"/>
  <c r="AH25"/>
  <c r="AH24"/>
  <c r="AJ24" s="1"/>
  <c r="AH23"/>
  <c r="AJ23" s="1"/>
  <c r="AH22"/>
  <c r="AJ22" s="1"/>
  <c r="AH21"/>
  <c r="AJ21" s="1"/>
  <c r="AH20"/>
  <c r="AJ20" s="1"/>
  <c r="AH19"/>
  <c r="AJ19" s="1"/>
  <c r="AH18"/>
  <c r="AJ18" s="1"/>
  <c r="AH17"/>
  <c r="AJ17" s="1"/>
  <c r="AH16"/>
  <c r="AJ16" s="1"/>
  <c r="AH33"/>
  <c r="AH30"/>
  <c r="AJ30" s="1"/>
  <c r="AH28"/>
  <c r="AJ28" s="1"/>
  <c r="AH26"/>
  <c r="AJ26" s="1"/>
  <c r="AH11"/>
  <c r="AJ11" s="1"/>
  <c r="AH9"/>
  <c r="AJ9" s="1"/>
  <c r="AH15"/>
  <c r="AH32"/>
  <c r="AJ32" s="1"/>
  <c r="AH31"/>
  <c r="AJ31" s="1"/>
  <c r="AH29"/>
  <c r="AJ29" s="1"/>
  <c r="AH27"/>
  <c r="AJ27" s="1"/>
  <c r="AH12"/>
  <c r="AH10"/>
  <c r="AJ10" s="1"/>
  <c r="AH8"/>
  <c r="AH39"/>
  <c r="AJ39" s="1"/>
  <c r="AH13"/>
  <c r="AJ13" s="1"/>
  <c r="AI33" l="1"/>
  <c r="AJ33" s="1"/>
  <c r="AJ8"/>
  <c r="AH43"/>
  <c r="AI15"/>
  <c r="AJ15" s="1"/>
  <c r="AJ25"/>
  <c r="AI25"/>
  <c r="AI12"/>
  <c r="AJ12" l="1"/>
  <c r="AJ43" s="1"/>
  <c r="B55" i="14" l="1"/>
  <c r="G57" i="13" s="1"/>
  <c r="D166" i="2" s="1"/>
  <c r="B54" i="14"/>
  <c r="B57" l="1"/>
  <c r="G37" i="13"/>
  <c r="D88" i="2" s="1"/>
  <c r="B19" i="28"/>
  <c r="C11" s="1"/>
  <c r="C14" l="1"/>
  <c r="C24" s="1"/>
  <c r="C25" s="1"/>
  <c r="C16"/>
  <c r="C12"/>
  <c r="C17"/>
  <c r="C13"/>
  <c r="C9"/>
  <c r="C18"/>
  <c r="C10"/>
  <c r="C8"/>
  <c r="C19" s="1"/>
  <c r="C15"/>
  <c r="B34" i="21" l="1"/>
  <c r="G89" i="2" s="1"/>
  <c r="B33" i="21"/>
  <c r="G50" i="2" s="1"/>
  <c r="B32" i="21"/>
  <c r="G54" i="2" s="1"/>
  <c r="B31" i="21"/>
  <c r="G22" i="2" s="1"/>
  <c r="B40" i="21"/>
  <c r="G166" i="2" s="1"/>
  <c r="B39" i="21"/>
  <c r="G165" i="2" s="1"/>
  <c r="B38" i="21"/>
  <c r="G164" i="2" s="1"/>
  <c r="B38" i="14"/>
  <c r="F18" i="13" s="1"/>
  <c r="D22" i="2" s="1"/>
  <c r="B37" i="14"/>
  <c r="F26" i="13" s="1"/>
  <c r="D54" i="2" s="1"/>
  <c r="M58" i="27"/>
  <c r="R29"/>
  <c r="M29"/>
  <c r="M52" s="1"/>
  <c r="L29"/>
  <c r="K29"/>
  <c r="J29"/>
  <c r="I29"/>
  <c r="H29"/>
  <c r="G29"/>
  <c r="F29"/>
  <c r="E29"/>
  <c r="D29"/>
  <c r="C29"/>
  <c r="B29"/>
  <c r="W28"/>
  <c r="W29" s="1"/>
  <c r="V28"/>
  <c r="R24"/>
  <c r="M24"/>
  <c r="M46" s="1"/>
  <c r="L24"/>
  <c r="K24"/>
  <c r="J24"/>
  <c r="I24"/>
  <c r="H24"/>
  <c r="G24"/>
  <c r="F24"/>
  <c r="E24"/>
  <c r="D24"/>
  <c r="C24"/>
  <c r="B24"/>
  <c r="W23"/>
  <c r="W24" s="1"/>
  <c r="V23"/>
  <c r="M20"/>
  <c r="M40" s="1"/>
  <c r="L20"/>
  <c r="K20"/>
  <c r="J20"/>
  <c r="I20"/>
  <c r="H20"/>
  <c r="G20"/>
  <c r="F20"/>
  <c r="E20"/>
  <c r="D20"/>
  <c r="C20"/>
  <c r="B20"/>
  <c r="W19"/>
  <c r="W20" s="1"/>
  <c r="V19"/>
  <c r="M15"/>
  <c r="M34" s="1"/>
  <c r="L15"/>
  <c r="K15"/>
  <c r="J15"/>
  <c r="I15"/>
  <c r="H15"/>
  <c r="G15"/>
  <c r="F15"/>
  <c r="E15"/>
  <c r="D15"/>
  <c r="C15"/>
  <c r="B15"/>
  <c r="W11"/>
  <c r="V11"/>
  <c r="W10"/>
  <c r="W15" s="1"/>
  <c r="V10"/>
  <c r="AA9"/>
  <c r="Q19" s="1"/>
  <c r="R19" s="1"/>
  <c r="R20" s="1"/>
  <c r="Z9"/>
  <c r="W9"/>
  <c r="V9"/>
  <c r="AA8"/>
  <c r="Q10" s="1"/>
  <c r="R10" s="1"/>
  <c r="R15" s="1"/>
  <c r="R31" s="1"/>
  <c r="Z8"/>
  <c r="Z56" i="25"/>
  <c r="Z55"/>
  <c r="Z54"/>
  <c r="Z53"/>
  <c r="Z50"/>
  <c r="Z49"/>
  <c r="Z48"/>
  <c r="Z47"/>
  <c r="Z44"/>
  <c r="Z43"/>
  <c r="Z42"/>
  <c r="Z41"/>
  <c r="Z38"/>
  <c r="Z37"/>
  <c r="Z36"/>
  <c r="Z35"/>
  <c r="Z32"/>
  <c r="Z31"/>
  <c r="Z30"/>
  <c r="Z29"/>
  <c r="Z26"/>
  <c r="Z25"/>
  <c r="Z24"/>
  <c r="Z23"/>
  <c r="Z20"/>
  <c r="Z19"/>
  <c r="Z18"/>
  <c r="E18"/>
  <c r="Z17"/>
  <c r="E17"/>
  <c r="Z14"/>
  <c r="Z13"/>
  <c r="Z12"/>
  <c r="Z11"/>
  <c r="Z8"/>
  <c r="Z7"/>
  <c r="Z6"/>
  <c r="Z5"/>
  <c r="Z56" i="26"/>
  <c r="Z55"/>
  <c r="Z54"/>
  <c r="Z53"/>
  <c r="Z50"/>
  <c r="Z49"/>
  <c r="Z48"/>
  <c r="Z47"/>
  <c r="Z44"/>
  <c r="Z43"/>
  <c r="Z42"/>
  <c r="Z41"/>
  <c r="Z38"/>
  <c r="Z37"/>
  <c r="Z36"/>
  <c r="Z35"/>
  <c r="Z32"/>
  <c r="Z31"/>
  <c r="Z30"/>
  <c r="Z29"/>
  <c r="Z26"/>
  <c r="Z25"/>
  <c r="Z24"/>
  <c r="Z23"/>
  <c r="Z20"/>
  <c r="Z19"/>
  <c r="Z18"/>
  <c r="E18"/>
  <c r="Z17"/>
  <c r="E17"/>
  <c r="Z14"/>
  <c r="Z13"/>
  <c r="Z12"/>
  <c r="Z11"/>
  <c r="Z8"/>
  <c r="Z7"/>
  <c r="Z6"/>
  <c r="Z5"/>
  <c r="B104" i="14"/>
  <c r="B100"/>
  <c r="AC167" i="24"/>
  <c r="AA167"/>
  <c r="Y167"/>
  <c r="W167"/>
  <c r="U167"/>
  <c r="S167"/>
  <c r="Q167"/>
  <c r="O167"/>
  <c r="M167"/>
  <c r="K167"/>
  <c r="I167"/>
  <c r="G167"/>
  <c r="AC157"/>
  <c r="AA157"/>
  <c r="Y157"/>
  <c r="W157"/>
  <c r="U157"/>
  <c r="S157"/>
  <c r="Q157"/>
  <c r="O157"/>
  <c r="M157"/>
  <c r="K157"/>
  <c r="I157"/>
  <c r="G157"/>
  <c r="AC154"/>
  <c r="AA154"/>
  <c r="Y154"/>
  <c r="W154"/>
  <c r="U154"/>
  <c r="S154"/>
  <c r="Q154"/>
  <c r="O154"/>
  <c r="M154"/>
  <c r="K154"/>
  <c r="I154"/>
  <c r="G154"/>
  <c r="AC151"/>
  <c r="AA151"/>
  <c r="Y151"/>
  <c r="W151"/>
  <c r="U151"/>
  <c r="S151"/>
  <c r="Q151"/>
  <c r="O151"/>
  <c r="M151"/>
  <c r="K151"/>
  <c r="I151"/>
  <c r="G151"/>
  <c r="AC148"/>
  <c r="AA148"/>
  <c r="Y148"/>
  <c r="W148"/>
  <c r="U148"/>
  <c r="S148"/>
  <c r="Q148"/>
  <c r="O148"/>
  <c r="M148"/>
  <c r="K148"/>
  <c r="I148"/>
  <c r="G148"/>
  <c r="AC145"/>
  <c r="AA145"/>
  <c r="Y145"/>
  <c r="W145"/>
  <c r="U145"/>
  <c r="S145"/>
  <c r="Q145"/>
  <c r="O145"/>
  <c r="M145"/>
  <c r="K145"/>
  <c r="I145"/>
  <c r="G145"/>
  <c r="AC142"/>
  <c r="AA142"/>
  <c r="Y142"/>
  <c r="W142"/>
  <c r="U142"/>
  <c r="S142"/>
  <c r="Q142"/>
  <c r="O142"/>
  <c r="M142"/>
  <c r="K142"/>
  <c r="I142"/>
  <c r="G142"/>
  <c r="AC139"/>
  <c r="AC159" s="1"/>
  <c r="AA139"/>
  <c r="AA159" s="1"/>
  <c r="Y139"/>
  <c r="Y159" s="1"/>
  <c r="W139"/>
  <c r="W159" s="1"/>
  <c r="U139"/>
  <c r="U159" s="1"/>
  <c r="S139"/>
  <c r="S159" s="1"/>
  <c r="Q139"/>
  <c r="Q159" s="1"/>
  <c r="O139"/>
  <c r="O159" s="1"/>
  <c r="M139"/>
  <c r="M159" s="1"/>
  <c r="K139"/>
  <c r="K159" s="1"/>
  <c r="I139"/>
  <c r="I159" s="1"/>
  <c r="G139"/>
  <c r="G159" s="1"/>
  <c r="AC133"/>
  <c r="AA133"/>
  <c r="Y133"/>
  <c r="W133"/>
  <c r="U133"/>
  <c r="S133"/>
  <c r="Q133"/>
  <c r="O133"/>
  <c r="M133"/>
  <c r="K133"/>
  <c r="I133"/>
  <c r="G133"/>
  <c r="AC130"/>
  <c r="AA130"/>
  <c r="Y130"/>
  <c r="W130"/>
  <c r="U130"/>
  <c r="S130"/>
  <c r="Q130"/>
  <c r="O130"/>
  <c r="M130"/>
  <c r="K130"/>
  <c r="I130"/>
  <c r="G130"/>
  <c r="AC127"/>
  <c r="AA127"/>
  <c r="Y127"/>
  <c r="W127"/>
  <c r="U127"/>
  <c r="S127"/>
  <c r="Q127"/>
  <c r="O127"/>
  <c r="M127"/>
  <c r="K127"/>
  <c r="I127"/>
  <c r="G127"/>
  <c r="AC124"/>
  <c r="AA124"/>
  <c r="Y124"/>
  <c r="W124"/>
  <c r="U124"/>
  <c r="S124"/>
  <c r="Q124"/>
  <c r="O124"/>
  <c r="M124"/>
  <c r="K124"/>
  <c r="I124"/>
  <c r="G124"/>
  <c r="AC121"/>
  <c r="AA121"/>
  <c r="Y121"/>
  <c r="W121"/>
  <c r="U121"/>
  <c r="S121"/>
  <c r="S135" s="1"/>
  <c r="S161" s="1"/>
  <c r="Q121"/>
  <c r="O121"/>
  <c r="M121"/>
  <c r="K121"/>
  <c r="I121"/>
  <c r="G121"/>
  <c r="AC114"/>
  <c r="AA114"/>
  <c r="Y114"/>
  <c r="W114"/>
  <c r="U114"/>
  <c r="S114"/>
  <c r="Q114"/>
  <c r="O114"/>
  <c r="M114"/>
  <c r="K114"/>
  <c r="I114"/>
  <c r="G114"/>
  <c r="AC108"/>
  <c r="AA108"/>
  <c r="Y108"/>
  <c r="W108"/>
  <c r="U108"/>
  <c r="S108"/>
  <c r="Q108"/>
  <c r="O108"/>
  <c r="M108"/>
  <c r="K108"/>
  <c r="I108"/>
  <c r="G108"/>
  <c r="AC105"/>
  <c r="AA105"/>
  <c r="Y105"/>
  <c r="W105"/>
  <c r="U105"/>
  <c r="S105"/>
  <c r="Q105"/>
  <c r="O105"/>
  <c r="M105"/>
  <c r="K105"/>
  <c r="I105"/>
  <c r="G105"/>
  <c r="AC95"/>
  <c r="AC116" s="1"/>
  <c r="AA95"/>
  <c r="AA116" s="1"/>
  <c r="Y95"/>
  <c r="Y116" s="1"/>
  <c r="W95"/>
  <c r="W116" s="1"/>
  <c r="U95"/>
  <c r="U116" s="1"/>
  <c r="S95"/>
  <c r="S116" s="1"/>
  <c r="Q95"/>
  <c r="Q116" s="1"/>
  <c r="O95"/>
  <c r="O116" s="1"/>
  <c r="M95"/>
  <c r="M116" s="1"/>
  <c r="K95"/>
  <c r="K116" s="1"/>
  <c r="I95"/>
  <c r="I116" s="1"/>
  <c r="G95"/>
  <c r="G116" s="1"/>
  <c r="AC88"/>
  <c r="AA88"/>
  <c r="Y88"/>
  <c r="W88"/>
  <c r="U88"/>
  <c r="S88"/>
  <c r="Q88"/>
  <c r="O88"/>
  <c r="M88"/>
  <c r="K88"/>
  <c r="I88"/>
  <c r="G88"/>
  <c r="AC84"/>
  <c r="AA84"/>
  <c r="Y84"/>
  <c r="W84"/>
  <c r="U84"/>
  <c r="S84"/>
  <c r="Q84"/>
  <c r="O84"/>
  <c r="M84"/>
  <c r="K84"/>
  <c r="I84"/>
  <c r="G84"/>
  <c r="AC81"/>
  <c r="AA81"/>
  <c r="Y81"/>
  <c r="W81"/>
  <c r="U81"/>
  <c r="S81"/>
  <c r="Q81"/>
  <c r="O81"/>
  <c r="M81"/>
  <c r="K81"/>
  <c r="I81"/>
  <c r="G81"/>
  <c r="AC78"/>
  <c r="AA78"/>
  <c r="Y78"/>
  <c r="W78"/>
  <c r="U78"/>
  <c r="S78"/>
  <c r="Q78"/>
  <c r="O78"/>
  <c r="M78"/>
  <c r="K78"/>
  <c r="I78"/>
  <c r="G78"/>
  <c r="AC75"/>
  <c r="AA75"/>
  <c r="Y75"/>
  <c r="W75"/>
  <c r="U75"/>
  <c r="S75"/>
  <c r="Q75"/>
  <c r="O75"/>
  <c r="M75"/>
  <c r="K75"/>
  <c r="I75"/>
  <c r="G75"/>
  <c r="AC72"/>
  <c r="AA72"/>
  <c r="Y72"/>
  <c r="W72"/>
  <c r="U72"/>
  <c r="S72"/>
  <c r="Q72"/>
  <c r="O72"/>
  <c r="M72"/>
  <c r="K72"/>
  <c r="I72"/>
  <c r="G72"/>
  <c r="AC69"/>
  <c r="AA69"/>
  <c r="Y69"/>
  <c r="W69"/>
  <c r="U69"/>
  <c r="S69"/>
  <c r="Q69"/>
  <c r="O69"/>
  <c r="M69"/>
  <c r="K69"/>
  <c r="I69"/>
  <c r="G69"/>
  <c r="AC66"/>
  <c r="AA66"/>
  <c r="Y66"/>
  <c r="W66"/>
  <c r="U66"/>
  <c r="S66"/>
  <c r="Q66"/>
  <c r="O66"/>
  <c r="M66"/>
  <c r="K66"/>
  <c r="I66"/>
  <c r="G66"/>
  <c r="AC63"/>
  <c r="AA63"/>
  <c r="Y63"/>
  <c r="W63"/>
  <c r="U63"/>
  <c r="S63"/>
  <c r="Q63"/>
  <c r="O63"/>
  <c r="M63"/>
  <c r="K63"/>
  <c r="I63"/>
  <c r="G63"/>
  <c r="AC37"/>
  <c r="AA37"/>
  <c r="Y37"/>
  <c r="W37"/>
  <c r="U37"/>
  <c r="S37"/>
  <c r="Q37"/>
  <c r="O37"/>
  <c r="M37"/>
  <c r="K37"/>
  <c r="I37"/>
  <c r="G37"/>
  <c r="AC34"/>
  <c r="AA34"/>
  <c r="Y34"/>
  <c r="W34"/>
  <c r="U34"/>
  <c r="S34"/>
  <c r="Q34"/>
  <c r="O34"/>
  <c r="M34"/>
  <c r="K34"/>
  <c r="I34"/>
  <c r="G34"/>
  <c r="AC29"/>
  <c r="AA29"/>
  <c r="Y29"/>
  <c r="W29"/>
  <c r="U29"/>
  <c r="S29"/>
  <c r="Q29"/>
  <c r="O29"/>
  <c r="M29"/>
  <c r="K29"/>
  <c r="I29"/>
  <c r="G29"/>
  <c r="AC26"/>
  <c r="AA26"/>
  <c r="Y26"/>
  <c r="W26"/>
  <c r="U26"/>
  <c r="S26"/>
  <c r="Q26"/>
  <c r="O26"/>
  <c r="M26"/>
  <c r="K26"/>
  <c r="I26"/>
  <c r="G26"/>
  <c r="AC18"/>
  <c r="AC39" s="1"/>
  <c r="AA18"/>
  <c r="AA39" s="1"/>
  <c r="Y18"/>
  <c r="Y39" s="1"/>
  <c r="W18"/>
  <c r="W39" s="1"/>
  <c r="U18"/>
  <c r="U39" s="1"/>
  <c r="S18"/>
  <c r="S39" s="1"/>
  <c r="Q18"/>
  <c r="Q39" s="1"/>
  <c r="O18"/>
  <c r="O39" s="1"/>
  <c r="M18"/>
  <c r="M39" s="1"/>
  <c r="K18"/>
  <c r="K39" s="1"/>
  <c r="I18"/>
  <c r="I39" s="1"/>
  <c r="G18"/>
  <c r="G39" s="1"/>
  <c r="B35" i="21" l="1"/>
  <c r="B37"/>
  <c r="W31" i="27"/>
  <c r="M90" i="24"/>
  <c r="M163" s="1"/>
  <c r="AC90"/>
  <c r="M135"/>
  <c r="M161" s="1"/>
  <c r="AC135"/>
  <c r="AC161" s="1"/>
  <c r="K90"/>
  <c r="K163" s="1"/>
  <c r="AA90"/>
  <c r="K135"/>
  <c r="K161" s="1"/>
  <c r="AA135"/>
  <c r="AA161" s="1"/>
  <c r="I90"/>
  <c r="I163" s="1"/>
  <c r="Q90"/>
  <c r="Y90"/>
  <c r="Y163" s="1"/>
  <c r="I135"/>
  <c r="I161" s="1"/>
  <c r="Q135"/>
  <c r="Q161" s="1"/>
  <c r="Y135"/>
  <c r="Y161" s="1"/>
  <c r="U90"/>
  <c r="U135"/>
  <c r="U161" s="1"/>
  <c r="S90"/>
  <c r="S163" s="1"/>
  <c r="G90"/>
  <c r="O90"/>
  <c r="O163" s="1"/>
  <c r="W90"/>
  <c r="W163" s="1"/>
  <c r="G135"/>
  <c r="G161" s="1"/>
  <c r="O135"/>
  <c r="O161" s="1"/>
  <c r="W135"/>
  <c r="W161" s="1"/>
  <c r="U86" i="23"/>
  <c r="AF84"/>
  <c r="AE84"/>
  <c r="AC84"/>
  <c r="AB84"/>
  <c r="O84"/>
  <c r="N84"/>
  <c r="I84"/>
  <c r="AD84" s="1"/>
  <c r="AF83"/>
  <c r="AE83"/>
  <c r="AC83"/>
  <c r="AB83"/>
  <c r="L83"/>
  <c r="L86" s="1"/>
  <c r="I83"/>
  <c r="AD83" s="1"/>
  <c r="U79"/>
  <c r="AF77"/>
  <c r="AE77"/>
  <c r="Q77" s="1"/>
  <c r="AC77"/>
  <c r="AB77"/>
  <c r="O77"/>
  <c r="N77"/>
  <c r="I77"/>
  <c r="AD77" s="1"/>
  <c r="AF76"/>
  <c r="AE76"/>
  <c r="AC76"/>
  <c r="AB76"/>
  <c r="L76"/>
  <c r="L79" s="1"/>
  <c r="B27" i="22" s="1"/>
  <c r="I76" i="23"/>
  <c r="AD76" s="1"/>
  <c r="AF75"/>
  <c r="AE75"/>
  <c r="AD75"/>
  <c r="Q75" s="1"/>
  <c r="AC75"/>
  <c r="AB75"/>
  <c r="O75"/>
  <c r="N75"/>
  <c r="I75"/>
  <c r="U71"/>
  <c r="L71"/>
  <c r="AF69"/>
  <c r="AE69"/>
  <c r="AC69"/>
  <c r="AB69"/>
  <c r="N69"/>
  <c r="O69" s="1"/>
  <c r="I69"/>
  <c r="AD69" s="1"/>
  <c r="AF68"/>
  <c r="AE68"/>
  <c r="AC68"/>
  <c r="AB68"/>
  <c r="N68"/>
  <c r="O68" s="1"/>
  <c r="I68"/>
  <c r="AD68" s="1"/>
  <c r="AF67"/>
  <c r="AE67"/>
  <c r="AC67"/>
  <c r="AB67"/>
  <c r="N67"/>
  <c r="O67" s="1"/>
  <c r="I67"/>
  <c r="AD67" s="1"/>
  <c r="AF66"/>
  <c r="AE66"/>
  <c r="AD66"/>
  <c r="Q66" s="1"/>
  <c r="AC66"/>
  <c r="AB66"/>
  <c r="O66"/>
  <c r="N66"/>
  <c r="I66"/>
  <c r="AF65"/>
  <c r="AE65"/>
  <c r="AC65"/>
  <c r="AB65"/>
  <c r="N65"/>
  <c r="N71" s="1"/>
  <c r="D23" i="22" s="1"/>
  <c r="I65" i="23"/>
  <c r="AD65" s="1"/>
  <c r="U59"/>
  <c r="L59"/>
  <c r="L61" s="1"/>
  <c r="B59"/>
  <c r="AF57"/>
  <c r="AE57"/>
  <c r="AD57"/>
  <c r="Q57" s="1"/>
  <c r="AC57"/>
  <c r="AB57"/>
  <c r="O57"/>
  <c r="N57"/>
  <c r="I57"/>
  <c r="AF56"/>
  <c r="AE56"/>
  <c r="AC56"/>
  <c r="AB56"/>
  <c r="N56"/>
  <c r="O56" s="1"/>
  <c r="I56"/>
  <c r="AD56" s="1"/>
  <c r="AF55"/>
  <c r="AE55"/>
  <c r="AC55"/>
  <c r="AB55"/>
  <c r="O55"/>
  <c r="N55"/>
  <c r="I55"/>
  <c r="AD55" s="1"/>
  <c r="Q55" s="1"/>
  <c r="AF54"/>
  <c r="AE54"/>
  <c r="AC54"/>
  <c r="AB54"/>
  <c r="N54"/>
  <c r="O54" s="1"/>
  <c r="I54"/>
  <c r="AD54" s="1"/>
  <c r="Q54" s="1"/>
  <c r="AF53"/>
  <c r="AE53"/>
  <c r="AD53"/>
  <c r="Q53" s="1"/>
  <c r="AC53"/>
  <c r="AB53"/>
  <c r="O53"/>
  <c r="N53"/>
  <c r="I53"/>
  <c r="AF52"/>
  <c r="AE52"/>
  <c r="AD52"/>
  <c r="AC52"/>
  <c r="AB52"/>
  <c r="N52"/>
  <c r="O52" s="1"/>
  <c r="I52"/>
  <c r="U48"/>
  <c r="L48"/>
  <c r="B48"/>
  <c r="AF46"/>
  <c r="AE46"/>
  <c r="AD46"/>
  <c r="Q46" s="1"/>
  <c r="R46" s="1"/>
  <c r="AC46"/>
  <c r="P46" s="1"/>
  <c r="AB46"/>
  <c r="O46"/>
  <c r="N46"/>
  <c r="I46"/>
  <c r="AF45"/>
  <c r="AE45"/>
  <c r="AC45"/>
  <c r="AB45"/>
  <c r="N45"/>
  <c r="O45" s="1"/>
  <c r="I45"/>
  <c r="AD45" s="1"/>
  <c r="AF44"/>
  <c r="AE44"/>
  <c r="AC44"/>
  <c r="AB44"/>
  <c r="O44"/>
  <c r="N44"/>
  <c r="I44"/>
  <c r="AD44" s="1"/>
  <c r="Q44" s="1"/>
  <c r="AF43"/>
  <c r="AE43"/>
  <c r="AC43"/>
  <c r="AB43"/>
  <c r="N43"/>
  <c r="O43" s="1"/>
  <c r="I43"/>
  <c r="AD43" s="1"/>
  <c r="Q43" s="1"/>
  <c r="AF42"/>
  <c r="AE42"/>
  <c r="AD42"/>
  <c r="Q42" s="1"/>
  <c r="AC42"/>
  <c r="AB42"/>
  <c r="O42"/>
  <c r="N42"/>
  <c r="I42"/>
  <c r="AF41"/>
  <c r="AE41"/>
  <c r="AC41"/>
  <c r="AB41"/>
  <c r="N41"/>
  <c r="O41" s="1"/>
  <c r="I41"/>
  <c r="AD41" s="1"/>
  <c r="AF40"/>
  <c r="AE40"/>
  <c r="AC40"/>
  <c r="AB40"/>
  <c r="O40"/>
  <c r="N40"/>
  <c r="I40"/>
  <c r="AD40" s="1"/>
  <c r="Q40" s="1"/>
  <c r="AF39"/>
  <c r="AE39"/>
  <c r="AC39"/>
  <c r="AB39"/>
  <c r="N39"/>
  <c r="N48" s="1"/>
  <c r="D16" i="22" s="1"/>
  <c r="I39" i="23"/>
  <c r="AD39" s="1"/>
  <c r="AE30"/>
  <c r="AC30"/>
  <c r="AB30"/>
  <c r="N30"/>
  <c r="O30" s="1"/>
  <c r="L30"/>
  <c r="I30"/>
  <c r="AD30" s="1"/>
  <c r="AF29"/>
  <c r="AE29"/>
  <c r="AC29"/>
  <c r="AB29"/>
  <c r="N29"/>
  <c r="O29" s="1"/>
  <c r="I29"/>
  <c r="AD29" s="1"/>
  <c r="AF28"/>
  <c r="AE28"/>
  <c r="AC28"/>
  <c r="AB28"/>
  <c r="L28"/>
  <c r="L32" s="1"/>
  <c r="B11" i="22" s="1"/>
  <c r="I28" i="23"/>
  <c r="AD28" s="1"/>
  <c r="AF23"/>
  <c r="AE23"/>
  <c r="AD23"/>
  <c r="Q23" s="1"/>
  <c r="AC23"/>
  <c r="AB23"/>
  <c r="O23"/>
  <c r="N23"/>
  <c r="I23"/>
  <c r="AF22"/>
  <c r="AE22"/>
  <c r="AC22"/>
  <c r="AB22"/>
  <c r="L22"/>
  <c r="N22" s="1"/>
  <c r="O22" s="1"/>
  <c r="I22"/>
  <c r="AD22" s="1"/>
  <c r="AF21"/>
  <c r="AE21"/>
  <c r="AC21"/>
  <c r="AB21"/>
  <c r="N21"/>
  <c r="O21" s="1"/>
  <c r="I21"/>
  <c r="AD21" s="1"/>
  <c r="AF20"/>
  <c r="AE20"/>
  <c r="AD20"/>
  <c r="Q20" s="1"/>
  <c r="AC20"/>
  <c r="AB20"/>
  <c r="O20"/>
  <c r="N20"/>
  <c r="I20"/>
  <c r="AF19"/>
  <c r="AE19"/>
  <c r="AC19"/>
  <c r="AB19"/>
  <c r="N19"/>
  <c r="O19" s="1"/>
  <c r="I19"/>
  <c r="AD19" s="1"/>
  <c r="AF18"/>
  <c r="AE18"/>
  <c r="AC18"/>
  <c r="AB18"/>
  <c r="L18"/>
  <c r="I18"/>
  <c r="AD18" s="1"/>
  <c r="AF17"/>
  <c r="AE17"/>
  <c r="AD17"/>
  <c r="Q17" s="1"/>
  <c r="AC17"/>
  <c r="AB17"/>
  <c r="O17"/>
  <c r="N17"/>
  <c r="I17"/>
  <c r="AF16"/>
  <c r="AE16"/>
  <c r="AC16"/>
  <c r="AB16"/>
  <c r="L16"/>
  <c r="N16" s="1"/>
  <c r="O16" s="1"/>
  <c r="I16"/>
  <c r="AD16" s="1"/>
  <c r="AF15"/>
  <c r="AE15"/>
  <c r="AC15"/>
  <c r="AB15"/>
  <c r="N15"/>
  <c r="O15" s="1"/>
  <c r="L15"/>
  <c r="I15"/>
  <c r="AD15" s="1"/>
  <c r="AF14"/>
  <c r="AE14"/>
  <c r="AC14"/>
  <c r="AB14"/>
  <c r="L14"/>
  <c r="N14" s="1"/>
  <c r="O14" s="1"/>
  <c r="I14"/>
  <c r="AD14" s="1"/>
  <c r="AF13"/>
  <c r="AE13"/>
  <c r="AC13"/>
  <c r="AB13"/>
  <c r="N13"/>
  <c r="L13"/>
  <c r="I13"/>
  <c r="AD13" s="1"/>
  <c r="V10"/>
  <c r="Y10" s="1"/>
  <c r="C1"/>
  <c r="B23" i="22"/>
  <c r="C21"/>
  <c r="B18"/>
  <c r="B16"/>
  <c r="G7"/>
  <c r="H7" s="1"/>
  <c r="C3" i="23" s="1"/>
  <c r="C22" i="21"/>
  <c r="B22"/>
  <c r="D10"/>
  <c r="D14" l="1"/>
  <c r="G75" i="2"/>
  <c r="K75" s="1"/>
  <c r="B41" i="21"/>
  <c r="B43" s="1"/>
  <c r="G163" i="2"/>
  <c r="B21" i="22"/>
  <c r="G163" i="24"/>
  <c r="Q163"/>
  <c r="AA163"/>
  <c r="AC163"/>
  <c r="U163"/>
  <c r="P14" i="23"/>
  <c r="B25" i="22"/>
  <c r="Q14" i="23"/>
  <c r="R14" s="1"/>
  <c r="V14" s="1"/>
  <c r="W14" s="1"/>
  <c r="Y14" s="1"/>
  <c r="O59"/>
  <c r="P52"/>
  <c r="P77"/>
  <c r="T77" s="1"/>
  <c r="Q21"/>
  <c r="Q30"/>
  <c r="T46"/>
  <c r="Q52"/>
  <c r="Q68"/>
  <c r="W10"/>
  <c r="Z10"/>
  <c r="AA10"/>
  <c r="P41"/>
  <c r="T41" s="1"/>
  <c r="V56"/>
  <c r="W56" s="1"/>
  <c r="Y56" s="1"/>
  <c r="P56"/>
  <c r="B30" i="22"/>
  <c r="Q15" i="23"/>
  <c r="Q41"/>
  <c r="V46"/>
  <c r="W46" s="1"/>
  <c r="Y46" s="1"/>
  <c r="Q56"/>
  <c r="R56" s="1"/>
  <c r="P16"/>
  <c r="P19"/>
  <c r="P22"/>
  <c r="P29"/>
  <c r="T29" s="1"/>
  <c r="P45"/>
  <c r="T45" s="1"/>
  <c r="P69"/>
  <c r="P84"/>
  <c r="T84" s="1"/>
  <c r="Q84"/>
  <c r="Q16"/>
  <c r="R16" s="1"/>
  <c r="V16" s="1"/>
  <c r="W16" s="1"/>
  <c r="Y16" s="1"/>
  <c r="Q19"/>
  <c r="R19" s="1"/>
  <c r="V19" s="1"/>
  <c r="W19" s="1"/>
  <c r="Y19" s="1"/>
  <c r="Q22"/>
  <c r="R22" s="1"/>
  <c r="V22" s="1"/>
  <c r="W22" s="1"/>
  <c r="Y22" s="1"/>
  <c r="Q29"/>
  <c r="Q45"/>
  <c r="R57"/>
  <c r="V57" s="1"/>
  <c r="W57" s="1"/>
  <c r="Y57" s="1"/>
  <c r="Q67"/>
  <c r="Q69"/>
  <c r="R69" s="1"/>
  <c r="V69" s="1"/>
  <c r="W69" s="1"/>
  <c r="Y69" s="1"/>
  <c r="C23" i="22"/>
  <c r="C30" s="1"/>
  <c r="O13" i="23"/>
  <c r="O25" s="1"/>
  <c r="P17"/>
  <c r="T17" s="1"/>
  <c r="N18"/>
  <c r="O18" s="1"/>
  <c r="Q18" s="1"/>
  <c r="P20"/>
  <c r="T20" s="1"/>
  <c r="P23"/>
  <c r="T23" s="1"/>
  <c r="N28"/>
  <c r="O39"/>
  <c r="O48" s="1"/>
  <c r="P42"/>
  <c r="T42" s="1"/>
  <c r="P53"/>
  <c r="T53" s="1"/>
  <c r="P57"/>
  <c r="T57" s="1"/>
  <c r="N59"/>
  <c r="P66"/>
  <c r="T66" s="1"/>
  <c r="P75"/>
  <c r="R75" s="1"/>
  <c r="N76"/>
  <c r="O76" s="1"/>
  <c r="O79" s="1"/>
  <c r="N83"/>
  <c r="L25"/>
  <c r="P40"/>
  <c r="T40" s="1"/>
  <c r="P44"/>
  <c r="T44" s="1"/>
  <c r="P55"/>
  <c r="T55" s="1"/>
  <c r="O65"/>
  <c r="Q65" s="1"/>
  <c r="P68"/>
  <c r="T68" s="1"/>
  <c r="P76"/>
  <c r="P15"/>
  <c r="T15" s="1"/>
  <c r="P21"/>
  <c r="T21" s="1"/>
  <c r="P30"/>
  <c r="T30" s="1"/>
  <c r="P43"/>
  <c r="T43" s="1"/>
  <c r="P54"/>
  <c r="T54" s="1"/>
  <c r="P67"/>
  <c r="T67" s="1"/>
  <c r="Q71" l="1"/>
  <c r="V75"/>
  <c r="Z57"/>
  <c r="AA57" s="1"/>
  <c r="B9" i="22"/>
  <c r="L35" i="23"/>
  <c r="L89" s="1"/>
  <c r="N61"/>
  <c r="D18" i="22"/>
  <c r="D21" s="1"/>
  <c r="R52" i="23"/>
  <c r="Q59"/>
  <c r="P59"/>
  <c r="T52"/>
  <c r="R54"/>
  <c r="V54" s="1"/>
  <c r="W54" s="1"/>
  <c r="Y54" s="1"/>
  <c r="Q39"/>
  <c r="Q13"/>
  <c r="T69"/>
  <c r="Z69" s="1"/>
  <c r="AA69" s="1"/>
  <c r="T19"/>
  <c r="Z19" s="1"/>
  <c r="AA19" s="1"/>
  <c r="N79"/>
  <c r="D27" i="22" s="1"/>
  <c r="R53" i="23"/>
  <c r="V53" s="1"/>
  <c r="W53" s="1"/>
  <c r="Y53" s="1"/>
  <c r="R68"/>
  <c r="V68" s="1"/>
  <c r="W68" s="1"/>
  <c r="Y68" s="1"/>
  <c r="R40"/>
  <c r="V40" s="1"/>
  <c r="W40" s="1"/>
  <c r="Y40" s="1"/>
  <c r="R21"/>
  <c r="V21" s="1"/>
  <c r="W21" s="1"/>
  <c r="Y21" s="1"/>
  <c r="R20"/>
  <c r="V20" s="1"/>
  <c r="W20" s="1"/>
  <c r="Y20" s="1"/>
  <c r="Q76"/>
  <c r="R42"/>
  <c r="V42" s="1"/>
  <c r="W42" s="1"/>
  <c r="Y42" s="1"/>
  <c r="P13"/>
  <c r="R41"/>
  <c r="V41" s="1"/>
  <c r="W41" s="1"/>
  <c r="Y41" s="1"/>
  <c r="R55"/>
  <c r="V55" s="1"/>
  <c r="W55" s="1"/>
  <c r="Y55" s="1"/>
  <c r="N25"/>
  <c r="R43"/>
  <c r="V43" s="1"/>
  <c r="W43" s="1"/>
  <c r="Y43" s="1"/>
  <c r="R23"/>
  <c r="V23" s="1"/>
  <c r="W23" s="1"/>
  <c r="Y23" s="1"/>
  <c r="T14"/>
  <c r="Z14" s="1"/>
  <c r="AA14" s="1"/>
  <c r="T76"/>
  <c r="R67"/>
  <c r="V67" s="1"/>
  <c r="W67" s="1"/>
  <c r="Y67" s="1"/>
  <c r="T22"/>
  <c r="Z22" s="1"/>
  <c r="AA22" s="1"/>
  <c r="T16"/>
  <c r="Z16" s="1"/>
  <c r="AA16" s="1"/>
  <c r="R44"/>
  <c r="V44" s="1"/>
  <c r="W44" s="1"/>
  <c r="Y44" s="1"/>
  <c r="T56"/>
  <c r="Z56" s="1"/>
  <c r="AA56" s="1"/>
  <c r="R30"/>
  <c r="V30" s="1"/>
  <c r="W30" s="1"/>
  <c r="Y30" s="1"/>
  <c r="P65"/>
  <c r="R65" s="1"/>
  <c r="R77"/>
  <c r="V77" s="1"/>
  <c r="W77" s="1"/>
  <c r="Y77" s="1"/>
  <c r="R17"/>
  <c r="V17" s="1"/>
  <c r="W17" s="1"/>
  <c r="Y17" s="1"/>
  <c r="O83"/>
  <c r="N86"/>
  <c r="T75"/>
  <c r="T79" s="1"/>
  <c r="P79"/>
  <c r="E27" i="22" s="1"/>
  <c r="C138" i="14" s="1"/>
  <c r="O28" i="23"/>
  <c r="N32"/>
  <c r="D11" i="22" s="1"/>
  <c r="C11" s="1"/>
  <c r="Z46" i="23"/>
  <c r="AA46" s="1"/>
  <c r="P39"/>
  <c r="P18"/>
  <c r="T18" s="1"/>
  <c r="R45"/>
  <c r="V45" s="1"/>
  <c r="W45" s="1"/>
  <c r="Y45" s="1"/>
  <c r="R29"/>
  <c r="V29" s="1"/>
  <c r="W29" s="1"/>
  <c r="Y29" s="1"/>
  <c r="R84"/>
  <c r="V84" s="1"/>
  <c r="W84" s="1"/>
  <c r="Y84" s="1"/>
  <c r="R66"/>
  <c r="V66" s="1"/>
  <c r="W66" s="1"/>
  <c r="Y66" s="1"/>
  <c r="R15"/>
  <c r="V15" s="1"/>
  <c r="W15" s="1"/>
  <c r="Y15" s="1"/>
  <c r="O61"/>
  <c r="R71" l="1"/>
  <c r="V65"/>
  <c r="Z30"/>
  <c r="AA30" s="1"/>
  <c r="Z55"/>
  <c r="AA55" s="1"/>
  <c r="R76"/>
  <c r="Q79"/>
  <c r="AA21"/>
  <c r="Z21"/>
  <c r="Q48"/>
  <c r="R39"/>
  <c r="E18" i="22"/>
  <c r="W75" i="23"/>
  <c r="P48"/>
  <c r="E16" i="22" s="1"/>
  <c r="E21" s="1"/>
  <c r="C135" i="14" s="1"/>
  <c r="T39" i="23"/>
  <c r="T48" s="1"/>
  <c r="O32"/>
  <c r="O35" s="1"/>
  <c r="P28"/>
  <c r="Q28"/>
  <c r="O86"/>
  <c r="O89" s="1"/>
  <c r="Q83"/>
  <c r="P83"/>
  <c r="T65"/>
  <c r="T71" s="1"/>
  <c r="E23" i="22" s="1"/>
  <c r="P71" i="23"/>
  <c r="Z44"/>
  <c r="AA44" s="1"/>
  <c r="N35"/>
  <c r="D9" i="22"/>
  <c r="D13" s="1"/>
  <c r="Z42" i="23"/>
  <c r="AA42" s="1"/>
  <c r="Z20"/>
  <c r="AA20" s="1"/>
  <c r="Z53"/>
  <c r="AA53" s="1"/>
  <c r="Q25"/>
  <c r="R13"/>
  <c r="T59"/>
  <c r="R18"/>
  <c r="V18" s="1"/>
  <c r="W18" s="1"/>
  <c r="Y18" s="1"/>
  <c r="N89"/>
  <c r="D25" i="22"/>
  <c r="D30" s="1"/>
  <c r="Z45" i="23"/>
  <c r="AA45"/>
  <c r="Z77"/>
  <c r="AA77" s="1"/>
  <c r="Z67"/>
  <c r="AA67" s="1"/>
  <c r="AA43"/>
  <c r="Z43"/>
  <c r="P25"/>
  <c r="T13"/>
  <c r="T25" s="1"/>
  <c r="Z68"/>
  <c r="AA68" s="1"/>
  <c r="V52"/>
  <c r="R59"/>
  <c r="B13" i="22"/>
  <c r="B32" s="1"/>
  <c r="B34" s="1"/>
  <c r="Z84" i="23"/>
  <c r="AA84" s="1"/>
  <c r="Z66"/>
  <c r="AA66" s="1"/>
  <c r="Z15"/>
  <c r="AA15"/>
  <c r="Z29"/>
  <c r="AA29" s="1"/>
  <c r="Z17"/>
  <c r="AA17"/>
  <c r="Z23"/>
  <c r="AA23" s="1"/>
  <c r="Z41"/>
  <c r="AA41"/>
  <c r="Z40"/>
  <c r="AA40" s="1"/>
  <c r="Z54"/>
  <c r="AA54" s="1"/>
  <c r="Q61"/>
  <c r="G77" i="2"/>
  <c r="F30" i="30" l="1"/>
  <c r="G174" i="2"/>
  <c r="C9" i="22"/>
  <c r="C13" s="1"/>
  <c r="C32" s="1"/>
  <c r="Q32" i="23"/>
  <c r="Q35" s="1"/>
  <c r="R28"/>
  <c r="P61"/>
  <c r="R25"/>
  <c r="V13"/>
  <c r="V71"/>
  <c r="W65"/>
  <c r="D32" i="22"/>
  <c r="D34" s="1"/>
  <c r="V59" i="23"/>
  <c r="W52"/>
  <c r="P35"/>
  <c r="E9" i="22"/>
  <c r="E13" s="1"/>
  <c r="C134" i="14" s="1"/>
  <c r="Q86" i="23"/>
  <c r="R83"/>
  <c r="R79"/>
  <c r="V76"/>
  <c r="T61"/>
  <c r="Z18"/>
  <c r="AA18"/>
  <c r="T83"/>
  <c r="T86" s="1"/>
  <c r="P86"/>
  <c r="E25" i="22" s="1"/>
  <c r="P32" i="23"/>
  <c r="E11" i="22" s="1"/>
  <c r="T28" i="23"/>
  <c r="T32" s="1"/>
  <c r="T35" s="1"/>
  <c r="Y75"/>
  <c r="R48"/>
  <c r="V39"/>
  <c r="R61"/>
  <c r="D22" i="20"/>
  <c r="D20"/>
  <c r="B24"/>
  <c r="E30" i="22" l="1"/>
  <c r="C137" i="14"/>
  <c r="W71" i="23"/>
  <c r="Y65"/>
  <c r="W39"/>
  <c r="V48"/>
  <c r="R32"/>
  <c r="R35" s="1"/>
  <c r="V28"/>
  <c r="E32" i="22"/>
  <c r="E34" s="1"/>
  <c r="V25" i="23"/>
  <c r="W13"/>
  <c r="T89"/>
  <c r="W76"/>
  <c r="V79"/>
  <c r="Z75"/>
  <c r="R86"/>
  <c r="V83"/>
  <c r="Y52"/>
  <c r="W59"/>
  <c r="V61"/>
  <c r="D24" i="20"/>
  <c r="B25" s="1"/>
  <c r="C24"/>
  <c r="V86" i="23" l="1"/>
  <c r="W83"/>
  <c r="Y71"/>
  <c r="F23" i="22" s="1"/>
  <c r="Z65" i="23"/>
  <c r="Z71" s="1"/>
  <c r="G23" i="22" s="1"/>
  <c r="AA65" i="23"/>
  <c r="AA71" s="1"/>
  <c r="H23" i="22" s="1"/>
  <c r="W25" i="23"/>
  <c r="Y13"/>
  <c r="Y59"/>
  <c r="Z52"/>
  <c r="Z59" s="1"/>
  <c r="Y39"/>
  <c r="W48"/>
  <c r="V35"/>
  <c r="V32"/>
  <c r="W28"/>
  <c r="Y76"/>
  <c r="W79"/>
  <c r="W61"/>
  <c r="AA75"/>
  <c r="C25" i="20"/>
  <c r="W86" i="23" l="1"/>
  <c r="Y83"/>
  <c r="AA52"/>
  <c r="AA59" s="1"/>
  <c r="G18" i="22"/>
  <c r="Z61" i="23"/>
  <c r="Y48"/>
  <c r="F16" i="22" s="1"/>
  <c r="AA39" i="23"/>
  <c r="AA48" s="1"/>
  <c r="H16" i="22" s="1"/>
  <c r="Z39" i="23"/>
  <c r="Z48" s="1"/>
  <c r="G16" i="22" s="1"/>
  <c r="G21" s="1"/>
  <c r="W32" i="23"/>
  <c r="Y28"/>
  <c r="Y25"/>
  <c r="Z13"/>
  <c r="Z25" s="1"/>
  <c r="Z76"/>
  <c r="Z79" s="1"/>
  <c r="G27" i="22" s="1"/>
  <c r="Y79" i="23"/>
  <c r="F27" i="22" s="1"/>
  <c r="Y61" i="23"/>
  <c r="F18" i="22"/>
  <c r="W35" i="23"/>
  <c r="D10" i="20"/>
  <c r="D15" i="14"/>
  <c r="D16"/>
  <c r="E15"/>
  <c r="E14"/>
  <c r="D72" i="19"/>
  <c r="AO71"/>
  <c r="AO70"/>
  <c r="AO69"/>
  <c r="AO68"/>
  <c r="AO67"/>
  <c r="AO66"/>
  <c r="AO65"/>
  <c r="AO64"/>
  <c r="AO63"/>
  <c r="AO62"/>
  <c r="AO61"/>
  <c r="AO60"/>
  <c r="D56"/>
  <c r="AO55"/>
  <c r="AO54"/>
  <c r="AO53"/>
  <c r="AO52"/>
  <c r="AO51"/>
  <c r="AO50"/>
  <c r="AO49"/>
  <c r="AO48"/>
  <c r="AO47"/>
  <c r="AO46"/>
  <c r="AO45"/>
  <c r="AO44"/>
  <c r="AO43"/>
  <c r="AO42"/>
  <c r="AO41"/>
  <c r="AO40"/>
  <c r="AO39"/>
  <c r="AO38"/>
  <c r="AO37"/>
  <c r="AO36"/>
  <c r="AO35"/>
  <c r="AO34"/>
  <c r="AO33"/>
  <c r="AO32"/>
  <c r="AO31"/>
  <c r="AO30"/>
  <c r="AO29"/>
  <c r="AO28"/>
  <c r="AO27"/>
  <c r="AO26"/>
  <c r="AO25"/>
  <c r="AO24"/>
  <c r="AO23"/>
  <c r="AO22"/>
  <c r="AO21"/>
  <c r="AO20"/>
  <c r="F17"/>
  <c r="D17"/>
  <c r="D16"/>
  <c r="H8"/>
  <c r="E8"/>
  <c r="C8"/>
  <c r="W4"/>
  <c r="S4"/>
  <c r="O4"/>
  <c r="B5"/>
  <c r="G9" i="22" l="1"/>
  <c r="G13" s="1"/>
  <c r="Z35" i="23"/>
  <c r="Z83"/>
  <c r="Z86" s="1"/>
  <c r="Y86"/>
  <c r="AA83"/>
  <c r="AA86" s="1"/>
  <c r="AA13"/>
  <c r="AA25" s="1"/>
  <c r="F21" i="22"/>
  <c r="Z28" i="23"/>
  <c r="Z32" s="1"/>
  <c r="G11" i="22" s="1"/>
  <c r="Y32" i="23"/>
  <c r="F11" i="22" s="1"/>
  <c r="AA28" i="23"/>
  <c r="AA32" s="1"/>
  <c r="H11" i="22" s="1"/>
  <c r="H18"/>
  <c r="AA61" i="23"/>
  <c r="H21" i="22"/>
  <c r="J21" s="1"/>
  <c r="F9"/>
  <c r="AA76" i="23"/>
  <c r="AA79" s="1"/>
  <c r="H27" i="22" s="1"/>
  <c r="F13" l="1"/>
  <c r="H25"/>
  <c r="H30" s="1"/>
  <c r="AA89" i="23"/>
  <c r="G25" i="22"/>
  <c r="G30" s="1"/>
  <c r="G32" s="1"/>
  <c r="Z89" i="23"/>
  <c r="AA35"/>
  <c r="H9" i="22"/>
  <c r="H13" s="1"/>
  <c r="F25"/>
  <c r="F30" s="1"/>
  <c r="Y89" i="23"/>
  <c r="Y35"/>
  <c r="F32" i="22" l="1"/>
  <c r="F34" s="1"/>
  <c r="J13"/>
  <c r="H32"/>
  <c r="I180" i="2" s="1"/>
  <c r="G64" i="30" s="1"/>
  <c r="G34" i="22"/>
  <c r="F15" i="14"/>
  <c r="L18"/>
  <c r="C14"/>
  <c r="L12" i="2" s="1"/>
  <c r="M12" i="30" s="1"/>
  <c r="O12" s="1"/>
  <c r="C13" i="14"/>
  <c r="L11" i="2" s="1"/>
  <c r="C12" i="14"/>
  <c r="L10" i="2" s="1"/>
  <c r="M10" i="30" s="1"/>
  <c r="C11" i="14"/>
  <c r="L9" i="2" s="1"/>
  <c r="M9" i="30" s="1"/>
  <c r="C10" i="14"/>
  <c r="L8" i="2" s="1"/>
  <c r="M8" i="30" s="1"/>
  <c r="D108" i="18"/>
  <c r="D101"/>
  <c r="D96"/>
  <c r="D79"/>
  <c r="D81" s="1"/>
  <c r="G145" i="17"/>
  <c r="G144"/>
  <c r="F147"/>
  <c r="E147"/>
  <c r="F142"/>
  <c r="F140"/>
  <c r="G138"/>
  <c r="G140" s="1"/>
  <c r="B13" i="14" s="1"/>
  <c r="K11" i="2" s="1"/>
  <c r="K76" s="1"/>
  <c r="G133" i="17"/>
  <c r="G131"/>
  <c r="G130"/>
  <c r="G129"/>
  <c r="G128"/>
  <c r="G126"/>
  <c r="G125"/>
  <c r="G122"/>
  <c r="G121"/>
  <c r="E135"/>
  <c r="G114"/>
  <c r="G113"/>
  <c r="C111" i="31" s="1"/>
  <c r="G112" i="17"/>
  <c r="C110" i="31" s="1"/>
  <c r="G110" i="17"/>
  <c r="C108" i="31" s="1"/>
  <c r="G109" i="17"/>
  <c r="C107" i="31" s="1"/>
  <c r="G108" i="17"/>
  <c r="C106" i="31" s="1"/>
  <c r="G107" i="17"/>
  <c r="C105" i="31" s="1"/>
  <c r="G106" i="17"/>
  <c r="C104" i="31" s="1"/>
  <c r="G105" i="17"/>
  <c r="C103" i="31" s="1"/>
  <c r="G104" i="17"/>
  <c r="C102" i="31" s="1"/>
  <c r="G103" i="17"/>
  <c r="C101" i="31" s="1"/>
  <c r="G101" i="17"/>
  <c r="C99" i="31" s="1"/>
  <c r="G100" i="17"/>
  <c r="C98" i="31" s="1"/>
  <c r="G99" i="17"/>
  <c r="C97" i="31" s="1"/>
  <c r="G98" i="17"/>
  <c r="C96" i="31" s="1"/>
  <c r="G97" i="17"/>
  <c r="C95" i="31" s="1"/>
  <c r="G96" i="17"/>
  <c r="C94" i="31" s="1"/>
  <c r="G95" i="17"/>
  <c r="C93" i="31" s="1"/>
  <c r="G94" i="17"/>
  <c r="C92" i="31" s="1"/>
  <c r="G93" i="17"/>
  <c r="C91" i="31" s="1"/>
  <c r="G92" i="17"/>
  <c r="C90" i="31" s="1"/>
  <c r="G91" i="17"/>
  <c r="C89" i="31" s="1"/>
  <c r="G90" i="17"/>
  <c r="C88" i="31" s="1"/>
  <c r="G89" i="17"/>
  <c r="C87" i="31" s="1"/>
  <c r="G88" i="17"/>
  <c r="C86" i="31" s="1"/>
  <c r="G87" i="17"/>
  <c r="C85" i="31" s="1"/>
  <c r="G86" i="17"/>
  <c r="C84" i="31" s="1"/>
  <c r="G85" i="17"/>
  <c r="C83" i="31" s="1"/>
  <c r="G84" i="17"/>
  <c r="C82" i="31" s="1"/>
  <c r="G83" i="17"/>
  <c r="C81" i="31" s="1"/>
  <c r="G82" i="17"/>
  <c r="C80" i="31" s="1"/>
  <c r="G81" i="17"/>
  <c r="C79" i="31" s="1"/>
  <c r="G80" i="17"/>
  <c r="C78" i="31" s="1"/>
  <c r="J80" i="17"/>
  <c r="I79"/>
  <c r="G79"/>
  <c r="C77" i="31" s="1"/>
  <c r="J79" i="17"/>
  <c r="J78"/>
  <c r="I78"/>
  <c r="K78" s="1"/>
  <c r="J77"/>
  <c r="G77"/>
  <c r="C75" i="31" s="1"/>
  <c r="J76" i="17"/>
  <c r="G76"/>
  <c r="C74" i="31" s="1"/>
  <c r="J75" i="17"/>
  <c r="G75"/>
  <c r="C73" i="31" s="1"/>
  <c r="J74" i="17"/>
  <c r="G74"/>
  <c r="C72" i="31" s="1"/>
  <c r="J73" i="17"/>
  <c r="G73"/>
  <c r="C71" i="31" s="1"/>
  <c r="G72" i="17"/>
  <c r="C70" i="31" s="1"/>
  <c r="J72" i="17"/>
  <c r="I72"/>
  <c r="G71"/>
  <c r="C69" i="31" s="1"/>
  <c r="J71" i="17"/>
  <c r="I71"/>
  <c r="K71" s="1"/>
  <c r="E69" i="31" s="1"/>
  <c r="G69" s="1"/>
  <c r="I69" s="1"/>
  <c r="I70" i="17"/>
  <c r="K70" s="1"/>
  <c r="E68" i="31" s="1"/>
  <c r="G68" s="1"/>
  <c r="I68" s="1"/>
  <c r="G70" i="17"/>
  <c r="C68" i="31" s="1"/>
  <c r="J70" i="17"/>
  <c r="I69"/>
  <c r="G69"/>
  <c r="C67" i="31" s="1"/>
  <c r="J69" i="17"/>
  <c r="I68"/>
  <c r="G68"/>
  <c r="C66" i="31" s="1"/>
  <c r="J68" i="17"/>
  <c r="I67"/>
  <c r="G67"/>
  <c r="C65" i="31" s="1"/>
  <c r="J67" i="17"/>
  <c r="I66"/>
  <c r="G66"/>
  <c r="C64" i="31" s="1"/>
  <c r="J66" i="17"/>
  <c r="I65"/>
  <c r="G65"/>
  <c r="C63" i="31" s="1"/>
  <c r="J65" i="17"/>
  <c r="I64"/>
  <c r="G64"/>
  <c r="C62" i="31" s="1"/>
  <c r="J64" i="17"/>
  <c r="I63"/>
  <c r="G63"/>
  <c r="C61" i="31" s="1"/>
  <c r="J63" i="17"/>
  <c r="I62"/>
  <c r="G62"/>
  <c r="C60" i="31" s="1"/>
  <c r="J62" i="17"/>
  <c r="I61"/>
  <c r="G61"/>
  <c r="C59" i="31" s="1"/>
  <c r="J61" i="17"/>
  <c r="I60"/>
  <c r="G60"/>
  <c r="C58" i="31" s="1"/>
  <c r="J60" i="17"/>
  <c r="I59"/>
  <c r="G59"/>
  <c r="C57" i="31" s="1"/>
  <c r="J59" i="17"/>
  <c r="I58"/>
  <c r="G58"/>
  <c r="C56" i="31" s="1"/>
  <c r="J58" i="17"/>
  <c r="I57"/>
  <c r="G57"/>
  <c r="C55" i="31" s="1"/>
  <c r="J57" i="17"/>
  <c r="I56"/>
  <c r="G56"/>
  <c r="C54" i="31" s="1"/>
  <c r="J56" i="17"/>
  <c r="I55"/>
  <c r="G55"/>
  <c r="C53" i="31" s="1"/>
  <c r="J55" i="17"/>
  <c r="I54"/>
  <c r="G54"/>
  <c r="C52" i="31" s="1"/>
  <c r="J54" i="17"/>
  <c r="I53"/>
  <c r="G53"/>
  <c r="C51" i="31" s="1"/>
  <c r="J53" i="17"/>
  <c r="I52"/>
  <c r="G52"/>
  <c r="C50" i="31" s="1"/>
  <c r="J52" i="17"/>
  <c r="I51"/>
  <c r="G51"/>
  <c r="C49" i="31" s="1"/>
  <c r="J51" i="17"/>
  <c r="I50"/>
  <c r="G50"/>
  <c r="C48" i="31" s="1"/>
  <c r="J50" i="17"/>
  <c r="I49"/>
  <c r="G49"/>
  <c r="C47" i="31" s="1"/>
  <c r="J49" i="17"/>
  <c r="I48"/>
  <c r="G48"/>
  <c r="C46" i="31" s="1"/>
  <c r="J48" i="17"/>
  <c r="E116"/>
  <c r="F47"/>
  <c r="F44"/>
  <c r="F43"/>
  <c r="G39"/>
  <c r="C37" i="31" s="1"/>
  <c r="G38" i="17"/>
  <c r="C36" i="31" s="1"/>
  <c r="G37" i="17"/>
  <c r="C35" i="31" s="1"/>
  <c r="G36" i="17"/>
  <c r="C34" i="31" s="1"/>
  <c r="G35" i="17"/>
  <c r="C33" i="31" s="1"/>
  <c r="G34" i="17"/>
  <c r="C32" i="31" s="1"/>
  <c r="G33" i="17"/>
  <c r="C31" i="31" s="1"/>
  <c r="G32" i="17"/>
  <c r="C30" i="31" s="1"/>
  <c r="G31" i="17"/>
  <c r="C29" i="31" s="1"/>
  <c r="G30" i="17"/>
  <c r="C28" i="31" s="1"/>
  <c r="G29" i="17"/>
  <c r="C27" i="31" s="1"/>
  <c r="G28" i="17"/>
  <c r="C26" i="31" s="1"/>
  <c r="G27" i="17"/>
  <c r="C25" i="31" s="1"/>
  <c r="G26" i="17"/>
  <c r="C24" i="31" s="1"/>
  <c r="G25" i="17"/>
  <c r="C23" i="31" s="1"/>
  <c r="J24" i="17"/>
  <c r="G24"/>
  <c r="C22" i="31" s="1"/>
  <c r="J23" i="17"/>
  <c r="I23"/>
  <c r="K23" s="1"/>
  <c r="E21" i="31" s="1"/>
  <c r="G21" s="1"/>
  <c r="I21" s="1"/>
  <c r="I22" i="17"/>
  <c r="G22"/>
  <c r="C20" i="31" s="1"/>
  <c r="J22" i="17"/>
  <c r="I21"/>
  <c r="G21"/>
  <c r="C19" i="31" s="1"/>
  <c r="J21" i="17"/>
  <c r="I20"/>
  <c r="G20"/>
  <c r="C18" i="31" s="1"/>
  <c r="J20" i="17"/>
  <c r="I19"/>
  <c r="G19"/>
  <c r="C17" i="31" s="1"/>
  <c r="J19" i="17"/>
  <c r="I18"/>
  <c r="G18"/>
  <c r="C16" i="31" s="1"/>
  <c r="J18" i="17"/>
  <c r="I17"/>
  <c r="G17"/>
  <c r="C15" i="31" s="1"/>
  <c r="J17" i="17"/>
  <c r="I16"/>
  <c r="G16"/>
  <c r="C14" i="31" s="1"/>
  <c r="J16" i="17"/>
  <c r="I15"/>
  <c r="G15"/>
  <c r="C13" i="31" s="1"/>
  <c r="J15" i="17"/>
  <c r="I14"/>
  <c r="G14"/>
  <c r="C12" i="31" s="1"/>
  <c r="J14" i="17"/>
  <c r="I13"/>
  <c r="G13"/>
  <c r="C11" i="31" s="1"/>
  <c r="F41" i="17"/>
  <c r="C114" i="31" l="1"/>
  <c r="J116" i="17"/>
  <c r="M11" i="30"/>
  <c r="O11" s="1"/>
  <c r="E30" i="25"/>
  <c r="E34" s="1"/>
  <c r="K180" i="2"/>
  <c r="H34" i="22"/>
  <c r="E9" i="6"/>
  <c r="D13" i="14"/>
  <c r="I11" i="30"/>
  <c r="K11" s="1"/>
  <c r="C17" i="14"/>
  <c r="G123" i="17"/>
  <c r="G124"/>
  <c r="G127"/>
  <c r="K17"/>
  <c r="E15" i="31" s="1"/>
  <c r="G15" s="1"/>
  <c r="I15" s="1"/>
  <c r="K21" i="17"/>
  <c r="E19" i="31" s="1"/>
  <c r="G19" s="1"/>
  <c r="I19" s="1"/>
  <c r="G116" i="17"/>
  <c r="B11" i="14" s="1"/>
  <c r="K9" i="2" s="1"/>
  <c r="I9" i="30" s="1"/>
  <c r="K49" i="17"/>
  <c r="E47" i="31" s="1"/>
  <c r="G47" s="1"/>
  <c r="I47" s="1"/>
  <c r="K53" i="17"/>
  <c r="E51" i="31" s="1"/>
  <c r="G51" s="1"/>
  <c r="I51" s="1"/>
  <c r="K57" i="17"/>
  <c r="E55" i="31" s="1"/>
  <c r="G55" s="1"/>
  <c r="I55" s="1"/>
  <c r="K61" i="17"/>
  <c r="E59" i="31" s="1"/>
  <c r="G59" s="1"/>
  <c r="I59" s="1"/>
  <c r="K65" i="17"/>
  <c r="E63" i="31" s="1"/>
  <c r="G63" s="1"/>
  <c r="I63" s="1"/>
  <c r="K69" i="17"/>
  <c r="E67" i="31" s="1"/>
  <c r="G67" s="1"/>
  <c r="I67" s="1"/>
  <c r="K79" i="17"/>
  <c r="E77" i="31" s="1"/>
  <c r="G77" s="1"/>
  <c r="I77" s="1"/>
  <c r="G132" i="17"/>
  <c r="K51"/>
  <c r="E49" i="31" s="1"/>
  <c r="G49" s="1"/>
  <c r="I49" s="1"/>
  <c r="K55" i="17"/>
  <c r="E53" i="31" s="1"/>
  <c r="G53" s="1"/>
  <c r="I53" s="1"/>
  <c r="K59" i="17"/>
  <c r="E57" i="31" s="1"/>
  <c r="G57" s="1"/>
  <c r="I57" s="1"/>
  <c r="K67" i="17"/>
  <c r="E65" i="31" s="1"/>
  <c r="G65" s="1"/>
  <c r="I65" s="1"/>
  <c r="K63" i="17"/>
  <c r="E61" i="31" s="1"/>
  <c r="G61" s="1"/>
  <c r="I61" s="1"/>
  <c r="K19" i="17"/>
  <c r="E17" i="31" s="1"/>
  <c r="G17" s="1"/>
  <c r="I17" s="1"/>
  <c r="K15" i="17"/>
  <c r="E13" i="31" s="1"/>
  <c r="G13" s="1"/>
  <c r="I13" s="1"/>
  <c r="K14" i="17"/>
  <c r="E12" i="31" s="1"/>
  <c r="G12" s="1"/>
  <c r="I12" s="1"/>
  <c r="K16" i="17"/>
  <c r="E14" i="31" s="1"/>
  <c r="G14" s="1"/>
  <c r="I14" s="1"/>
  <c r="K22" i="17"/>
  <c r="E20" i="31" s="1"/>
  <c r="G20" s="1"/>
  <c r="I20" s="1"/>
  <c r="K18" i="17"/>
  <c r="E16" i="31" s="1"/>
  <c r="G16" s="1"/>
  <c r="I16" s="1"/>
  <c r="K20" i="17"/>
  <c r="E18" i="31" s="1"/>
  <c r="G18" s="1"/>
  <c r="I18" s="1"/>
  <c r="K50" i="17"/>
  <c r="E48" i="31" s="1"/>
  <c r="G48" s="1"/>
  <c r="I48" s="1"/>
  <c r="K52" i="17"/>
  <c r="E50" i="31" s="1"/>
  <c r="G50" s="1"/>
  <c r="I50" s="1"/>
  <c r="K54" i="17"/>
  <c r="E52" i="31" s="1"/>
  <c r="G52" s="1"/>
  <c r="I52" s="1"/>
  <c r="K56" i="17"/>
  <c r="E54" i="31" s="1"/>
  <c r="G54" s="1"/>
  <c r="I54" s="1"/>
  <c r="K58" i="17"/>
  <c r="K60"/>
  <c r="E58" i="31" s="1"/>
  <c r="G58" s="1"/>
  <c r="I58" s="1"/>
  <c r="K62" i="17"/>
  <c r="E60" i="31" s="1"/>
  <c r="G60" s="1"/>
  <c r="I60" s="1"/>
  <c r="K64" i="17"/>
  <c r="E62" i="31" s="1"/>
  <c r="G62" s="1"/>
  <c r="I62" s="1"/>
  <c r="K66" i="17"/>
  <c r="E64" i="31" s="1"/>
  <c r="G64" s="1"/>
  <c r="I64" s="1"/>
  <c r="K68" i="17"/>
  <c r="E66" i="31" s="1"/>
  <c r="G66" s="1"/>
  <c r="I66" s="1"/>
  <c r="I24" i="17"/>
  <c r="K24" s="1"/>
  <c r="E22" i="31" s="1"/>
  <c r="G22" s="1"/>
  <c r="I22" s="1"/>
  <c r="I80" i="17"/>
  <c r="K80" s="1"/>
  <c r="E78" i="31" s="1"/>
  <c r="G78" s="1"/>
  <c r="I78" s="1"/>
  <c r="F116" i="17"/>
  <c r="D41" i="18"/>
  <c r="E41" i="17"/>
  <c r="G23"/>
  <c r="K48"/>
  <c r="E46" i="31" s="1"/>
  <c r="G46" s="1"/>
  <c r="I46" s="1"/>
  <c r="I73" i="17"/>
  <c r="K73" s="1"/>
  <c r="E71" i="31" s="1"/>
  <c r="G71" s="1"/>
  <c r="I71" s="1"/>
  <c r="I74" i="17"/>
  <c r="K74" s="1"/>
  <c r="E72" i="31" s="1"/>
  <c r="G72" s="1"/>
  <c r="I72" s="1"/>
  <c r="I75" i="17"/>
  <c r="K75" s="1"/>
  <c r="E73" i="31" s="1"/>
  <c r="G73" s="1"/>
  <c r="I73" s="1"/>
  <c r="I76" i="17"/>
  <c r="K76" s="1"/>
  <c r="E74" i="31" s="1"/>
  <c r="G74" s="1"/>
  <c r="I74" s="1"/>
  <c r="I77" i="17"/>
  <c r="K77" s="1"/>
  <c r="E75" i="31" s="1"/>
  <c r="G75" s="1"/>
  <c r="I75" s="1"/>
  <c r="E140" i="17"/>
  <c r="G143"/>
  <c r="G147" s="1"/>
  <c r="B14" i="14" s="1"/>
  <c r="K12" i="2" s="1"/>
  <c r="I12" i="30" s="1"/>
  <c r="K12" s="1"/>
  <c r="J13" i="17"/>
  <c r="J41" s="1"/>
  <c r="F135"/>
  <c r="C9" i="20"/>
  <c r="E18" i="6"/>
  <c r="E17"/>
  <c r="D26" i="16"/>
  <c r="D32" s="1"/>
  <c r="D36" s="1"/>
  <c r="D40" s="1"/>
  <c r="C73" i="15"/>
  <c r="C72"/>
  <c r="C75" s="1"/>
  <c r="C65"/>
  <c r="C56"/>
  <c r="C58" s="1"/>
  <c r="C40"/>
  <c r="C46" s="1"/>
  <c r="C20"/>
  <c r="C29" s="1"/>
  <c r="B119" i="14"/>
  <c r="B105"/>
  <c r="B101"/>
  <c r="B141"/>
  <c r="B139"/>
  <c r="B77"/>
  <c r="B63"/>
  <c r="B46"/>
  <c r="B45"/>
  <c r="B44"/>
  <c r="D164" i="2" s="1"/>
  <c r="B43" i="14"/>
  <c r="D163" i="2" s="1"/>
  <c r="B41" i="14"/>
  <c r="K59" i="13"/>
  <c r="N58"/>
  <c r="N56"/>
  <c r="N55"/>
  <c r="N53"/>
  <c r="N52"/>
  <c r="N46"/>
  <c r="N43"/>
  <c r="N42"/>
  <c r="N41"/>
  <c r="N39"/>
  <c r="N36"/>
  <c r="N35"/>
  <c r="N34"/>
  <c r="N28"/>
  <c r="N27"/>
  <c r="N25"/>
  <c r="N24"/>
  <c r="N23"/>
  <c r="N22"/>
  <c r="N21"/>
  <c r="N20"/>
  <c r="N18"/>
  <c r="N17"/>
  <c r="M14"/>
  <c r="L14"/>
  <c r="K14"/>
  <c r="J14"/>
  <c r="I14"/>
  <c r="H14"/>
  <c r="G14"/>
  <c r="F14"/>
  <c r="D14"/>
  <c r="G41" i="17" l="1"/>
  <c r="B10" i="14" s="1"/>
  <c r="K8" i="2" s="1"/>
  <c r="I8" i="30" s="1"/>
  <c r="C21" i="31"/>
  <c r="C39" s="1"/>
  <c r="I116" i="17"/>
  <c r="G135"/>
  <c r="B12" i="14" s="1"/>
  <c r="I41" i="17"/>
  <c r="D14" i="14"/>
  <c r="K116" i="17"/>
  <c r="B9" i="20" s="1"/>
  <c r="D9" s="1"/>
  <c r="E56" i="31"/>
  <c r="D11" i="14"/>
  <c r="C21" i="21"/>
  <c r="C20"/>
  <c r="C12" i="20"/>
  <c r="M14" i="30"/>
  <c r="E9" i="26"/>
  <c r="L15" i="6" s="1"/>
  <c r="I64" i="30"/>
  <c r="E30" i="26"/>
  <c r="E34" s="1"/>
  <c r="E19" i="6"/>
  <c r="E19" i="25"/>
  <c r="E19" i="26"/>
  <c r="K13" i="17"/>
  <c r="D110" i="18"/>
  <c r="E149" i="17"/>
  <c r="F149"/>
  <c r="C66" i="15"/>
  <c r="C60"/>
  <c r="C62" s="1"/>
  <c r="C67"/>
  <c r="D65" s="1"/>
  <c r="B106" i="14"/>
  <c r="D139"/>
  <c r="B47"/>
  <c r="F57" i="13" s="1"/>
  <c r="F59" s="1"/>
  <c r="B102" i="14"/>
  <c r="N40" i="13"/>
  <c r="G59"/>
  <c r="N31"/>
  <c r="N37"/>
  <c r="C142" i="14"/>
  <c r="N26" i="13"/>
  <c r="D59"/>
  <c r="B17" i="14" l="1"/>
  <c r="D10"/>
  <c r="G149" i="17"/>
  <c r="K41"/>
  <c r="B8" i="20" s="1"/>
  <c r="B12" s="1"/>
  <c r="E11" i="31"/>
  <c r="K10" i="2"/>
  <c r="I10" i="30" s="1"/>
  <c r="D12" i="14"/>
  <c r="B21" i="21"/>
  <c r="G56" i="31"/>
  <c r="E114"/>
  <c r="C23" i="21"/>
  <c r="C26" s="1"/>
  <c r="B49" i="14"/>
  <c r="N57" i="13"/>
  <c r="E9" i="25"/>
  <c r="M15" i="6" s="1"/>
  <c r="N15" s="1"/>
  <c r="M64" i="30"/>
  <c r="D66" i="15"/>
  <c r="B108" i="14"/>
  <c r="B150" s="1"/>
  <c r="N32" i="13"/>
  <c r="N30"/>
  <c r="D17" i="14" l="1"/>
  <c r="B20" i="21"/>
  <c r="B23" s="1"/>
  <c r="B26" s="1"/>
  <c r="B27" s="1"/>
  <c r="K105" i="2" s="1"/>
  <c r="D8" i="20"/>
  <c r="D12" s="1"/>
  <c r="B13" s="1"/>
  <c r="I14" i="30"/>
  <c r="G11" i="31"/>
  <c r="E39"/>
  <c r="I56"/>
  <c r="G114"/>
  <c r="C27" i="21"/>
  <c r="L105" i="2" s="1"/>
  <c r="C13" i="20" l="1"/>
  <c r="I11" i="31"/>
  <c r="I39" s="1"/>
  <c r="G39"/>
  <c r="E125" s="1"/>
  <c r="D26" i="21"/>
  <c r="D27" s="1"/>
  <c r="G105" i="2" s="1"/>
  <c r="I114" i="31"/>
  <c r="C91" i="10"/>
  <c r="C89"/>
  <c r="G86"/>
  <c r="C85"/>
  <c r="C87" s="1"/>
  <c r="D84"/>
  <c r="E84" s="1"/>
  <c r="G84" s="1"/>
  <c r="E83"/>
  <c r="G83" s="1"/>
  <c r="D82"/>
  <c r="E82" s="1"/>
  <c r="G82" s="1"/>
  <c r="G81"/>
  <c r="E81"/>
  <c r="E80"/>
  <c r="G80" s="1"/>
  <c r="D79"/>
  <c r="E79" s="1"/>
  <c r="G79" s="1"/>
  <c r="E78"/>
  <c r="G78" s="1"/>
  <c r="E77"/>
  <c r="G77" s="1"/>
  <c r="D76"/>
  <c r="E76" s="1"/>
  <c r="G76" s="1"/>
  <c r="G75"/>
  <c r="E75"/>
  <c r="D74"/>
  <c r="E74" s="1"/>
  <c r="G74" s="1"/>
  <c r="E73"/>
  <c r="G73" s="1"/>
  <c r="E72"/>
  <c r="G72" s="1"/>
  <c r="E71"/>
  <c r="G71" s="1"/>
  <c r="D70"/>
  <c r="E70" s="1"/>
  <c r="G70" s="1"/>
  <c r="E69"/>
  <c r="G69" s="1"/>
  <c r="E68"/>
  <c r="G68" s="1"/>
  <c r="D67"/>
  <c r="E67" s="1"/>
  <c r="G67" s="1"/>
  <c r="E66"/>
  <c r="G66" s="1"/>
  <c r="E65"/>
  <c r="G65" s="1"/>
  <c r="E64"/>
  <c r="G64" s="1"/>
  <c r="E63"/>
  <c r="G63" s="1"/>
  <c r="E62"/>
  <c r="G62" s="1"/>
  <c r="E61"/>
  <c r="G61" s="1"/>
  <c r="E60"/>
  <c r="G60" s="1"/>
  <c r="E59"/>
  <c r="G59" s="1"/>
  <c r="E58"/>
  <c r="G58" s="1"/>
  <c r="E57"/>
  <c r="G57" s="1"/>
  <c r="E56"/>
  <c r="G56" s="1"/>
  <c r="D55"/>
  <c r="E55" s="1"/>
  <c r="G55" s="1"/>
  <c r="E54"/>
  <c r="G54" s="1"/>
  <c r="D53"/>
  <c r="E53" s="1"/>
  <c r="G53" s="1"/>
  <c r="E52"/>
  <c r="G52" s="1"/>
  <c r="E51"/>
  <c r="G51" s="1"/>
  <c r="D51"/>
  <c r="E50"/>
  <c r="G50" s="1"/>
  <c r="G49"/>
  <c r="E49"/>
  <c r="E48"/>
  <c r="G48" s="1"/>
  <c r="E47"/>
  <c r="G47" s="1"/>
  <c r="E46"/>
  <c r="G46" s="1"/>
  <c r="G45"/>
  <c r="E45"/>
  <c r="D44"/>
  <c r="E44" s="1"/>
  <c r="G44" s="1"/>
  <c r="E43"/>
  <c r="G43" s="1"/>
  <c r="G42"/>
  <c r="E42"/>
  <c r="D41"/>
  <c r="E41" s="1"/>
  <c r="G41" s="1"/>
  <c r="E40"/>
  <c r="G40" s="1"/>
  <c r="E39"/>
  <c r="G39" s="1"/>
  <c r="D38"/>
  <c r="E38" s="1"/>
  <c r="G38" s="1"/>
  <c r="E37"/>
  <c r="G37" s="1"/>
  <c r="D36"/>
  <c r="E36" s="1"/>
  <c r="G36" s="1"/>
  <c r="D35"/>
  <c r="E35" s="1"/>
  <c r="G35" s="1"/>
  <c r="E34"/>
  <c r="G34" s="1"/>
  <c r="G33"/>
  <c r="E33"/>
  <c r="E32"/>
  <c r="G32" s="1"/>
  <c r="E31"/>
  <c r="G31" s="1"/>
  <c r="E30"/>
  <c r="G30" s="1"/>
  <c r="F29"/>
  <c r="E29"/>
  <c r="G29" s="1"/>
  <c r="G28"/>
  <c r="E28"/>
  <c r="D27"/>
  <c r="E27" s="1"/>
  <c r="G27" s="1"/>
  <c r="D26"/>
  <c r="E26" s="1"/>
  <c r="G26" s="1"/>
  <c r="D25"/>
  <c r="E25" s="1"/>
  <c r="G25" s="1"/>
  <c r="E24"/>
  <c r="G24" s="1"/>
  <c r="E23"/>
  <c r="G23" s="1"/>
  <c r="E22"/>
  <c r="G22" s="1"/>
  <c r="D22"/>
  <c r="E21"/>
  <c r="G21" s="1"/>
  <c r="G20"/>
  <c r="E20"/>
  <c r="E19"/>
  <c r="G19" s="1"/>
  <c r="G18"/>
  <c r="E18"/>
  <c r="E17"/>
  <c r="G17" s="1"/>
  <c r="E16"/>
  <c r="G16" s="1"/>
  <c r="E15"/>
  <c r="G15" s="1"/>
  <c r="D14"/>
  <c r="E14" s="1"/>
  <c r="G14" s="1"/>
  <c r="E13"/>
  <c r="G13" s="1"/>
  <c r="E12"/>
  <c r="G11"/>
  <c r="E11"/>
  <c r="H7"/>
  <c r="I115" i="31" l="1"/>
  <c r="E126" s="1"/>
  <c r="J56" s="1"/>
  <c r="K56" s="1"/>
  <c r="L56" s="1"/>
  <c r="P56" s="1"/>
  <c r="E85" i="10"/>
  <c r="E87" s="1"/>
  <c r="D85"/>
  <c r="G12"/>
  <c r="G85" s="1"/>
  <c r="G87" s="1"/>
  <c r="J72" i="31" l="1"/>
  <c r="K72" s="1"/>
  <c r="L72" s="1"/>
  <c r="J67"/>
  <c r="K67" s="1"/>
  <c r="L67" s="1"/>
  <c r="J23"/>
  <c r="K23" s="1"/>
  <c r="L23" s="1"/>
  <c r="P23" s="1"/>
  <c r="J55"/>
  <c r="K55" s="1"/>
  <c r="L55" s="1"/>
  <c r="J62"/>
  <c r="K62" s="1"/>
  <c r="L62" s="1"/>
  <c r="J68"/>
  <c r="K68" s="1"/>
  <c r="L68" s="1"/>
  <c r="J49"/>
  <c r="K49" s="1"/>
  <c r="L49" s="1"/>
  <c r="N49" s="1"/>
  <c r="J11"/>
  <c r="J82"/>
  <c r="K82" s="1"/>
  <c r="L82" s="1"/>
  <c r="J71"/>
  <c r="K71" s="1"/>
  <c r="L71" s="1"/>
  <c r="J81"/>
  <c r="K81" s="1"/>
  <c r="L81" s="1"/>
  <c r="Q81" s="1"/>
  <c r="J78"/>
  <c r="K78" s="1"/>
  <c r="L78" s="1"/>
  <c r="P78" s="1"/>
  <c r="Q56"/>
  <c r="J75"/>
  <c r="K75" s="1"/>
  <c r="L75" s="1"/>
  <c r="J16"/>
  <c r="K16" s="1"/>
  <c r="L16" s="1"/>
  <c r="G61" i="12" s="1"/>
  <c r="J85" i="31"/>
  <c r="K85" s="1"/>
  <c r="L85" s="1"/>
  <c r="P85" s="1"/>
  <c r="J87"/>
  <c r="K87" s="1"/>
  <c r="L87" s="1"/>
  <c r="J86"/>
  <c r="K86" s="1"/>
  <c r="L86" s="1"/>
  <c r="J15"/>
  <c r="K15" s="1"/>
  <c r="L15" s="1"/>
  <c r="P15" s="1"/>
  <c r="J58"/>
  <c r="K58" s="1"/>
  <c r="L58" s="1"/>
  <c r="N58" s="1"/>
  <c r="J46"/>
  <c r="K46" s="1"/>
  <c r="J63"/>
  <c r="K63" s="1"/>
  <c r="L63" s="1"/>
  <c r="J51"/>
  <c r="K51" s="1"/>
  <c r="L51" s="1"/>
  <c r="N51" s="1"/>
  <c r="J60"/>
  <c r="K60" s="1"/>
  <c r="L60" s="1"/>
  <c r="N60" s="1"/>
  <c r="J48"/>
  <c r="K48" s="1"/>
  <c r="L48" s="1"/>
  <c r="N48" s="1"/>
  <c r="J18"/>
  <c r="K18" s="1"/>
  <c r="L18" s="1"/>
  <c r="G56" i="12" s="1"/>
  <c r="J59" i="31"/>
  <c r="K59" s="1"/>
  <c r="L59" s="1"/>
  <c r="P59" s="1"/>
  <c r="J19"/>
  <c r="K19" s="1"/>
  <c r="L19" s="1"/>
  <c r="N19" s="1"/>
  <c r="J61"/>
  <c r="K61" s="1"/>
  <c r="L61" s="1"/>
  <c r="P61" s="1"/>
  <c r="J17"/>
  <c r="K17" s="1"/>
  <c r="L17" s="1"/>
  <c r="P17" s="1"/>
  <c r="J57"/>
  <c r="K57" s="1"/>
  <c r="L57" s="1"/>
  <c r="P57" s="1"/>
  <c r="J65"/>
  <c r="K65" s="1"/>
  <c r="L65" s="1"/>
  <c r="N65" s="1"/>
  <c r="J79"/>
  <c r="K79" s="1"/>
  <c r="L79" s="1"/>
  <c r="Q79" s="1"/>
  <c r="J25"/>
  <c r="K25" s="1"/>
  <c r="L25" s="1"/>
  <c r="G15" i="12" s="1"/>
  <c r="N56" i="31"/>
  <c r="J66"/>
  <c r="K66" s="1"/>
  <c r="L66" s="1"/>
  <c r="N66" s="1"/>
  <c r="J47"/>
  <c r="K47" s="1"/>
  <c r="L47" s="1"/>
  <c r="P47" s="1"/>
  <c r="J69"/>
  <c r="K69" s="1"/>
  <c r="L69" s="1"/>
  <c r="Q69" s="1"/>
  <c r="G137" i="12" s="1"/>
  <c r="G144" s="1"/>
  <c r="J52" i="31"/>
  <c r="K52" s="1"/>
  <c r="L52" s="1"/>
  <c r="N52" s="1"/>
  <c r="J76"/>
  <c r="K76" s="1"/>
  <c r="L76" s="1"/>
  <c r="Q76" s="1"/>
  <c r="J24"/>
  <c r="K24" s="1"/>
  <c r="L24" s="1"/>
  <c r="G72" i="12" s="1"/>
  <c r="J12" i="31"/>
  <c r="K12" s="1"/>
  <c r="L12" s="1"/>
  <c r="P12" s="1"/>
  <c r="J84"/>
  <c r="K84" s="1"/>
  <c r="L84" s="1"/>
  <c r="P84" s="1"/>
  <c r="J13"/>
  <c r="K13" s="1"/>
  <c r="L13" s="1"/>
  <c r="G58" i="12" s="1"/>
  <c r="J70" i="31"/>
  <c r="K70" s="1"/>
  <c r="L70" s="1"/>
  <c r="P70" s="1"/>
  <c r="J22"/>
  <c r="K22" s="1"/>
  <c r="L22" s="1"/>
  <c r="P22" s="1"/>
  <c r="J20"/>
  <c r="K20" s="1"/>
  <c r="L20" s="1"/>
  <c r="G64" i="12" s="1"/>
  <c r="G65" s="1"/>
  <c r="J14" i="31"/>
  <c r="K14" s="1"/>
  <c r="L14" s="1"/>
  <c r="P14" s="1"/>
  <c r="J77"/>
  <c r="K77" s="1"/>
  <c r="L77" s="1"/>
  <c r="Q77" s="1"/>
  <c r="J73"/>
  <c r="K73" s="1"/>
  <c r="L73" s="1"/>
  <c r="N73" s="1"/>
  <c r="J74"/>
  <c r="K74" s="1"/>
  <c r="L74" s="1"/>
  <c r="N74" s="1"/>
  <c r="J80"/>
  <c r="K80" s="1"/>
  <c r="L80" s="1"/>
  <c r="P80" s="1"/>
  <c r="J118"/>
  <c r="K118" s="1"/>
  <c r="L118" s="1"/>
  <c r="G136" i="12" s="1"/>
  <c r="G143" s="1"/>
  <c r="J21" i="31"/>
  <c r="K21" s="1"/>
  <c r="L21" s="1"/>
  <c r="G67" i="12" s="1"/>
  <c r="J26" i="31"/>
  <c r="K26" s="1"/>
  <c r="L26" s="1"/>
  <c r="N26" s="1"/>
  <c r="J54"/>
  <c r="K54" s="1"/>
  <c r="L54" s="1"/>
  <c r="N54" s="1"/>
  <c r="J64"/>
  <c r="K64" s="1"/>
  <c r="L64" s="1"/>
  <c r="Q64" s="1"/>
  <c r="J53"/>
  <c r="K53" s="1"/>
  <c r="L53" s="1"/>
  <c r="N53" s="1"/>
  <c r="J83"/>
  <c r="K83" s="1"/>
  <c r="L83" s="1"/>
  <c r="P83" s="1"/>
  <c r="J50"/>
  <c r="K50" s="1"/>
  <c r="L50" s="1"/>
  <c r="P50" s="1"/>
  <c r="Q58"/>
  <c r="P76"/>
  <c r="Q84"/>
  <c r="Q86"/>
  <c r="P86"/>
  <c r="N86"/>
  <c r="N69"/>
  <c r="N78"/>
  <c r="P13"/>
  <c r="P51"/>
  <c r="Q60"/>
  <c r="Q48"/>
  <c r="G135" i="12" s="1"/>
  <c r="G142" s="1"/>
  <c r="P48" i="31"/>
  <c r="N18"/>
  <c r="Q59"/>
  <c r="P19"/>
  <c r="Q61"/>
  <c r="N17"/>
  <c r="N57"/>
  <c r="P65"/>
  <c r="N79"/>
  <c r="P25"/>
  <c r="G60" i="12"/>
  <c r="P20" i="31"/>
  <c r="P74"/>
  <c r="G173" i="12"/>
  <c r="Q54" i="31"/>
  <c r="Q53"/>
  <c r="Q50"/>
  <c r="G134" i="12" s="1"/>
  <c r="G141" s="1"/>
  <c r="Q87" i="31"/>
  <c r="P87"/>
  <c r="N87"/>
  <c r="Q47"/>
  <c r="N47"/>
  <c r="Q52"/>
  <c r="Q63"/>
  <c r="P63"/>
  <c r="N63"/>
  <c r="K11"/>
  <c r="Q62"/>
  <c r="N62"/>
  <c r="P62"/>
  <c r="Q67"/>
  <c r="P67"/>
  <c r="N67"/>
  <c r="Q71"/>
  <c r="G174" i="12" s="1"/>
  <c r="N71" i="31"/>
  <c r="P71"/>
  <c r="Q82"/>
  <c r="N82"/>
  <c r="P82"/>
  <c r="Q68"/>
  <c r="P68"/>
  <c r="N68"/>
  <c r="Q72"/>
  <c r="N72"/>
  <c r="P72"/>
  <c r="Q55"/>
  <c r="N55"/>
  <c r="P55"/>
  <c r="Q75"/>
  <c r="P75"/>
  <c r="N75"/>
  <c r="P49"/>
  <c r="Q85"/>
  <c r="AC168" i="8"/>
  <c r="AA168"/>
  <c r="Y168"/>
  <c r="W168"/>
  <c r="U168"/>
  <c r="S168"/>
  <c r="Q168"/>
  <c r="O168"/>
  <c r="M168"/>
  <c r="K168"/>
  <c r="I168"/>
  <c r="G168"/>
  <c r="AC158"/>
  <c r="AA158"/>
  <c r="Y158"/>
  <c r="W158"/>
  <c r="U158"/>
  <c r="S158"/>
  <c r="Q158"/>
  <c r="O158"/>
  <c r="M158"/>
  <c r="K158"/>
  <c r="I158"/>
  <c r="G158"/>
  <c r="AC155"/>
  <c r="AA155"/>
  <c r="Y155"/>
  <c r="W155"/>
  <c r="U155"/>
  <c r="S155"/>
  <c r="Q155"/>
  <c r="O155"/>
  <c r="M155"/>
  <c r="K155"/>
  <c r="I155"/>
  <c r="G155"/>
  <c r="AC152"/>
  <c r="AA152"/>
  <c r="Y152"/>
  <c r="W152"/>
  <c r="U152"/>
  <c r="S152"/>
  <c r="Q152"/>
  <c r="O152"/>
  <c r="M152"/>
  <c r="K152"/>
  <c r="I152"/>
  <c r="G152"/>
  <c r="AC149"/>
  <c r="AA149"/>
  <c r="Y149"/>
  <c r="W149"/>
  <c r="U149"/>
  <c r="S149"/>
  <c r="Q149"/>
  <c r="O149"/>
  <c r="M149"/>
  <c r="K149"/>
  <c r="I149"/>
  <c r="G149"/>
  <c r="AC146"/>
  <c r="AA146"/>
  <c r="Y146"/>
  <c r="W146"/>
  <c r="U146"/>
  <c r="S146"/>
  <c r="Q146"/>
  <c r="O146"/>
  <c r="M146"/>
  <c r="K146"/>
  <c r="I146"/>
  <c r="G146"/>
  <c r="AC143"/>
  <c r="AA143"/>
  <c r="Y143"/>
  <c r="W143"/>
  <c r="U143"/>
  <c r="S143"/>
  <c r="Q143"/>
  <c r="O143"/>
  <c r="M143"/>
  <c r="K143"/>
  <c r="I143"/>
  <c r="G143"/>
  <c r="AC140"/>
  <c r="AC160" s="1"/>
  <c r="AA140"/>
  <c r="Y140"/>
  <c r="W140"/>
  <c r="U140"/>
  <c r="U160" s="1"/>
  <c r="S140"/>
  <c r="S160" s="1"/>
  <c r="Q140"/>
  <c r="Q160" s="1"/>
  <c r="O140"/>
  <c r="O160" s="1"/>
  <c r="M140"/>
  <c r="M160" s="1"/>
  <c r="K140"/>
  <c r="I140"/>
  <c r="G140"/>
  <c r="AC134"/>
  <c r="AA134"/>
  <c r="Y134"/>
  <c r="W134"/>
  <c r="U134"/>
  <c r="S134"/>
  <c r="Q134"/>
  <c r="O134"/>
  <c r="M134"/>
  <c r="K134"/>
  <c r="I134"/>
  <c r="G134"/>
  <c r="AC131"/>
  <c r="AA131"/>
  <c r="Y131"/>
  <c r="W131"/>
  <c r="U131"/>
  <c r="S131"/>
  <c r="Q131"/>
  <c r="O131"/>
  <c r="M131"/>
  <c r="K131"/>
  <c r="I131"/>
  <c r="G131"/>
  <c r="AC128"/>
  <c r="AA128"/>
  <c r="Y128"/>
  <c r="W128"/>
  <c r="U128"/>
  <c r="S128"/>
  <c r="Q128"/>
  <c r="O128"/>
  <c r="M128"/>
  <c r="K128"/>
  <c r="I128"/>
  <c r="G128"/>
  <c r="AC125"/>
  <c r="AA125"/>
  <c r="Y125"/>
  <c r="W125"/>
  <c r="U125"/>
  <c r="S125"/>
  <c r="Q125"/>
  <c r="O125"/>
  <c r="M125"/>
  <c r="K125"/>
  <c r="I125"/>
  <c r="G125"/>
  <c r="AC122"/>
  <c r="AA122"/>
  <c r="Y122"/>
  <c r="W122"/>
  <c r="U122"/>
  <c r="S122"/>
  <c r="Q122"/>
  <c r="O122"/>
  <c r="M122"/>
  <c r="K122"/>
  <c r="I122"/>
  <c r="G122"/>
  <c r="AC115"/>
  <c r="AA115"/>
  <c r="Y115"/>
  <c r="W115"/>
  <c r="U115"/>
  <c r="S115"/>
  <c r="Q115"/>
  <c r="O115"/>
  <c r="M115"/>
  <c r="K115"/>
  <c r="I115"/>
  <c r="G115"/>
  <c r="AC107"/>
  <c r="AA107"/>
  <c r="Y107"/>
  <c r="W107"/>
  <c r="U107"/>
  <c r="S107"/>
  <c r="Q107"/>
  <c r="O107"/>
  <c r="M107"/>
  <c r="K107"/>
  <c r="I107"/>
  <c r="G107"/>
  <c r="AC104"/>
  <c r="AA104"/>
  <c r="Y104"/>
  <c r="W104"/>
  <c r="U104"/>
  <c r="S104"/>
  <c r="Q104"/>
  <c r="O104"/>
  <c r="M104"/>
  <c r="K104"/>
  <c r="I104"/>
  <c r="G104"/>
  <c r="AC95"/>
  <c r="AC117" s="1"/>
  <c r="AA95"/>
  <c r="AA117" s="1"/>
  <c r="Y95"/>
  <c r="Y117" s="1"/>
  <c r="W95"/>
  <c r="W117" s="1"/>
  <c r="U95"/>
  <c r="U117" s="1"/>
  <c r="S95"/>
  <c r="Q95"/>
  <c r="O95"/>
  <c r="M95"/>
  <c r="K95"/>
  <c r="K117" s="1"/>
  <c r="I95"/>
  <c r="I117" s="1"/>
  <c r="G95"/>
  <c r="G117" s="1"/>
  <c r="AC88"/>
  <c r="AA88"/>
  <c r="Y88"/>
  <c r="W88"/>
  <c r="U88"/>
  <c r="S88"/>
  <c r="Q88"/>
  <c r="O88"/>
  <c r="M88"/>
  <c r="K88"/>
  <c r="I88"/>
  <c r="G88"/>
  <c r="AC84"/>
  <c r="AA84"/>
  <c r="Y84"/>
  <c r="W84"/>
  <c r="U84"/>
  <c r="S84"/>
  <c r="Q84"/>
  <c r="O84"/>
  <c r="M84"/>
  <c r="K84"/>
  <c r="I84"/>
  <c r="G84"/>
  <c r="AC81"/>
  <c r="AA81"/>
  <c r="Y81"/>
  <c r="W81"/>
  <c r="U81"/>
  <c r="S81"/>
  <c r="Q81"/>
  <c r="O81"/>
  <c r="M81"/>
  <c r="K81"/>
  <c r="I81"/>
  <c r="G81"/>
  <c r="AC78"/>
  <c r="AA78"/>
  <c r="Y78"/>
  <c r="W78"/>
  <c r="U78"/>
  <c r="S78"/>
  <c r="Q78"/>
  <c r="O78"/>
  <c r="M78"/>
  <c r="K78"/>
  <c r="I78"/>
  <c r="G78"/>
  <c r="AC75"/>
  <c r="AA75"/>
  <c r="Y75"/>
  <c r="W75"/>
  <c r="U75"/>
  <c r="S75"/>
  <c r="Q75"/>
  <c r="O75"/>
  <c r="M75"/>
  <c r="K75"/>
  <c r="I75"/>
  <c r="G75"/>
  <c r="AC72"/>
  <c r="AA72"/>
  <c r="Y72"/>
  <c r="W72"/>
  <c r="U72"/>
  <c r="S72"/>
  <c r="Q72"/>
  <c r="O72"/>
  <c r="M72"/>
  <c r="K72"/>
  <c r="I72"/>
  <c r="G72"/>
  <c r="AC69"/>
  <c r="AA69"/>
  <c r="Y69"/>
  <c r="W69"/>
  <c r="U69"/>
  <c r="S69"/>
  <c r="Q69"/>
  <c r="O69"/>
  <c r="M69"/>
  <c r="K69"/>
  <c r="I69"/>
  <c r="G69"/>
  <c r="AC66"/>
  <c r="AA66"/>
  <c r="Y66"/>
  <c r="W66"/>
  <c r="U66"/>
  <c r="S66"/>
  <c r="Q66"/>
  <c r="O66"/>
  <c r="M66"/>
  <c r="K66"/>
  <c r="I66"/>
  <c r="G66"/>
  <c r="AC63"/>
  <c r="AA63"/>
  <c r="Y63"/>
  <c r="W63"/>
  <c r="U63"/>
  <c r="S63"/>
  <c r="Q63"/>
  <c r="O63"/>
  <c r="M63"/>
  <c r="K63"/>
  <c r="I63"/>
  <c r="G63"/>
  <c r="AC34"/>
  <c r="AA34"/>
  <c r="Y34"/>
  <c r="W34"/>
  <c r="U34"/>
  <c r="S34"/>
  <c r="Q34"/>
  <c r="O34"/>
  <c r="M34"/>
  <c r="K34"/>
  <c r="I34"/>
  <c r="G34"/>
  <c r="AC31"/>
  <c r="AA31"/>
  <c r="Y31"/>
  <c r="W31"/>
  <c r="U31"/>
  <c r="S31"/>
  <c r="Q31"/>
  <c r="O31"/>
  <c r="M31"/>
  <c r="K31"/>
  <c r="I31"/>
  <c r="G31"/>
  <c r="AC26"/>
  <c r="AA26"/>
  <c r="Y26"/>
  <c r="W26"/>
  <c r="U26"/>
  <c r="S26"/>
  <c r="Q26"/>
  <c r="O26"/>
  <c r="M26"/>
  <c r="K26"/>
  <c r="I26"/>
  <c r="G26"/>
  <c r="AC23"/>
  <c r="AA23"/>
  <c r="Y23"/>
  <c r="W23"/>
  <c r="U23"/>
  <c r="S23"/>
  <c r="Q23"/>
  <c r="O23"/>
  <c r="M23"/>
  <c r="K23"/>
  <c r="I23"/>
  <c r="G23"/>
  <c r="AC16"/>
  <c r="AA16"/>
  <c r="AA36" s="1"/>
  <c r="Y16"/>
  <c r="Y36" s="1"/>
  <c r="W16"/>
  <c r="W36" s="1"/>
  <c r="U16"/>
  <c r="U36" s="1"/>
  <c r="S16"/>
  <c r="Q16"/>
  <c r="O16"/>
  <c r="M16"/>
  <c r="K16"/>
  <c r="K36" s="1"/>
  <c r="I16"/>
  <c r="I36" s="1"/>
  <c r="G16"/>
  <c r="G82" i="12" l="1"/>
  <c r="G83" s="1"/>
  <c r="P24" i="31"/>
  <c r="N64"/>
  <c r="N118"/>
  <c r="N77"/>
  <c r="N70"/>
  <c r="P64"/>
  <c r="P21"/>
  <c r="P73"/>
  <c r="G55" i="12"/>
  <c r="P79" i="31"/>
  <c r="N61"/>
  <c r="P18"/>
  <c r="P77"/>
  <c r="N83"/>
  <c r="Q73"/>
  <c r="N24"/>
  <c r="N25"/>
  <c r="G62" i="12"/>
  <c r="Q70" i="31"/>
  <c r="P69"/>
  <c r="N16"/>
  <c r="Q49"/>
  <c r="N81"/>
  <c r="J39"/>
  <c r="N23"/>
  <c r="P52"/>
  <c r="Q83"/>
  <c r="G84" i="12"/>
  <c r="G85" s="1"/>
  <c r="G86" s="1"/>
  <c r="N15" i="31"/>
  <c r="Q57"/>
  <c r="N59"/>
  <c r="N84"/>
  <c r="P16"/>
  <c r="P81"/>
  <c r="P26"/>
  <c r="G81" i="12"/>
  <c r="Q74" i="31"/>
  <c r="N20"/>
  <c r="Q51"/>
  <c r="P53"/>
  <c r="N21"/>
  <c r="N22"/>
  <c r="G66" i="12"/>
  <c r="G57"/>
  <c r="N12" i="31"/>
  <c r="N50"/>
  <c r="P54"/>
  <c r="Q80"/>
  <c r="N80"/>
  <c r="G59" i="12"/>
  <c r="P60" i="31"/>
  <c r="N13"/>
  <c r="N76"/>
  <c r="P58"/>
  <c r="P66"/>
  <c r="N85"/>
  <c r="G172" i="12"/>
  <c r="G175" s="1"/>
  <c r="G176" s="1"/>
  <c r="G177" s="1"/>
  <c r="N14" i="31"/>
  <c r="Q65"/>
  <c r="J114"/>
  <c r="J115" s="1"/>
  <c r="Q78"/>
  <c r="Q66"/>
  <c r="L46"/>
  <c r="K114"/>
  <c r="L11"/>
  <c r="K39"/>
  <c r="AC36" i="8"/>
  <c r="M36"/>
  <c r="M90" s="1"/>
  <c r="M117"/>
  <c r="M136" s="1"/>
  <c r="M162" s="1"/>
  <c r="O36"/>
  <c r="O90" s="1"/>
  <c r="O117"/>
  <c r="G160"/>
  <c r="W160"/>
  <c r="Q36"/>
  <c r="Q90" s="1"/>
  <c r="Q117"/>
  <c r="I160"/>
  <c r="Y160"/>
  <c r="S117"/>
  <c r="K160"/>
  <c r="AA160"/>
  <c r="S36"/>
  <c r="S90" s="1"/>
  <c r="G36"/>
  <c r="G90" s="1"/>
  <c r="U136"/>
  <c r="U162" s="1"/>
  <c r="AC136"/>
  <c r="AC162" s="1"/>
  <c r="AC90"/>
  <c r="AA90"/>
  <c r="K136"/>
  <c r="K162" s="1"/>
  <c r="S136"/>
  <c r="S162" s="1"/>
  <c r="AA136"/>
  <c r="Y90"/>
  <c r="I136"/>
  <c r="I162" s="1"/>
  <c r="Q136"/>
  <c r="Q162" s="1"/>
  <c r="Y136"/>
  <c r="Y162" s="1"/>
  <c r="U90"/>
  <c r="K90"/>
  <c r="I90"/>
  <c r="W90"/>
  <c r="G136"/>
  <c r="O136"/>
  <c r="O162" s="1"/>
  <c r="W136"/>
  <c r="W162" s="1"/>
  <c r="AA162" l="1"/>
  <c r="AA164" s="1"/>
  <c r="U164"/>
  <c r="K115" i="31"/>
  <c r="Q46"/>
  <c r="G133" i="12" s="1"/>
  <c r="G140" s="1"/>
  <c r="P46" i="31"/>
  <c r="P114" s="1"/>
  <c r="N46"/>
  <c r="G54" i="12"/>
  <c r="P11" i="31"/>
  <c r="P39" s="1"/>
  <c r="N11"/>
  <c r="S164" i="8"/>
  <c r="G162"/>
  <c r="W164"/>
  <c r="K164"/>
  <c r="I164"/>
  <c r="M164"/>
  <c r="G164"/>
  <c r="Q164"/>
  <c r="O164"/>
  <c r="Y164"/>
  <c r="AC164"/>
  <c r="O173" i="2" l="1"/>
  <c r="O16"/>
  <c r="O17"/>
  <c r="O18"/>
  <c r="O21"/>
  <c r="O29"/>
  <c r="O30"/>
  <c r="O36"/>
  <c r="O39"/>
  <c r="O42"/>
  <c r="O45"/>
  <c r="O49"/>
  <c r="O53"/>
  <c r="O61"/>
  <c r="O64"/>
  <c r="O68"/>
  <c r="O74"/>
  <c r="O78"/>
  <c r="O81"/>
  <c r="O84"/>
  <c r="O87"/>
  <c r="O95"/>
  <c r="O98"/>
  <c r="O108"/>
  <c r="O111"/>
  <c r="O114"/>
  <c r="O120"/>
  <c r="O123"/>
  <c r="O126"/>
  <c r="O143"/>
  <c r="O152"/>
  <c r="O155"/>
  <c r="O158"/>
  <c r="O162"/>
  <c r="O168"/>
  <c r="O171"/>
  <c r="C11"/>
  <c r="AE16" i="1"/>
  <c r="AE15"/>
  <c r="C9" i="2" s="1"/>
  <c r="AE14" i="1"/>
  <c r="AE13"/>
  <c r="AE12"/>
  <c r="C8" i="2" s="1"/>
  <c r="AE11" i="1"/>
  <c r="AE10"/>
  <c r="AE9"/>
  <c r="C10" i="2" s="1"/>
  <c r="AE20" i="1"/>
  <c r="AE22" s="1"/>
  <c r="AE25"/>
  <c r="AE27" s="1"/>
  <c r="AE40"/>
  <c r="C13" i="2" s="1"/>
  <c r="AE39" i="1"/>
  <c r="AE42" s="1"/>
  <c r="AE47"/>
  <c r="AE57"/>
  <c r="AE56"/>
  <c r="AE85"/>
  <c r="AE84"/>
  <c r="AE83"/>
  <c r="AE82"/>
  <c r="AE81"/>
  <c r="AE80"/>
  <c r="AE79"/>
  <c r="AE78"/>
  <c r="AE77"/>
  <c r="AE76"/>
  <c r="AE75"/>
  <c r="AE89"/>
  <c r="AE107"/>
  <c r="AE106"/>
  <c r="AE105"/>
  <c r="AE104"/>
  <c r="AE103"/>
  <c r="AE102"/>
  <c r="AE101"/>
  <c r="AE100"/>
  <c r="AE99"/>
  <c r="AE98"/>
  <c r="AE97"/>
  <c r="AE96"/>
  <c r="AE95"/>
  <c r="AE94"/>
  <c r="AE112"/>
  <c r="AE121"/>
  <c r="AE120"/>
  <c r="AE119"/>
  <c r="AE118"/>
  <c r="AE117"/>
  <c r="AE132"/>
  <c r="AE131"/>
  <c r="AE130"/>
  <c r="AE129"/>
  <c r="AE128"/>
  <c r="AE127"/>
  <c r="AE126"/>
  <c r="AE142"/>
  <c r="AE141"/>
  <c r="AE146"/>
  <c r="AE194"/>
  <c r="AE193"/>
  <c r="AE192"/>
  <c r="AE191"/>
  <c r="AE190"/>
  <c r="AE189"/>
  <c r="AE188"/>
  <c r="AE187"/>
  <c r="AE186"/>
  <c r="AE185"/>
  <c r="AE184"/>
  <c r="AE183"/>
  <c r="AE182"/>
  <c r="AE181"/>
  <c r="AE180"/>
  <c r="AE179"/>
  <c r="AE178"/>
  <c r="AE177"/>
  <c r="AE176"/>
  <c r="AE175"/>
  <c r="AE174"/>
  <c r="AE173"/>
  <c r="AE172"/>
  <c r="AE171"/>
  <c r="AE170"/>
  <c r="AE169"/>
  <c r="AE168"/>
  <c r="AE167"/>
  <c r="AE166"/>
  <c r="AE165"/>
  <c r="AE164"/>
  <c r="AE163"/>
  <c r="AE162"/>
  <c r="AE161"/>
  <c r="AE160"/>
  <c r="AE198"/>
  <c r="AE211"/>
  <c r="AE210"/>
  <c r="AE209"/>
  <c r="AE227"/>
  <c r="AE32"/>
  <c r="AE36"/>
  <c r="E16" i="14" l="1"/>
  <c r="F16" s="1"/>
  <c r="B26" s="1"/>
  <c r="B31" s="1"/>
  <c r="C12" i="13" s="1"/>
  <c r="C13" i="30"/>
  <c r="E13" i="14"/>
  <c r="F13" s="1"/>
  <c r="B24" s="1"/>
  <c r="C11" i="13" s="1"/>
  <c r="N11" s="1"/>
  <c r="C11" i="30"/>
  <c r="E10" i="14"/>
  <c r="F10" s="1"/>
  <c r="B21" s="1"/>
  <c r="C8" i="13" s="1"/>
  <c r="C8" i="30"/>
  <c r="E12" i="14"/>
  <c r="F12" s="1"/>
  <c r="B23" s="1"/>
  <c r="C10" i="13" s="1"/>
  <c r="N10" s="1"/>
  <c r="C10" i="30"/>
  <c r="E11" i="14"/>
  <c r="F11" s="1"/>
  <c r="B22" s="1"/>
  <c r="C9" i="13" s="1"/>
  <c r="C9" i="30"/>
  <c r="D11" i="2"/>
  <c r="D11" i="30" s="1"/>
  <c r="AE18" i="1"/>
  <c r="AE44" s="1"/>
  <c r="G18"/>
  <c r="I18"/>
  <c r="K18"/>
  <c r="M18"/>
  <c r="O18"/>
  <c r="Q18"/>
  <c r="S18"/>
  <c r="U18"/>
  <c r="W18"/>
  <c r="Y18"/>
  <c r="AA18"/>
  <c r="AC18"/>
  <c r="G22"/>
  <c r="G44" s="1"/>
  <c r="I22"/>
  <c r="K22"/>
  <c r="M22"/>
  <c r="O22"/>
  <c r="Q22"/>
  <c r="S22"/>
  <c r="U22"/>
  <c r="W22"/>
  <c r="Y22"/>
  <c r="AA22"/>
  <c r="AC22"/>
  <c r="G27"/>
  <c r="I27"/>
  <c r="K27"/>
  <c r="M27"/>
  <c r="O27"/>
  <c r="Q27"/>
  <c r="S27"/>
  <c r="U27"/>
  <c r="W27"/>
  <c r="Y27"/>
  <c r="AA27"/>
  <c r="AC27"/>
  <c r="G32"/>
  <c r="I32"/>
  <c r="K32"/>
  <c r="M32"/>
  <c r="O32"/>
  <c r="Q32"/>
  <c r="S32"/>
  <c r="U32"/>
  <c r="W32"/>
  <c r="Y32"/>
  <c r="AA32"/>
  <c r="AC32"/>
  <c r="G36"/>
  <c r="I36"/>
  <c r="K36"/>
  <c r="M36"/>
  <c r="O36"/>
  <c r="Q36"/>
  <c r="S36"/>
  <c r="U36"/>
  <c r="W36"/>
  <c r="Y36"/>
  <c r="AA36"/>
  <c r="AC36"/>
  <c r="G42"/>
  <c r="I42"/>
  <c r="K42"/>
  <c r="M42"/>
  <c r="O42"/>
  <c r="Q42"/>
  <c r="S42"/>
  <c r="U42"/>
  <c r="W42"/>
  <c r="Y42"/>
  <c r="AA42"/>
  <c r="AC42"/>
  <c r="I44"/>
  <c r="G49"/>
  <c r="I49"/>
  <c r="K49"/>
  <c r="M49"/>
  <c r="O49"/>
  <c r="Q49"/>
  <c r="S49"/>
  <c r="U49"/>
  <c r="W49"/>
  <c r="Y49"/>
  <c r="AA49"/>
  <c r="AC49"/>
  <c r="AE49"/>
  <c r="G53"/>
  <c r="I53"/>
  <c r="K53"/>
  <c r="M53"/>
  <c r="O53"/>
  <c r="Q53"/>
  <c r="S53"/>
  <c r="U53"/>
  <c r="W53"/>
  <c r="Y53"/>
  <c r="AA53"/>
  <c r="AC53"/>
  <c r="AE53"/>
  <c r="G59"/>
  <c r="I59"/>
  <c r="K59"/>
  <c r="M59"/>
  <c r="O59"/>
  <c r="Q59"/>
  <c r="S59"/>
  <c r="U59"/>
  <c r="W59"/>
  <c r="Y59"/>
  <c r="AA59"/>
  <c r="AC59"/>
  <c r="AE59"/>
  <c r="G64"/>
  <c r="I64"/>
  <c r="K64"/>
  <c r="M64"/>
  <c r="O64"/>
  <c r="Q64"/>
  <c r="S64"/>
  <c r="U64"/>
  <c r="W64"/>
  <c r="Y64"/>
  <c r="AA64"/>
  <c r="AC64"/>
  <c r="AE64"/>
  <c r="G68"/>
  <c r="I68"/>
  <c r="K68"/>
  <c r="M68"/>
  <c r="O68"/>
  <c r="Q68"/>
  <c r="S68"/>
  <c r="U68"/>
  <c r="W68"/>
  <c r="Y68"/>
  <c r="AA68"/>
  <c r="AC68"/>
  <c r="AE68"/>
  <c r="G87"/>
  <c r="I87"/>
  <c r="K87"/>
  <c r="M87"/>
  <c r="O87"/>
  <c r="Q87"/>
  <c r="S87"/>
  <c r="U87"/>
  <c r="W87"/>
  <c r="Y87"/>
  <c r="AA87"/>
  <c r="AC87"/>
  <c r="AE87"/>
  <c r="G91"/>
  <c r="I91"/>
  <c r="K91"/>
  <c r="M91"/>
  <c r="O91"/>
  <c r="Q91"/>
  <c r="S91"/>
  <c r="U91"/>
  <c r="W91"/>
  <c r="Y91"/>
  <c r="AA91"/>
  <c r="AC91"/>
  <c r="AE91"/>
  <c r="G109"/>
  <c r="I109"/>
  <c r="K109"/>
  <c r="M109"/>
  <c r="O109"/>
  <c r="Q109"/>
  <c r="S109"/>
  <c r="U109"/>
  <c r="W109"/>
  <c r="Y109"/>
  <c r="AA109"/>
  <c r="AC109"/>
  <c r="AE109"/>
  <c r="G114"/>
  <c r="I114"/>
  <c r="K114"/>
  <c r="M114"/>
  <c r="O114"/>
  <c r="Q114"/>
  <c r="S114"/>
  <c r="U114"/>
  <c r="W114"/>
  <c r="Y114"/>
  <c r="AA114"/>
  <c r="AC114"/>
  <c r="AE114"/>
  <c r="G123"/>
  <c r="I123"/>
  <c r="K123"/>
  <c r="M123"/>
  <c r="O123"/>
  <c r="Q123"/>
  <c r="S123"/>
  <c r="U123"/>
  <c r="W123"/>
  <c r="Y123"/>
  <c r="AA123"/>
  <c r="AC123"/>
  <c r="AE123"/>
  <c r="G134"/>
  <c r="I134"/>
  <c r="K134"/>
  <c r="M134"/>
  <c r="O134"/>
  <c r="Q134"/>
  <c r="S134"/>
  <c r="U134"/>
  <c r="W134"/>
  <c r="Y134"/>
  <c r="AA134"/>
  <c r="AC134"/>
  <c r="AE134"/>
  <c r="G138"/>
  <c r="I138"/>
  <c r="K138"/>
  <c r="M138"/>
  <c r="O138"/>
  <c r="Q138"/>
  <c r="S138"/>
  <c r="U138"/>
  <c r="W138"/>
  <c r="Y138"/>
  <c r="AA138"/>
  <c r="AC138"/>
  <c r="AE138"/>
  <c r="G144"/>
  <c r="I144"/>
  <c r="K144"/>
  <c r="M144"/>
  <c r="O144"/>
  <c r="Q144"/>
  <c r="S144"/>
  <c r="U144"/>
  <c r="W144"/>
  <c r="Y144"/>
  <c r="AA144"/>
  <c r="AC144"/>
  <c r="AE144"/>
  <c r="G148"/>
  <c r="I148"/>
  <c r="K148"/>
  <c r="M148"/>
  <c r="O148"/>
  <c r="Q148"/>
  <c r="S148"/>
  <c r="U148"/>
  <c r="W148"/>
  <c r="Y148"/>
  <c r="AA148"/>
  <c r="AC148"/>
  <c r="AE148"/>
  <c r="G157"/>
  <c r="I157"/>
  <c r="K157"/>
  <c r="M157"/>
  <c r="O157"/>
  <c r="Q157"/>
  <c r="S157"/>
  <c r="U157"/>
  <c r="W157"/>
  <c r="Y157"/>
  <c r="AA157"/>
  <c r="AC157"/>
  <c r="AE157"/>
  <c r="G196"/>
  <c r="I196"/>
  <c r="K196"/>
  <c r="M196"/>
  <c r="O196"/>
  <c r="Q196"/>
  <c r="S196"/>
  <c r="U196"/>
  <c r="W196"/>
  <c r="Y196"/>
  <c r="AA196"/>
  <c r="AC196"/>
  <c r="AE196"/>
  <c r="AE200"/>
  <c r="G200"/>
  <c r="I200"/>
  <c r="K200"/>
  <c r="M200"/>
  <c r="O200"/>
  <c r="Q200"/>
  <c r="S200"/>
  <c r="U200"/>
  <c r="W200"/>
  <c r="Y200"/>
  <c r="AA200"/>
  <c r="AC200"/>
  <c r="G213"/>
  <c r="I213"/>
  <c r="K213"/>
  <c r="L213"/>
  <c r="M213"/>
  <c r="O213"/>
  <c r="Q213"/>
  <c r="R213"/>
  <c r="S213"/>
  <c r="U213"/>
  <c r="W213"/>
  <c r="X213"/>
  <c r="Y213"/>
  <c r="AA213"/>
  <c r="AC213"/>
  <c r="AD213"/>
  <c r="G217"/>
  <c r="I217"/>
  <c r="K217"/>
  <c r="L217"/>
  <c r="M217"/>
  <c r="O217"/>
  <c r="Q217"/>
  <c r="R217"/>
  <c r="S217"/>
  <c r="U217"/>
  <c r="W217"/>
  <c r="X217"/>
  <c r="Y217"/>
  <c r="AA217"/>
  <c r="AC217"/>
  <c r="AD217"/>
  <c r="G221"/>
  <c r="I221"/>
  <c r="K221"/>
  <c r="L221"/>
  <c r="M221"/>
  <c r="M223" s="1"/>
  <c r="O221"/>
  <c r="Q221"/>
  <c r="R221"/>
  <c r="S221"/>
  <c r="S223" s="1"/>
  <c r="U221"/>
  <c r="W221"/>
  <c r="X221"/>
  <c r="Y221"/>
  <c r="Y223" s="1"/>
  <c r="AA221"/>
  <c r="AC221"/>
  <c r="AD221"/>
  <c r="G223"/>
  <c r="L223"/>
  <c r="R223"/>
  <c r="X223"/>
  <c r="AD223"/>
  <c r="L225"/>
  <c r="R225"/>
  <c r="X225"/>
  <c r="AD225"/>
  <c r="AE229"/>
  <c r="G229"/>
  <c r="I229"/>
  <c r="K229"/>
  <c r="L229"/>
  <c r="M229"/>
  <c r="O229"/>
  <c r="Q229"/>
  <c r="R229"/>
  <c r="S229"/>
  <c r="U229"/>
  <c r="W229"/>
  <c r="X229"/>
  <c r="Y229"/>
  <c r="AA229"/>
  <c r="AC229"/>
  <c r="AD229"/>
  <c r="G233"/>
  <c r="I233"/>
  <c r="K233"/>
  <c r="L233"/>
  <c r="M233"/>
  <c r="O233"/>
  <c r="Q233"/>
  <c r="R233"/>
  <c r="S233"/>
  <c r="U233"/>
  <c r="W233"/>
  <c r="X233"/>
  <c r="Y233"/>
  <c r="AA233"/>
  <c r="AC233"/>
  <c r="AD233"/>
  <c r="AE233"/>
  <c r="G237"/>
  <c r="I237"/>
  <c r="K237"/>
  <c r="L237"/>
  <c r="M237"/>
  <c r="O237"/>
  <c r="Q237"/>
  <c r="R237"/>
  <c r="S237"/>
  <c r="U237"/>
  <c r="W237"/>
  <c r="X237"/>
  <c r="Y237"/>
  <c r="AA237"/>
  <c r="AC237"/>
  <c r="AD237"/>
  <c r="AE237"/>
  <c r="L239"/>
  <c r="R239"/>
  <c r="X239"/>
  <c r="AD239"/>
  <c r="G243"/>
  <c r="I243"/>
  <c r="K243"/>
  <c r="L243"/>
  <c r="M243"/>
  <c r="O243"/>
  <c r="Q243"/>
  <c r="R243"/>
  <c r="S243"/>
  <c r="U243"/>
  <c r="W243"/>
  <c r="X243"/>
  <c r="Y243"/>
  <c r="AA243"/>
  <c r="AC243"/>
  <c r="AD243"/>
  <c r="AE243"/>
  <c r="L245"/>
  <c r="R245"/>
  <c r="X245"/>
  <c r="AD245"/>
  <c r="G249"/>
  <c r="I249"/>
  <c r="K249"/>
  <c r="L249"/>
  <c r="M249"/>
  <c r="O249"/>
  <c r="Q249"/>
  <c r="R249"/>
  <c r="S249"/>
  <c r="U249"/>
  <c r="W249"/>
  <c r="X249"/>
  <c r="Y249"/>
  <c r="AA249"/>
  <c r="AC249"/>
  <c r="AD249"/>
  <c r="AE249"/>
  <c r="L251"/>
  <c r="R251"/>
  <c r="X251"/>
  <c r="AD251"/>
  <c r="G255"/>
  <c r="I255"/>
  <c r="K255"/>
  <c r="L255"/>
  <c r="M255"/>
  <c r="O255"/>
  <c r="Q255"/>
  <c r="R255"/>
  <c r="S255"/>
  <c r="U255"/>
  <c r="W255"/>
  <c r="X255"/>
  <c r="Y255"/>
  <c r="AA255"/>
  <c r="AC255"/>
  <c r="AD255"/>
  <c r="AE255"/>
  <c r="L257"/>
  <c r="R257"/>
  <c r="X257"/>
  <c r="AD257"/>
  <c r="G261"/>
  <c r="I261"/>
  <c r="K261"/>
  <c r="M261"/>
  <c r="O261"/>
  <c r="Q261"/>
  <c r="S261"/>
  <c r="U261"/>
  <c r="W261"/>
  <c r="Y261"/>
  <c r="AA261"/>
  <c r="AC261"/>
  <c r="AE261"/>
  <c r="D13" i="2" l="1"/>
  <c r="D13" i="30" s="1"/>
  <c r="E13" s="1"/>
  <c r="G13" s="1"/>
  <c r="D10" i="2"/>
  <c r="D10" i="30" s="1"/>
  <c r="E10" s="1"/>
  <c r="G10" s="1"/>
  <c r="E11"/>
  <c r="G11" s="1"/>
  <c r="N8" i="13"/>
  <c r="D8" i="2"/>
  <c r="D8" i="30" s="1"/>
  <c r="C19" i="13"/>
  <c r="D31" i="2" s="1"/>
  <c r="N12" i="13"/>
  <c r="D9" i="2"/>
  <c r="D9" i="30" s="1"/>
  <c r="E9" s="1"/>
  <c r="G9" s="1"/>
  <c r="N9" i="13"/>
  <c r="O202" i="1"/>
  <c r="Y44"/>
  <c r="W44"/>
  <c r="U202"/>
  <c r="AC150"/>
  <c r="M150"/>
  <c r="O44"/>
  <c r="AE217"/>
  <c r="O223"/>
  <c r="W202"/>
  <c r="G202"/>
  <c r="AE70"/>
  <c r="W70"/>
  <c r="O70"/>
  <c r="O72" s="1"/>
  <c r="G70"/>
  <c r="G72" s="1"/>
  <c r="Q70"/>
  <c r="AA202"/>
  <c r="S202"/>
  <c r="K202"/>
  <c r="AC202"/>
  <c r="M202"/>
  <c r="AA150"/>
  <c r="S150"/>
  <c r="K150"/>
  <c r="Y70"/>
  <c r="I70"/>
  <c r="I72" s="1"/>
  <c r="AA223"/>
  <c r="U223"/>
  <c r="I223"/>
  <c r="U150"/>
  <c r="Q44"/>
  <c r="S70"/>
  <c r="AE150"/>
  <c r="W150"/>
  <c r="O150"/>
  <c r="G150"/>
  <c r="G152" s="1"/>
  <c r="G205" s="1"/>
  <c r="Y150"/>
  <c r="Q150"/>
  <c r="I150"/>
  <c r="AC44"/>
  <c r="U44"/>
  <c r="M44"/>
  <c r="AA70"/>
  <c r="AE213"/>
  <c r="Y202"/>
  <c r="Q202"/>
  <c r="I202"/>
  <c r="K70"/>
  <c r="AE221"/>
  <c r="AC223"/>
  <c r="W223"/>
  <c r="Q223"/>
  <c r="K223"/>
  <c r="AC70"/>
  <c r="U70"/>
  <c r="M70"/>
  <c r="AA44"/>
  <c r="S44"/>
  <c r="K44"/>
  <c r="AE202"/>
  <c r="AE72"/>
  <c r="AE152" s="1"/>
  <c r="Y72"/>
  <c r="E13" i="2" l="1"/>
  <c r="E8" i="30"/>
  <c r="C59" i="13"/>
  <c r="N19"/>
  <c r="Q72" i="1"/>
  <c r="Q152"/>
  <c r="Q205" s="1"/>
  <c r="S72"/>
  <c r="S152" s="1"/>
  <c r="S205" s="1"/>
  <c r="AC72"/>
  <c r="AC152" s="1"/>
  <c r="AC205" s="1"/>
  <c r="AC225" s="1"/>
  <c r="AC239" s="1"/>
  <c r="AC245" s="1"/>
  <c r="AC251" s="1"/>
  <c r="AC257" s="1"/>
  <c r="O152"/>
  <c r="O205" s="1"/>
  <c r="O207" s="1"/>
  <c r="W72"/>
  <c r="W152" s="1"/>
  <c r="W205" s="1"/>
  <c r="AA72"/>
  <c r="AA152" s="1"/>
  <c r="AA205" s="1"/>
  <c r="AE223"/>
  <c r="I152"/>
  <c r="I205" s="1"/>
  <c r="M72"/>
  <c r="M152" s="1"/>
  <c r="M205" s="1"/>
  <c r="M207" s="1"/>
  <c r="K72"/>
  <c r="K152" s="1"/>
  <c r="K205" s="1"/>
  <c r="K207" s="1"/>
  <c r="U72"/>
  <c r="U152" s="1"/>
  <c r="U205" s="1"/>
  <c r="U207" s="1"/>
  <c r="Y152"/>
  <c r="Y205" s="1"/>
  <c r="Y225" s="1"/>
  <c r="Y239" s="1"/>
  <c r="Y245" s="1"/>
  <c r="Y251" s="1"/>
  <c r="Y257" s="1"/>
  <c r="G225"/>
  <c r="G239" s="1"/>
  <c r="G245" s="1"/>
  <c r="G251" s="1"/>
  <c r="G257" s="1"/>
  <c r="G207"/>
  <c r="S207"/>
  <c r="S225"/>
  <c r="S239" s="1"/>
  <c r="S245" s="1"/>
  <c r="S251" s="1"/>
  <c r="S257" s="1"/>
  <c r="I225"/>
  <c r="I239" s="1"/>
  <c r="I245" s="1"/>
  <c r="I251" s="1"/>
  <c r="I257" s="1"/>
  <c r="I207"/>
  <c r="AE205"/>
  <c r="G8" i="30" l="1"/>
  <c r="Q207" i="1"/>
  <c r="Q225"/>
  <c r="Q239" s="1"/>
  <c r="Q245" s="1"/>
  <c r="Q251" s="1"/>
  <c r="Q257" s="1"/>
  <c r="K225"/>
  <c r="K239" s="1"/>
  <c r="K245" s="1"/>
  <c r="K251" s="1"/>
  <c r="K257" s="1"/>
  <c r="AC207"/>
  <c r="O225"/>
  <c r="O239" s="1"/>
  <c r="O245" s="1"/>
  <c r="O251" s="1"/>
  <c r="O257" s="1"/>
  <c r="W207"/>
  <c r="W225"/>
  <c r="W239" s="1"/>
  <c r="W245" s="1"/>
  <c r="W251" s="1"/>
  <c r="W257" s="1"/>
  <c r="Y207"/>
  <c r="AA207"/>
  <c r="AA225"/>
  <c r="AA239" s="1"/>
  <c r="AA245" s="1"/>
  <c r="AA251" s="1"/>
  <c r="AA257" s="1"/>
  <c r="M225"/>
  <c r="M239" s="1"/>
  <c r="M245" s="1"/>
  <c r="M251" s="1"/>
  <c r="M257" s="1"/>
  <c r="U225"/>
  <c r="U239" s="1"/>
  <c r="U245" s="1"/>
  <c r="U251" s="1"/>
  <c r="U257" s="1"/>
  <c r="AE225"/>
  <c r="AE207"/>
  <c r="C100" i="2"/>
  <c r="C71"/>
  <c r="C172"/>
  <c r="C169"/>
  <c r="C166"/>
  <c r="C165"/>
  <c r="C164"/>
  <c r="C163"/>
  <c r="C160"/>
  <c r="C159"/>
  <c r="C156"/>
  <c r="B80" i="14" s="1"/>
  <c r="C153" i="2"/>
  <c r="C150"/>
  <c r="C149"/>
  <c r="C148"/>
  <c r="C147"/>
  <c r="C146"/>
  <c r="C145"/>
  <c r="C144"/>
  <c r="C141"/>
  <c r="C140"/>
  <c r="C139"/>
  <c r="C138"/>
  <c r="C137"/>
  <c r="C136"/>
  <c r="C135"/>
  <c r="C134"/>
  <c r="C133"/>
  <c r="C132"/>
  <c r="C131"/>
  <c r="C130"/>
  <c r="C129"/>
  <c r="B89" i="14" s="1"/>
  <c r="D89" s="1"/>
  <c r="E45" i="13" s="1"/>
  <c r="C128" i="2"/>
  <c r="C127"/>
  <c r="C124"/>
  <c r="B110" i="14" s="1"/>
  <c r="B112" s="1"/>
  <c r="J44" i="13" s="1"/>
  <c r="C121" i="2"/>
  <c r="C118"/>
  <c r="C117"/>
  <c r="C116"/>
  <c r="C115"/>
  <c r="C112"/>
  <c r="C109"/>
  <c r="C106"/>
  <c r="C105"/>
  <c r="C104"/>
  <c r="C103"/>
  <c r="C102"/>
  <c r="C101"/>
  <c r="C99"/>
  <c r="C96"/>
  <c r="B122" i="14" s="1"/>
  <c r="C93" i="2"/>
  <c r="C92"/>
  <c r="C91"/>
  <c r="C90"/>
  <c r="C89"/>
  <c r="C88"/>
  <c r="C85"/>
  <c r="C82"/>
  <c r="C79"/>
  <c r="B67" i="14" s="1"/>
  <c r="C75" i="2"/>
  <c r="C77" s="1"/>
  <c r="C30" i="30" s="1"/>
  <c r="C72" i="2"/>
  <c r="B91" i="14" s="1"/>
  <c r="D91" s="1"/>
  <c r="E29" i="13" s="1"/>
  <c r="C70" i="2"/>
  <c r="C69"/>
  <c r="C66"/>
  <c r="C65"/>
  <c r="C62"/>
  <c r="C59"/>
  <c r="C58"/>
  <c r="C57"/>
  <c r="C56"/>
  <c r="C55"/>
  <c r="C54"/>
  <c r="C51"/>
  <c r="C50"/>
  <c r="C47"/>
  <c r="C46"/>
  <c r="C43"/>
  <c r="C40"/>
  <c r="C37"/>
  <c r="C34"/>
  <c r="C33"/>
  <c r="C32"/>
  <c r="C31"/>
  <c r="C27"/>
  <c r="C26"/>
  <c r="C25"/>
  <c r="C24"/>
  <c r="C23"/>
  <c r="C22"/>
  <c r="C19"/>
  <c r="C12"/>
  <c r="C12" i="30" s="1"/>
  <c r="C57" l="1"/>
  <c r="E57" s="1"/>
  <c r="G57" s="1"/>
  <c r="B93" i="14"/>
  <c r="D93" s="1"/>
  <c r="D172" i="2" s="1"/>
  <c r="D57" i="30" s="1"/>
  <c r="C14"/>
  <c r="B134" i="14"/>
  <c r="D134" s="1"/>
  <c r="C45" i="30"/>
  <c r="B138" i="14"/>
  <c r="D138" s="1"/>
  <c r="M51" i="13" s="1"/>
  <c r="D148" i="2" s="1"/>
  <c r="D49" i="30" s="1"/>
  <c r="C49"/>
  <c r="B137" i="14"/>
  <c r="D137" s="1"/>
  <c r="M50" i="13" s="1"/>
  <c r="D147" i="2" s="1"/>
  <c r="D48" i="30" s="1"/>
  <c r="C48"/>
  <c r="B136" i="14"/>
  <c r="D136" s="1"/>
  <c r="M49" i="13" s="1"/>
  <c r="D146" i="2" s="1"/>
  <c r="D47" i="30" s="1"/>
  <c r="C47"/>
  <c r="B140" i="14"/>
  <c r="C51" i="30"/>
  <c r="E51" s="1"/>
  <c r="G51" s="1"/>
  <c r="B135" i="14"/>
  <c r="D135" s="1"/>
  <c r="M48" i="13" s="1"/>
  <c r="D145" i="2" s="1"/>
  <c r="D46" i="30" s="1"/>
  <c r="C46"/>
  <c r="D72" i="2"/>
  <c r="N29" i="13"/>
  <c r="AH45" i="29"/>
  <c r="B126" i="14"/>
  <c r="D129" i="2"/>
  <c r="E59" i="13"/>
  <c r="C14" i="2"/>
  <c r="D124"/>
  <c r="J59" i="13"/>
  <c r="N44"/>
  <c r="E100" i="2"/>
  <c r="I100" s="1"/>
  <c r="K100" s="1"/>
  <c r="L100" s="1"/>
  <c r="E71"/>
  <c r="I71" s="1"/>
  <c r="AE239" i="1"/>
  <c r="E49" i="30" l="1"/>
  <c r="G49" s="1"/>
  <c r="N49" i="13"/>
  <c r="E46" i="30"/>
  <c r="G46" s="1"/>
  <c r="B142" i="14"/>
  <c r="E47" i="30"/>
  <c r="G47" s="1"/>
  <c r="E48"/>
  <c r="G48" s="1"/>
  <c r="AH46" i="29"/>
  <c r="B127" i="14"/>
  <c r="B129" s="1"/>
  <c r="I45" i="13" s="1"/>
  <c r="N51"/>
  <c r="N48"/>
  <c r="N50"/>
  <c r="D142" i="14"/>
  <c r="M47" i="13"/>
  <c r="K71" i="2"/>
  <c r="E17" i="14"/>
  <c r="F14"/>
  <c r="B25" s="1"/>
  <c r="B28" s="1"/>
  <c r="AE245" i="1"/>
  <c r="O100" i="2"/>
  <c r="D130" l="1"/>
  <c r="N45" i="13"/>
  <c r="D144" i="2"/>
  <c r="D45" i="30" s="1"/>
  <c r="E45" s="1"/>
  <c r="G45" s="1"/>
  <c r="N47" i="13"/>
  <c r="M59"/>
  <c r="L71" i="2"/>
  <c r="O71" s="1"/>
  <c r="C13" i="13"/>
  <c r="D12" i="2" s="1"/>
  <c r="D12" i="30" s="1"/>
  <c r="AE251" i="1"/>
  <c r="D14" i="30" l="1"/>
  <c r="E12"/>
  <c r="D14" i="2"/>
  <c r="N13" i="13"/>
  <c r="N14" s="1"/>
  <c r="C14"/>
  <c r="AE257" i="1"/>
  <c r="G12" i="30" l="1"/>
  <c r="G14" s="1"/>
  <c r="E14"/>
  <c r="AE264" i="1"/>
  <c r="Z56" i="6" l="1"/>
  <c r="Z55"/>
  <c r="Z54"/>
  <c r="Z53"/>
  <c r="Z50"/>
  <c r="Z49"/>
  <c r="Z48"/>
  <c r="Z47"/>
  <c r="Z44"/>
  <c r="Z43"/>
  <c r="Z42"/>
  <c r="Z41"/>
  <c r="Z38"/>
  <c r="Z37"/>
  <c r="Z36"/>
  <c r="Z35"/>
  <c r="Z32"/>
  <c r="Z31"/>
  <c r="Z30"/>
  <c r="Z29"/>
  <c r="Z26"/>
  <c r="Z25"/>
  <c r="Z24"/>
  <c r="Z23"/>
  <c r="Z20"/>
  <c r="Z19"/>
  <c r="Z18"/>
  <c r="Z17"/>
  <c r="Z14"/>
  <c r="Z13"/>
  <c r="Z12"/>
  <c r="Z11"/>
  <c r="Z8"/>
  <c r="Z7"/>
  <c r="Z6"/>
  <c r="Z5"/>
  <c r="E166" i="2" l="1"/>
  <c r="I166" s="1"/>
  <c r="K166" s="1"/>
  <c r="L166" s="1"/>
  <c r="E136"/>
  <c r="I136" s="1"/>
  <c r="K136" s="1"/>
  <c r="L136" s="1"/>
  <c r="E130"/>
  <c r="I130" s="1"/>
  <c r="K130" s="1"/>
  <c r="L130" s="1"/>
  <c r="E118"/>
  <c r="I118" s="1"/>
  <c r="K118" s="1"/>
  <c r="L118" s="1"/>
  <c r="E106"/>
  <c r="I106" s="1"/>
  <c r="E102"/>
  <c r="I102" s="1"/>
  <c r="K102" s="1"/>
  <c r="L102" s="1"/>
  <c r="E93"/>
  <c r="I93" s="1"/>
  <c r="K93" s="1"/>
  <c r="L93" s="1"/>
  <c r="E62"/>
  <c r="I62" s="1"/>
  <c r="K62" s="1"/>
  <c r="L62" s="1"/>
  <c r="E40"/>
  <c r="I40" s="1"/>
  <c r="E10"/>
  <c r="I10" s="1"/>
  <c r="O10" s="1"/>
  <c r="E9"/>
  <c r="I9" s="1"/>
  <c r="O9" s="1"/>
  <c r="E8"/>
  <c r="I8" s="1"/>
  <c r="O8" s="1"/>
  <c r="E164"/>
  <c r="I164" s="1"/>
  <c r="G170"/>
  <c r="F56" i="30" s="1"/>
  <c r="D170" i="2"/>
  <c r="D56" i="30" s="1"/>
  <c r="G167" i="2"/>
  <c r="F55" i="30" s="1"/>
  <c r="G161" i="2"/>
  <c r="F54" i="30" s="1"/>
  <c r="D161" i="2"/>
  <c r="D54" i="30" s="1"/>
  <c r="G157" i="2"/>
  <c r="F53" i="30" s="1"/>
  <c r="G154" i="2"/>
  <c r="F52" i="30" s="1"/>
  <c r="D154" i="2"/>
  <c r="D52" i="30" s="1"/>
  <c r="G151" i="2"/>
  <c r="E149"/>
  <c r="I149" s="1"/>
  <c r="E146"/>
  <c r="I146" s="1"/>
  <c r="G142"/>
  <c r="F44" i="30" s="1"/>
  <c r="E141" i="2"/>
  <c r="I141" s="1"/>
  <c r="K141" s="1"/>
  <c r="L141" s="1"/>
  <c r="E140"/>
  <c r="I140" s="1"/>
  <c r="K140" s="1"/>
  <c r="L140" s="1"/>
  <c r="G125"/>
  <c r="F43" i="30" s="1"/>
  <c r="D125" i="2"/>
  <c r="D43" i="30" s="1"/>
  <c r="G122" i="2"/>
  <c r="F42" i="30" s="1"/>
  <c r="D122" i="2"/>
  <c r="D42" i="30" s="1"/>
  <c r="G119" i="2"/>
  <c r="F41" i="30" s="1"/>
  <c r="D119" i="2"/>
  <c r="D41" i="30" s="1"/>
  <c r="E116" i="2"/>
  <c r="I116" s="1"/>
  <c r="K116" s="1"/>
  <c r="L116" s="1"/>
  <c r="G113"/>
  <c r="F40" i="30" s="1"/>
  <c r="D113" i="2"/>
  <c r="D40" i="30" s="1"/>
  <c r="E112" i="2"/>
  <c r="G110"/>
  <c r="F38" i="30" s="1"/>
  <c r="D110" i="2"/>
  <c r="D38" i="30" s="1"/>
  <c r="D107" i="2"/>
  <c r="D37" i="30" s="1"/>
  <c r="G107" i="2"/>
  <c r="F37" i="30" s="1"/>
  <c r="G97" i="2"/>
  <c r="F36" i="30" s="1"/>
  <c r="D94" i="2"/>
  <c r="D35" i="30" s="1"/>
  <c r="G86" i="2"/>
  <c r="F34" i="30" s="1"/>
  <c r="D86" i="2"/>
  <c r="D34" i="30" s="1"/>
  <c r="C86" i="2"/>
  <c r="C34" i="30" s="1"/>
  <c r="E85" i="2"/>
  <c r="I85" s="1"/>
  <c r="K85" s="1"/>
  <c r="L85" s="1"/>
  <c r="G83"/>
  <c r="F33" i="30" s="1"/>
  <c r="D83" i="2"/>
  <c r="D33" i="30" s="1"/>
  <c r="G80" i="2"/>
  <c r="F31" i="30" s="1"/>
  <c r="M77" i="2"/>
  <c r="G73"/>
  <c r="F29" i="30" s="1"/>
  <c r="D73" i="2"/>
  <c r="D29" i="30" s="1"/>
  <c r="D67" i="2"/>
  <c r="D28" i="30" s="1"/>
  <c r="G67" i="2"/>
  <c r="F28" i="30" s="1"/>
  <c r="G63" i="2"/>
  <c r="F27" i="30" s="1"/>
  <c r="D63" i="2"/>
  <c r="D27" i="30" s="1"/>
  <c r="E59" i="2"/>
  <c r="I59" s="1"/>
  <c r="D60"/>
  <c r="D26" i="30" s="1"/>
  <c r="D52" i="2"/>
  <c r="D25" i="30" s="1"/>
  <c r="G48" i="2"/>
  <c r="F24" i="30" s="1"/>
  <c r="D48" i="2"/>
  <c r="D24" i="30" s="1"/>
  <c r="G44" i="2"/>
  <c r="F23" i="30" s="1"/>
  <c r="D44" i="2"/>
  <c r="D23" i="30" s="1"/>
  <c r="G41" i="2"/>
  <c r="F22" i="30" s="1"/>
  <c r="D41" i="2"/>
  <c r="D22" i="30" s="1"/>
  <c r="G38" i="2"/>
  <c r="F21" i="30" s="1"/>
  <c r="D38" i="2"/>
  <c r="D21" i="30" s="1"/>
  <c r="G35" i="2"/>
  <c r="F20" i="30" s="1"/>
  <c r="G28" i="2"/>
  <c r="F19" i="30" s="1"/>
  <c r="E27" i="2"/>
  <c r="I27" s="1"/>
  <c r="E26"/>
  <c r="I26" s="1"/>
  <c r="E24"/>
  <c r="I24" s="1"/>
  <c r="E23"/>
  <c r="I23" s="1"/>
  <c r="D28"/>
  <c r="D19" i="30" s="1"/>
  <c r="G20" i="2"/>
  <c r="F18" i="30" s="1"/>
  <c r="D20" i="2"/>
  <c r="D18" i="30" s="1"/>
  <c r="G14" i="2"/>
  <c r="E12"/>
  <c r="I12" s="1"/>
  <c r="O12" s="1"/>
  <c r="E34" i="30" l="1"/>
  <c r="G34" s="1"/>
  <c r="K149" i="2"/>
  <c r="L149" s="1"/>
  <c r="K146"/>
  <c r="K164"/>
  <c r="L164" s="1"/>
  <c r="K40"/>
  <c r="L40" s="1"/>
  <c r="O40" s="1"/>
  <c r="K106"/>
  <c r="L106" s="1"/>
  <c r="K59"/>
  <c r="L59" s="1"/>
  <c r="O59" s="1"/>
  <c r="K24"/>
  <c r="L24" s="1"/>
  <c r="O24" s="1"/>
  <c r="K26"/>
  <c r="L26" s="1"/>
  <c r="K23"/>
  <c r="L23" s="1"/>
  <c r="K27"/>
  <c r="L27" s="1"/>
  <c r="E113"/>
  <c r="I112"/>
  <c r="E33"/>
  <c r="I33" s="1"/>
  <c r="E57"/>
  <c r="I57" s="1"/>
  <c r="E55"/>
  <c r="I55" s="1"/>
  <c r="E129"/>
  <c r="I129" s="1"/>
  <c r="C113"/>
  <c r="C40" i="30" s="1"/>
  <c r="E40" s="1"/>
  <c r="G40" s="1"/>
  <c r="C20" i="2"/>
  <c r="C18" i="30" s="1"/>
  <c r="E131" i="2"/>
  <c r="I131" s="1"/>
  <c r="E51"/>
  <c r="I51" s="1"/>
  <c r="E72"/>
  <c r="I72" s="1"/>
  <c r="E135"/>
  <c r="I135" s="1"/>
  <c r="K135" s="1"/>
  <c r="L135" s="1"/>
  <c r="E138"/>
  <c r="I138" s="1"/>
  <c r="K138" s="1"/>
  <c r="L138" s="1"/>
  <c r="E160"/>
  <c r="I160" s="1"/>
  <c r="E165"/>
  <c r="I165" s="1"/>
  <c r="E47"/>
  <c r="I47" s="1"/>
  <c r="K47" s="1"/>
  <c r="L47" s="1"/>
  <c r="C110"/>
  <c r="C38" i="30" s="1"/>
  <c r="E38" s="1"/>
  <c r="G38" s="1"/>
  <c r="E90" i="2"/>
  <c r="I90" s="1"/>
  <c r="K90" s="1"/>
  <c r="L90" s="1"/>
  <c r="E163"/>
  <c r="I163" s="1"/>
  <c r="E169"/>
  <c r="C44"/>
  <c r="C23" i="30" s="1"/>
  <c r="E23" s="1"/>
  <c r="G23" s="1"/>
  <c r="E121" i="2"/>
  <c r="I121" s="1"/>
  <c r="K121" s="1"/>
  <c r="L121" s="1"/>
  <c r="E82"/>
  <c r="I82" s="1"/>
  <c r="K82" s="1"/>
  <c r="L82" s="1"/>
  <c r="E172"/>
  <c r="O172" s="1"/>
  <c r="E92"/>
  <c r="I92" s="1"/>
  <c r="K92" s="1"/>
  <c r="L92" s="1"/>
  <c r="E58"/>
  <c r="I58" s="1"/>
  <c r="K58" s="1"/>
  <c r="L58" s="1"/>
  <c r="E145"/>
  <c r="I145" s="1"/>
  <c r="K145" s="1"/>
  <c r="L145" s="1"/>
  <c r="C97"/>
  <c r="C36" i="30" s="1"/>
  <c r="E32" i="2"/>
  <c r="I32" s="1"/>
  <c r="E54"/>
  <c r="E69"/>
  <c r="I69" s="1"/>
  <c r="E159"/>
  <c r="I159" s="1"/>
  <c r="K159" s="1"/>
  <c r="L159" s="1"/>
  <c r="E109"/>
  <c r="E117"/>
  <c r="I117" s="1"/>
  <c r="K117" s="1"/>
  <c r="L117" s="1"/>
  <c r="E134"/>
  <c r="I134" s="1"/>
  <c r="K134" s="1"/>
  <c r="L134" s="1"/>
  <c r="E137"/>
  <c r="I137" s="1"/>
  <c r="E127"/>
  <c r="I127" s="1"/>
  <c r="E132"/>
  <c r="I132" s="1"/>
  <c r="K132" s="1"/>
  <c r="L132" s="1"/>
  <c r="E19"/>
  <c r="I19" s="1"/>
  <c r="E43"/>
  <c r="E46"/>
  <c r="I46" s="1"/>
  <c r="K46" s="1"/>
  <c r="L46" s="1"/>
  <c r="E56"/>
  <c r="I56" s="1"/>
  <c r="K56" s="1"/>
  <c r="L56" s="1"/>
  <c r="E70"/>
  <c r="I70" s="1"/>
  <c r="C60"/>
  <c r="C107"/>
  <c r="C37" i="30" s="1"/>
  <c r="E37" s="1"/>
  <c r="G37" s="1"/>
  <c r="C52" i="2"/>
  <c r="E66"/>
  <c r="I66" s="1"/>
  <c r="C161"/>
  <c r="C54" i="30" s="1"/>
  <c r="E54" s="1"/>
  <c r="G54" s="1"/>
  <c r="E63" i="2"/>
  <c r="E147"/>
  <c r="I147" s="1"/>
  <c r="C151"/>
  <c r="E89"/>
  <c r="O140"/>
  <c r="O93"/>
  <c r="O85"/>
  <c r="K14"/>
  <c r="E7" i="26" s="1"/>
  <c r="E65" i="2"/>
  <c r="I65" s="1"/>
  <c r="K65" s="1"/>
  <c r="L65" s="1"/>
  <c r="C73"/>
  <c r="C29" i="30" s="1"/>
  <c r="E29" s="1"/>
  <c r="G29" s="1"/>
  <c r="C80" i="2"/>
  <c r="C31" i="30" s="1"/>
  <c r="E91" i="2"/>
  <c r="I91" s="1"/>
  <c r="K91" s="1"/>
  <c r="L91" s="1"/>
  <c r="E103"/>
  <c r="I103" s="1"/>
  <c r="K103" s="1"/>
  <c r="L103" s="1"/>
  <c r="E104"/>
  <c r="I104" s="1"/>
  <c r="K104" s="1"/>
  <c r="L104" s="1"/>
  <c r="E105"/>
  <c r="I105" s="1"/>
  <c r="C119"/>
  <c r="C41" i="30" s="1"/>
  <c r="E41" s="1"/>
  <c r="G41" s="1"/>
  <c r="E115" i="2"/>
  <c r="I115" s="1"/>
  <c r="K115" s="1"/>
  <c r="L115" s="1"/>
  <c r="E124"/>
  <c r="E11"/>
  <c r="D76" s="1"/>
  <c r="E22"/>
  <c r="I22" s="1"/>
  <c r="C28"/>
  <c r="C35"/>
  <c r="C20" i="30" s="1"/>
  <c r="C48" i="2"/>
  <c r="C24" i="30" s="1"/>
  <c r="E24" s="1"/>
  <c r="G24" s="1"/>
  <c r="C63" i="2"/>
  <c r="C27" i="30" s="1"/>
  <c r="E27" s="1"/>
  <c r="G27" s="1"/>
  <c r="C83" i="2"/>
  <c r="C33" i="30" s="1"/>
  <c r="E33" s="1"/>
  <c r="G33" s="1"/>
  <c r="C142" i="2"/>
  <c r="C44" i="30" s="1"/>
  <c r="C157" i="2"/>
  <c r="C53" i="30" s="1"/>
  <c r="E25" i="2"/>
  <c r="I25" s="1"/>
  <c r="E50"/>
  <c r="C67"/>
  <c r="C28" i="30" s="1"/>
  <c r="E28" s="1"/>
  <c r="G28" s="1"/>
  <c r="E88" i="2"/>
  <c r="C94"/>
  <c r="C125"/>
  <c r="C43" i="30" s="1"/>
  <c r="E43" s="1"/>
  <c r="G43" s="1"/>
  <c r="O102" i="2"/>
  <c r="C38"/>
  <c r="C21" i="30" s="1"/>
  <c r="E21" s="1"/>
  <c r="G21" s="1"/>
  <c r="E37" i="2"/>
  <c r="C41"/>
  <c r="C22" i="30" s="1"/>
  <c r="E22" s="1"/>
  <c r="G22" s="1"/>
  <c r="E99" i="2"/>
  <c r="I99" s="1"/>
  <c r="E101"/>
  <c r="I101" s="1"/>
  <c r="O116"/>
  <c r="E153"/>
  <c r="C167"/>
  <c r="C55" i="30" s="1"/>
  <c r="E34" i="2"/>
  <c r="I34" s="1"/>
  <c r="K34" s="1"/>
  <c r="L34" s="1"/>
  <c r="D142"/>
  <c r="D44" i="30" s="1"/>
  <c r="E128" i="2"/>
  <c r="I128" s="1"/>
  <c r="E139"/>
  <c r="I139" s="1"/>
  <c r="K139" s="1"/>
  <c r="L139" s="1"/>
  <c r="E150"/>
  <c r="I150" s="1"/>
  <c r="C154"/>
  <c r="C52" i="30" s="1"/>
  <c r="E52" s="1"/>
  <c r="G52" s="1"/>
  <c r="E133" i="2"/>
  <c r="I133" s="1"/>
  <c r="K133" s="1"/>
  <c r="L133" s="1"/>
  <c r="O141"/>
  <c r="C122"/>
  <c r="C42" i="30" s="1"/>
  <c r="E42" s="1"/>
  <c r="G42" s="1"/>
  <c r="D167" i="2"/>
  <c r="D55" i="30" s="1"/>
  <c r="C170" i="2"/>
  <c r="C56" i="30" s="1"/>
  <c r="E56" s="1"/>
  <c r="G56" s="1"/>
  <c r="M53" i="27" l="1"/>
  <c r="M54" s="1"/>
  <c r="M59" s="1"/>
  <c r="C35" i="30"/>
  <c r="E35" s="1"/>
  <c r="M35" i="27"/>
  <c r="M36" s="1"/>
  <c r="C26" i="30"/>
  <c r="E26" s="1"/>
  <c r="E18"/>
  <c r="L146" i="2"/>
  <c r="O146" s="1"/>
  <c r="I47" i="30"/>
  <c r="M41" i="27"/>
  <c r="M42" s="1"/>
  <c r="C19" i="30"/>
  <c r="E19" s="1"/>
  <c r="G19" s="1"/>
  <c r="M47" i="27"/>
  <c r="M48" s="1"/>
  <c r="C25" i="30"/>
  <c r="E25" s="1"/>
  <c r="E55"/>
  <c r="G55" s="1"/>
  <c r="E44"/>
  <c r="G44" s="1"/>
  <c r="E76" i="2"/>
  <c r="I76" s="1"/>
  <c r="O76" s="1"/>
  <c r="L13" i="6"/>
  <c r="E33" i="26"/>
  <c r="E35" s="1"/>
  <c r="O149" i="2"/>
  <c r="K147"/>
  <c r="I46" i="30"/>
  <c r="K66" i="2"/>
  <c r="L66" s="1"/>
  <c r="O66" s="1"/>
  <c r="K70"/>
  <c r="L70" s="1"/>
  <c r="K137"/>
  <c r="L137" s="1"/>
  <c r="O137" s="1"/>
  <c r="K131"/>
  <c r="L131" s="1"/>
  <c r="K55"/>
  <c r="K99"/>
  <c r="L99" s="1"/>
  <c r="O99" s="1"/>
  <c r="K150"/>
  <c r="K32"/>
  <c r="L32" s="1"/>
  <c r="O32" s="1"/>
  <c r="K160"/>
  <c r="L160" s="1"/>
  <c r="L161" s="1"/>
  <c r="K51"/>
  <c r="L51" s="1"/>
  <c r="O51" s="1"/>
  <c r="I113"/>
  <c r="K112"/>
  <c r="L112" s="1"/>
  <c r="L113" s="1"/>
  <c r="K101"/>
  <c r="L101" s="1"/>
  <c r="K128"/>
  <c r="L128" s="1"/>
  <c r="O128" s="1"/>
  <c r="K127"/>
  <c r="L127" s="1"/>
  <c r="O127" s="1"/>
  <c r="K163"/>
  <c r="L163" s="1"/>
  <c r="O163" s="1"/>
  <c r="K165"/>
  <c r="L165" s="1"/>
  <c r="K72"/>
  <c r="L72" s="1"/>
  <c r="O72" s="1"/>
  <c r="K33"/>
  <c r="L33" s="1"/>
  <c r="O33" s="1"/>
  <c r="D118" i="14"/>
  <c r="D120" s="1"/>
  <c r="D76"/>
  <c r="D78" s="1"/>
  <c r="D61"/>
  <c r="K69" i="2"/>
  <c r="L69" s="1"/>
  <c r="O69" s="1"/>
  <c r="K57"/>
  <c r="L57" s="1"/>
  <c r="O26"/>
  <c r="K22"/>
  <c r="O23"/>
  <c r="K19"/>
  <c r="L19" s="1"/>
  <c r="L20" s="1"/>
  <c r="K25"/>
  <c r="L25" s="1"/>
  <c r="O27"/>
  <c r="O106"/>
  <c r="I11"/>
  <c r="E110"/>
  <c r="I109"/>
  <c r="O129"/>
  <c r="E41"/>
  <c r="E44"/>
  <c r="I43"/>
  <c r="G60"/>
  <c r="F26" i="30" s="1"/>
  <c r="O138" i="2"/>
  <c r="E170"/>
  <c r="I169"/>
  <c r="O159"/>
  <c r="O34"/>
  <c r="E154"/>
  <c r="I153"/>
  <c r="K153" s="1"/>
  <c r="I88"/>
  <c r="K88" s="1"/>
  <c r="L88" s="1"/>
  <c r="E38"/>
  <c r="I37"/>
  <c r="E125"/>
  <c r="I124"/>
  <c r="O132"/>
  <c r="O105"/>
  <c r="O130"/>
  <c r="O118"/>
  <c r="E60"/>
  <c r="E161"/>
  <c r="I28"/>
  <c r="O82"/>
  <c r="O136"/>
  <c r="O47"/>
  <c r="O121"/>
  <c r="E119"/>
  <c r="O46"/>
  <c r="E20"/>
  <c r="E73"/>
  <c r="E52"/>
  <c r="I50"/>
  <c r="E67"/>
  <c r="D151"/>
  <c r="E144"/>
  <c r="I144" s="1"/>
  <c r="E48"/>
  <c r="E148"/>
  <c r="I148" s="1"/>
  <c r="K148" s="1"/>
  <c r="L148" s="1"/>
  <c r="I48"/>
  <c r="O134"/>
  <c r="E122"/>
  <c r="E28"/>
  <c r="E83"/>
  <c r="E94"/>
  <c r="E142"/>
  <c r="L14"/>
  <c r="E7" i="25" s="1"/>
  <c r="O133" i="2"/>
  <c r="O117"/>
  <c r="I107"/>
  <c r="I119"/>
  <c r="O115"/>
  <c r="O104"/>
  <c r="I161"/>
  <c r="O164"/>
  <c r="I142"/>
  <c r="O139"/>
  <c r="O56"/>
  <c r="O58"/>
  <c r="O91"/>
  <c r="I83"/>
  <c r="E167"/>
  <c r="E86"/>
  <c r="I73"/>
  <c r="O62"/>
  <c r="I63"/>
  <c r="I167"/>
  <c r="I86"/>
  <c r="I67"/>
  <c r="I20"/>
  <c r="E107"/>
  <c r="I122"/>
  <c r="M47" i="30" l="1"/>
  <c r="O47" s="1"/>
  <c r="K47"/>
  <c r="M46"/>
  <c r="O46" s="1"/>
  <c r="K46"/>
  <c r="L150" i="2"/>
  <c r="O150" s="1"/>
  <c r="I51" i="30"/>
  <c r="L147" i="2"/>
  <c r="O147" s="1"/>
  <c r="I48" i="30"/>
  <c r="G18"/>
  <c r="C58"/>
  <c r="G26"/>
  <c r="D77" i="2"/>
  <c r="D30" i="30" s="1"/>
  <c r="E30" s="1"/>
  <c r="G30" s="1"/>
  <c r="E75" i="2"/>
  <c r="I75" s="1"/>
  <c r="E33" i="25"/>
  <c r="E35" s="1"/>
  <c r="M13" i="6"/>
  <c r="N13" s="1"/>
  <c r="O11" i="2"/>
  <c r="E30" i="6"/>
  <c r="E34" s="1"/>
  <c r="K144" i="2"/>
  <c r="O145"/>
  <c r="O131"/>
  <c r="K113"/>
  <c r="O112"/>
  <c r="I125"/>
  <c r="L124"/>
  <c r="L125" s="1"/>
  <c r="K124"/>
  <c r="K125" s="1"/>
  <c r="I43" i="30" s="1"/>
  <c r="K50" i="2"/>
  <c r="L50" s="1"/>
  <c r="K96"/>
  <c r="K97" s="1"/>
  <c r="I36" i="30" s="1"/>
  <c r="K36" s="1"/>
  <c r="L55" i="2"/>
  <c r="O55" s="1"/>
  <c r="E76" i="14"/>
  <c r="E61"/>
  <c r="E63" s="1"/>
  <c r="L79" i="2" s="1"/>
  <c r="L80" s="1"/>
  <c r="E118" i="14"/>
  <c r="E120" s="1"/>
  <c r="L96" i="2" s="1"/>
  <c r="L97" s="1"/>
  <c r="I38"/>
  <c r="K37"/>
  <c r="L37" s="1"/>
  <c r="L38" s="1"/>
  <c r="K169"/>
  <c r="L169" s="1"/>
  <c r="L170" s="1"/>
  <c r="I44"/>
  <c r="K43"/>
  <c r="K109"/>
  <c r="K110" s="1"/>
  <c r="I38" i="30" s="1"/>
  <c r="K156" i="2"/>
  <c r="K157" s="1"/>
  <c r="I53" i="30" s="1"/>
  <c r="L153" i="2"/>
  <c r="L154" s="1"/>
  <c r="K154"/>
  <c r="I52" i="30" s="1"/>
  <c r="D63" i="14"/>
  <c r="O57" i="2"/>
  <c r="O19"/>
  <c r="O25"/>
  <c r="L22"/>
  <c r="L28" s="1"/>
  <c r="K28"/>
  <c r="I19" i="30" s="1"/>
  <c r="G94" i="2"/>
  <c r="F35" i="30" s="1"/>
  <c r="G35" s="1"/>
  <c r="O92" i="2"/>
  <c r="I170"/>
  <c r="O90"/>
  <c r="O103"/>
  <c r="O165"/>
  <c r="O160"/>
  <c r="O101"/>
  <c r="O65"/>
  <c r="O70"/>
  <c r="O135"/>
  <c r="I110"/>
  <c r="I54"/>
  <c r="I89"/>
  <c r="I154"/>
  <c r="K41"/>
  <c r="I22" i="30" s="1"/>
  <c r="I41" i="2"/>
  <c r="L41"/>
  <c r="O166"/>
  <c r="I151"/>
  <c r="C178"/>
  <c r="E151"/>
  <c r="G52"/>
  <c r="F25" i="30" s="1"/>
  <c r="L119" i="2"/>
  <c r="L122"/>
  <c r="L142"/>
  <c r="L63"/>
  <c r="L48"/>
  <c r="C176"/>
  <c r="K20"/>
  <c r="K67"/>
  <c r="I28" i="30" s="1"/>
  <c r="K86" i="2"/>
  <c r="I34" i="30" s="1"/>
  <c r="K63" i="2"/>
  <c r="I27" i="30" s="1"/>
  <c r="K119" i="2"/>
  <c r="I41" i="30" s="1"/>
  <c r="L83" i="2"/>
  <c r="K161"/>
  <c r="K122"/>
  <c r="I42" i="30" s="1"/>
  <c r="K142" i="2"/>
  <c r="I44" i="30" s="1"/>
  <c r="K107" i="2"/>
  <c r="I37" i="30" s="1"/>
  <c r="L107" i="2"/>
  <c r="K167"/>
  <c r="I55" i="30" s="1"/>
  <c r="K73" i="2"/>
  <c r="I29" i="30" s="1"/>
  <c r="K83" i="2"/>
  <c r="I33" i="30" s="1"/>
  <c r="K48" i="2"/>
  <c r="I24" i="30" s="1"/>
  <c r="L67" i="2"/>
  <c r="L86"/>
  <c r="L167"/>
  <c r="L73"/>
  <c r="M33" i="30" l="1"/>
  <c r="O33" s="1"/>
  <c r="K33"/>
  <c r="M28"/>
  <c r="O28" s="1"/>
  <c r="K28"/>
  <c r="M24"/>
  <c r="O24" s="1"/>
  <c r="K24"/>
  <c r="M34"/>
  <c r="O34" s="1"/>
  <c r="K34"/>
  <c r="M22"/>
  <c r="O22" s="1"/>
  <c r="K22"/>
  <c r="M51"/>
  <c r="O51" s="1"/>
  <c r="K51"/>
  <c r="M27"/>
  <c r="O27" s="1"/>
  <c r="K27"/>
  <c r="M52"/>
  <c r="O52" s="1"/>
  <c r="K52"/>
  <c r="M37"/>
  <c r="O37" s="1"/>
  <c r="K37"/>
  <c r="M38"/>
  <c r="O38" s="1"/>
  <c r="K38"/>
  <c r="M41"/>
  <c r="O41" s="1"/>
  <c r="K41"/>
  <c r="M42"/>
  <c r="O42" s="1"/>
  <c r="K42"/>
  <c r="M29"/>
  <c r="O29" s="1"/>
  <c r="K29"/>
  <c r="M43"/>
  <c r="M19"/>
  <c r="O19" s="1"/>
  <c r="K19"/>
  <c r="M44"/>
  <c r="O44" s="1"/>
  <c r="K44"/>
  <c r="M55"/>
  <c r="O55" s="1"/>
  <c r="K55"/>
  <c r="M48"/>
  <c r="O48" s="1"/>
  <c r="K48"/>
  <c r="F58"/>
  <c r="C62"/>
  <c r="C60"/>
  <c r="O148" i="2"/>
  <c r="I49" i="30"/>
  <c r="O161" i="2"/>
  <c r="I54" i="30"/>
  <c r="G25"/>
  <c r="O20" i="2"/>
  <c r="I18" i="30"/>
  <c r="O113" i="2"/>
  <c r="I40" i="30"/>
  <c r="L144" i="2"/>
  <c r="O144" s="1"/>
  <c r="I45" i="30"/>
  <c r="E77" i="2"/>
  <c r="K151"/>
  <c r="O153"/>
  <c r="F61" i="14"/>
  <c r="O124" i="2"/>
  <c r="O169"/>
  <c r="F120" i="14"/>
  <c r="L43" i="2"/>
  <c r="K44"/>
  <c r="I23" i="30" s="1"/>
  <c r="F76" i="14"/>
  <c r="E78"/>
  <c r="I94" i="2"/>
  <c r="K89"/>
  <c r="L89" s="1"/>
  <c r="F63" i="14"/>
  <c r="K79" i="2"/>
  <c r="K80" s="1"/>
  <c r="I31" i="30" s="1"/>
  <c r="L109" i="2"/>
  <c r="L110" s="1"/>
  <c r="O110" s="1"/>
  <c r="K54"/>
  <c r="L54" s="1"/>
  <c r="L60" s="1"/>
  <c r="K38"/>
  <c r="O125"/>
  <c r="K170"/>
  <c r="O63"/>
  <c r="O154"/>
  <c r="O28"/>
  <c r="O48"/>
  <c r="O22"/>
  <c r="O67"/>
  <c r="O107"/>
  <c r="O73"/>
  <c r="I60"/>
  <c r="O119"/>
  <c r="O83"/>
  <c r="O86"/>
  <c r="O167"/>
  <c r="O142"/>
  <c r="O122"/>
  <c r="O88"/>
  <c r="O41"/>
  <c r="O37"/>
  <c r="L52"/>
  <c r="I52"/>
  <c r="M23" i="30" l="1"/>
  <c r="O23" s="1"/>
  <c r="K23"/>
  <c r="M18"/>
  <c r="K18"/>
  <c r="M54"/>
  <c r="O54" s="1"/>
  <c r="K54"/>
  <c r="M40"/>
  <c r="O40" s="1"/>
  <c r="K40"/>
  <c r="M49"/>
  <c r="O49" s="1"/>
  <c r="K49"/>
  <c r="M45"/>
  <c r="O45" s="1"/>
  <c r="K45"/>
  <c r="O18"/>
  <c r="O170" i="2"/>
  <c r="I56" i="30"/>
  <c r="O38" i="2"/>
  <c r="I21" i="30"/>
  <c r="L151" i="2"/>
  <c r="O151" s="1"/>
  <c r="I77"/>
  <c r="K60"/>
  <c r="L94"/>
  <c r="O89"/>
  <c r="O43"/>
  <c r="L44"/>
  <c r="O44" s="1"/>
  <c r="L156"/>
  <c r="L157" s="1"/>
  <c r="F78" i="14"/>
  <c r="O109" i="2"/>
  <c r="O54"/>
  <c r="K94"/>
  <c r="I35" i="30" s="1"/>
  <c r="O50" i="2"/>
  <c r="K52"/>
  <c r="I25" i="30" s="1"/>
  <c r="M21" l="1"/>
  <c r="O21" s="1"/>
  <c r="K21"/>
  <c r="M25"/>
  <c r="O25" s="1"/>
  <c r="K25"/>
  <c r="M56"/>
  <c r="O56" s="1"/>
  <c r="K56"/>
  <c r="M35"/>
  <c r="O35" s="1"/>
  <c r="K35"/>
  <c r="O60" i="2"/>
  <c r="I26" i="30"/>
  <c r="L77" i="2"/>
  <c r="K77"/>
  <c r="O75"/>
  <c r="O94"/>
  <c r="O52"/>
  <c r="I30" i="30" l="1"/>
  <c r="K30" s="1"/>
  <c r="M26"/>
  <c r="O26" s="1"/>
  <c r="K26"/>
  <c r="O77" i="2"/>
  <c r="E14"/>
  <c r="I13"/>
  <c r="O13" s="1"/>
  <c r="M30" i="30" l="1"/>
  <c r="O30" s="1"/>
  <c r="I14" i="2"/>
  <c r="E7" i="6" s="1"/>
  <c r="E33" s="1"/>
  <c r="E35" s="1"/>
  <c r="B152" i="14" l="1"/>
  <c r="B154" s="1"/>
  <c r="K15" i="2"/>
  <c r="L15"/>
  <c r="B118" i="14"/>
  <c r="B120" s="1"/>
  <c r="B124" s="1"/>
  <c r="B61"/>
  <c r="B65" s="1"/>
  <c r="B69" s="1"/>
  <c r="H33" i="13" s="1"/>
  <c r="D79" i="2" s="1"/>
  <c r="B76" i="14"/>
  <c r="B78" s="1"/>
  <c r="B82" s="1"/>
  <c r="L54" i="13" s="1"/>
  <c r="D156" i="2" s="1"/>
  <c r="O14"/>
  <c r="I38" i="13" l="1"/>
  <c r="H21" i="6"/>
  <c r="H23" s="1"/>
  <c r="H21" i="25"/>
  <c r="H23" s="1"/>
  <c r="H21" i="26"/>
  <c r="H23" s="1"/>
  <c r="O15" i="2"/>
  <c r="N33" i="13"/>
  <c r="L59"/>
  <c r="N54"/>
  <c r="H59"/>
  <c r="E79" i="2"/>
  <c r="D80"/>
  <c r="D157"/>
  <c r="D53" i="30" s="1"/>
  <c r="E53" s="1"/>
  <c r="G53" s="1"/>
  <c r="M53" s="1"/>
  <c r="E156" i="2"/>
  <c r="D35"/>
  <c r="D20" i="30" s="1"/>
  <c r="E31" i="2"/>
  <c r="D31" i="30" l="1"/>
  <c r="E31" s="1"/>
  <c r="G31" s="1"/>
  <c r="M31" s="1"/>
  <c r="E20"/>
  <c r="N38" i="13"/>
  <c r="N59" s="1"/>
  <c r="D96" i="2"/>
  <c r="D97" s="1"/>
  <c r="D36" i="30" s="1"/>
  <c r="E36" s="1"/>
  <c r="G36" s="1"/>
  <c r="M36" s="1"/>
  <c r="O36" s="1"/>
  <c r="I59" i="13"/>
  <c r="E80" i="2"/>
  <c r="I79"/>
  <c r="I31"/>
  <c r="E35"/>
  <c r="E157"/>
  <c r="I156"/>
  <c r="D174" l="1"/>
  <c r="D58" i="30"/>
  <c r="G20"/>
  <c r="E58"/>
  <c r="E60" s="1"/>
  <c r="E96" i="2"/>
  <c r="E97" s="1"/>
  <c r="E174" s="1"/>
  <c r="K31"/>
  <c r="K35" s="1"/>
  <c r="K174" s="1"/>
  <c r="I35"/>
  <c r="O79"/>
  <c r="I80"/>
  <c r="O156"/>
  <c r="I157"/>
  <c r="O157" s="1"/>
  <c r="O80" l="1"/>
  <c r="G58" i="30"/>
  <c r="K178" i="2"/>
  <c r="I20" i="30"/>
  <c r="I96" i="2"/>
  <c r="I97" s="1"/>
  <c r="O97" s="1"/>
  <c r="L31"/>
  <c r="L35" s="1"/>
  <c r="L174" s="1"/>
  <c r="E176"/>
  <c r="E178"/>
  <c r="O174" l="1"/>
  <c r="I174"/>
  <c r="E8" i="6" s="1"/>
  <c r="I58" i="30"/>
  <c r="I60" s="1"/>
  <c r="K20"/>
  <c r="M20"/>
  <c r="M58" s="1"/>
  <c r="E8" i="26"/>
  <c r="U6" s="1"/>
  <c r="V6" s="1"/>
  <c r="K176" i="2"/>
  <c r="G62" i="30"/>
  <c r="G60"/>
  <c r="O96" i="2"/>
  <c r="L178"/>
  <c r="E8" i="25"/>
  <c r="O35" i="2"/>
  <c r="O31"/>
  <c r="L176"/>
  <c r="M62" i="30" l="1"/>
  <c r="M60"/>
  <c r="I62"/>
  <c r="O20"/>
  <c r="I176" i="2"/>
  <c r="U7" i="26"/>
  <c r="V7" s="1"/>
  <c r="AJ31" s="1"/>
  <c r="U5"/>
  <c r="V5" s="1"/>
  <c r="E10" s="1"/>
  <c r="E12" s="1"/>
  <c r="L14" i="6"/>
  <c r="U8" i="26"/>
  <c r="V8" s="1"/>
  <c r="AJ32" s="1"/>
  <c r="I178" i="2"/>
  <c r="U7" i="25"/>
  <c r="V7" s="1"/>
  <c r="M14" i="6"/>
  <c r="U6" i="25"/>
  <c r="V6" s="1"/>
  <c r="U8"/>
  <c r="V8" s="1"/>
  <c r="U5"/>
  <c r="V5" s="1"/>
  <c r="AJ30" i="26"/>
  <c r="W6"/>
  <c r="X6" s="1"/>
  <c r="Y6" s="1"/>
  <c r="AA6" s="1"/>
  <c r="AB6" s="1"/>
  <c r="AC6" s="1"/>
  <c r="U6" i="6"/>
  <c r="V6" s="1"/>
  <c r="U7"/>
  <c r="V7" s="1"/>
  <c r="U8"/>
  <c r="V8" s="1"/>
  <c r="U5"/>
  <c r="V5" s="1"/>
  <c r="AJ29" i="26" l="1"/>
  <c r="W7"/>
  <c r="X7" s="1"/>
  <c r="Y7" s="1"/>
  <c r="AA7" s="1"/>
  <c r="AB7" s="1"/>
  <c r="AC7" s="1"/>
  <c r="AD7" s="1"/>
  <c r="W5"/>
  <c r="X5" s="1"/>
  <c r="Y5" s="1"/>
  <c r="AA5" s="1"/>
  <c r="AB5" s="1"/>
  <c r="AC5" s="1"/>
  <c r="AF5" s="1"/>
  <c r="AJ20" s="1"/>
  <c r="W8"/>
  <c r="X8" s="1"/>
  <c r="Y8" s="1"/>
  <c r="AA8" s="1"/>
  <c r="AB8" s="1"/>
  <c r="AC8" s="1"/>
  <c r="AF8" s="1"/>
  <c r="AJ23" s="1"/>
  <c r="N14" i="6"/>
  <c r="W7" i="25"/>
  <c r="X7" s="1"/>
  <c r="Y7" s="1"/>
  <c r="AA7" s="1"/>
  <c r="AB7" s="1"/>
  <c r="AC7" s="1"/>
  <c r="AJ31"/>
  <c r="W5"/>
  <c r="X5" s="1"/>
  <c r="Y5" s="1"/>
  <c r="AA5" s="1"/>
  <c r="AB5" s="1"/>
  <c r="AC5" s="1"/>
  <c r="E10"/>
  <c r="E12" s="1"/>
  <c r="AJ29"/>
  <c r="W6"/>
  <c r="X6" s="1"/>
  <c r="Y6" s="1"/>
  <c r="AA6" s="1"/>
  <c r="AB6" s="1"/>
  <c r="AC6" s="1"/>
  <c r="AJ30"/>
  <c r="W8"/>
  <c r="X8" s="1"/>
  <c r="Y8" s="1"/>
  <c r="AA8" s="1"/>
  <c r="AB8" s="1"/>
  <c r="AC8" s="1"/>
  <c r="AJ32"/>
  <c r="AD6" i="26"/>
  <c r="AF6"/>
  <c r="AJ21" s="1"/>
  <c r="AJ30" i="6"/>
  <c r="W6"/>
  <c r="X6" s="1"/>
  <c r="Y6" s="1"/>
  <c r="AA6" s="1"/>
  <c r="AB6" s="1"/>
  <c r="AC6" s="1"/>
  <c r="W5"/>
  <c r="X5" s="1"/>
  <c r="Y5" s="1"/>
  <c r="AA5" s="1"/>
  <c r="AB5" s="1"/>
  <c r="AC5" s="1"/>
  <c r="AJ29"/>
  <c r="E10"/>
  <c r="E12" s="1"/>
  <c r="W8"/>
  <c r="X8" s="1"/>
  <c r="Y8" s="1"/>
  <c r="AA8" s="1"/>
  <c r="AB8" s="1"/>
  <c r="AC8" s="1"/>
  <c r="AJ32"/>
  <c r="AJ31"/>
  <c r="W7"/>
  <c r="X7" s="1"/>
  <c r="Y7" s="1"/>
  <c r="AA7" s="1"/>
  <c r="AB7" s="1"/>
  <c r="AC7" s="1"/>
  <c r="AD5" i="26" l="1"/>
  <c r="AJ38" s="1"/>
  <c r="AF7"/>
  <c r="AJ22" s="1"/>
  <c r="AD8"/>
  <c r="AJ41" s="1"/>
  <c r="AF7" i="25"/>
  <c r="AJ22" s="1"/>
  <c r="AD7"/>
  <c r="AF6"/>
  <c r="AJ21" s="1"/>
  <c r="AD6"/>
  <c r="AF5"/>
  <c r="AJ20" s="1"/>
  <c r="AD5"/>
  <c r="AF8"/>
  <c r="AJ23" s="1"/>
  <c r="AD8"/>
  <c r="V13" i="26"/>
  <c r="AJ40"/>
  <c r="AE7"/>
  <c r="AJ16" s="1"/>
  <c r="AE6"/>
  <c r="AJ15" s="1"/>
  <c r="AJ39"/>
  <c r="V12"/>
  <c r="AE8"/>
  <c r="AJ17" s="1"/>
  <c r="V14"/>
  <c r="AF7" i="6"/>
  <c r="AJ22" s="1"/>
  <c r="AD7"/>
  <c r="AF8"/>
  <c r="AJ23" s="1"/>
  <c r="AD8"/>
  <c r="AF6"/>
  <c r="AJ21" s="1"/>
  <c r="AD6"/>
  <c r="AF5"/>
  <c r="AJ20" s="1"/>
  <c r="AD5"/>
  <c r="V11" i="26" l="1"/>
  <c r="AK29" s="1"/>
  <c r="AE5"/>
  <c r="AJ14" s="1"/>
  <c r="AE5" i="25"/>
  <c r="AJ14" s="1"/>
  <c r="AJ38"/>
  <c r="V11"/>
  <c r="V13"/>
  <c r="AJ40"/>
  <c r="AE7"/>
  <c r="AJ16" s="1"/>
  <c r="V14"/>
  <c r="AE8"/>
  <c r="AJ17" s="1"/>
  <c r="AJ41"/>
  <c r="V12"/>
  <c r="AJ39"/>
  <c r="AE6"/>
  <c r="AJ15" s="1"/>
  <c r="AK30" i="26"/>
  <c r="W12"/>
  <c r="X12" s="1"/>
  <c r="Y12" s="1"/>
  <c r="AA12" s="1"/>
  <c r="AB12" s="1"/>
  <c r="AC12" s="1"/>
  <c r="W13"/>
  <c r="X13" s="1"/>
  <c r="Y13" s="1"/>
  <c r="AA13" s="1"/>
  <c r="AB13" s="1"/>
  <c r="AC13" s="1"/>
  <c r="AK31"/>
  <c r="AJ28"/>
  <c r="AJ37"/>
  <c r="AJ19"/>
  <c r="W14"/>
  <c r="X14" s="1"/>
  <c r="Y14" s="1"/>
  <c r="AA14" s="1"/>
  <c r="AB14" s="1"/>
  <c r="AC14" s="1"/>
  <c r="AK32"/>
  <c r="AE6" i="6"/>
  <c r="AJ15" s="1"/>
  <c r="AJ39"/>
  <c r="V12"/>
  <c r="V13"/>
  <c r="AE7"/>
  <c r="AJ16" s="1"/>
  <c r="AJ40"/>
  <c r="AE5"/>
  <c r="AJ14" s="1"/>
  <c r="V11"/>
  <c r="AJ38"/>
  <c r="V14"/>
  <c r="AJ41"/>
  <c r="AE8"/>
  <c r="AJ17" s="1"/>
  <c r="W11" i="26" l="1"/>
  <c r="X11" s="1"/>
  <c r="Y11" s="1"/>
  <c r="AA11" s="1"/>
  <c r="AB11" s="1"/>
  <c r="AC11" s="1"/>
  <c r="AD11" s="1"/>
  <c r="AJ19" i="25"/>
  <c r="AJ28"/>
  <c r="AJ37"/>
  <c r="W14"/>
  <c r="X14" s="1"/>
  <c r="Y14" s="1"/>
  <c r="AA14" s="1"/>
  <c r="AB14" s="1"/>
  <c r="AC14" s="1"/>
  <c r="AK32"/>
  <c r="W11"/>
  <c r="X11" s="1"/>
  <c r="Y11" s="1"/>
  <c r="AA11" s="1"/>
  <c r="AB11" s="1"/>
  <c r="AC11" s="1"/>
  <c r="AK29"/>
  <c r="W12"/>
  <c r="X12" s="1"/>
  <c r="Y12" s="1"/>
  <c r="AA12" s="1"/>
  <c r="AB12" s="1"/>
  <c r="AC12" s="1"/>
  <c r="AK30"/>
  <c r="W13"/>
  <c r="X13" s="1"/>
  <c r="Y13" s="1"/>
  <c r="AA13" s="1"/>
  <c r="AB13" s="1"/>
  <c r="AC13" s="1"/>
  <c r="AK31"/>
  <c r="AF14" i="26"/>
  <c r="AK23" s="1"/>
  <c r="AD14"/>
  <c r="AF12"/>
  <c r="AK21" s="1"/>
  <c r="AD12"/>
  <c r="AF13"/>
  <c r="AK22" s="1"/>
  <c r="AD13"/>
  <c r="AJ28" i="6"/>
  <c r="AJ19"/>
  <c r="AJ37"/>
  <c r="W14"/>
  <c r="X14" s="1"/>
  <c r="Y14" s="1"/>
  <c r="AA14" s="1"/>
  <c r="AB14" s="1"/>
  <c r="AC14" s="1"/>
  <c r="AK32"/>
  <c r="AK29"/>
  <c r="W11"/>
  <c r="X11" s="1"/>
  <c r="Y11" s="1"/>
  <c r="AA11" s="1"/>
  <c r="AB11" s="1"/>
  <c r="AC11" s="1"/>
  <c r="W13"/>
  <c r="X13" s="1"/>
  <c r="Y13" s="1"/>
  <c r="AA13" s="1"/>
  <c r="AB13" s="1"/>
  <c r="AC13" s="1"/>
  <c r="AK31"/>
  <c r="AK30"/>
  <c r="W12"/>
  <c r="X12" s="1"/>
  <c r="Y12" s="1"/>
  <c r="AA12" s="1"/>
  <c r="AB12" s="1"/>
  <c r="AC12" s="1"/>
  <c r="AF11" i="26" l="1"/>
  <c r="AK20" s="1"/>
  <c r="AF13" i="25"/>
  <c r="AK22" s="1"/>
  <c r="AD13"/>
  <c r="AF11"/>
  <c r="AK20" s="1"/>
  <c r="AD11"/>
  <c r="AF12"/>
  <c r="AK21" s="1"/>
  <c r="AD12"/>
  <c r="AF14"/>
  <c r="AK23" s="1"/>
  <c r="AD14"/>
  <c r="V18" i="26"/>
  <c r="AK39"/>
  <c r="AE12"/>
  <c r="AK15" s="1"/>
  <c r="AK38"/>
  <c r="AE11"/>
  <c r="AK14" s="1"/>
  <c r="V17"/>
  <c r="V19"/>
  <c r="AE13"/>
  <c r="AK16" s="1"/>
  <c r="AK40"/>
  <c r="AE14"/>
  <c r="AK17" s="1"/>
  <c r="V20"/>
  <c r="AK41"/>
  <c r="AF11" i="6"/>
  <c r="AK20" s="1"/>
  <c r="AD11"/>
  <c r="AF12"/>
  <c r="AK21" s="1"/>
  <c r="AD12"/>
  <c r="AF13"/>
  <c r="AK22" s="1"/>
  <c r="AD13"/>
  <c r="AF14"/>
  <c r="AK23" s="1"/>
  <c r="AD14"/>
  <c r="AE12" i="25" l="1"/>
  <c r="AK15" s="1"/>
  <c r="AK39"/>
  <c r="V18"/>
  <c r="V19"/>
  <c r="AE13"/>
  <c r="AK16" s="1"/>
  <c r="AK40"/>
  <c r="V20"/>
  <c r="AE14"/>
  <c r="AK17" s="1"/>
  <c r="AK41"/>
  <c r="AK38"/>
  <c r="V17"/>
  <c r="AE11"/>
  <c r="AK14" s="1"/>
  <c r="W18" i="26"/>
  <c r="X18" s="1"/>
  <c r="Y18" s="1"/>
  <c r="AA18" s="1"/>
  <c r="AB18" s="1"/>
  <c r="AC18" s="1"/>
  <c r="AL30"/>
  <c r="AL29"/>
  <c r="W17"/>
  <c r="X17" s="1"/>
  <c r="Y17" s="1"/>
  <c r="AA17" s="1"/>
  <c r="AB17" s="1"/>
  <c r="AC17" s="1"/>
  <c r="W20"/>
  <c r="X20" s="1"/>
  <c r="Y20" s="1"/>
  <c r="AA20" s="1"/>
  <c r="AB20" s="1"/>
  <c r="AC20" s="1"/>
  <c r="AL32"/>
  <c r="W19"/>
  <c r="X19" s="1"/>
  <c r="Y19" s="1"/>
  <c r="AA19" s="1"/>
  <c r="AB19" s="1"/>
  <c r="AC19" s="1"/>
  <c r="AL31"/>
  <c r="AK28"/>
  <c r="AK19"/>
  <c r="AK37"/>
  <c r="V19" i="6"/>
  <c r="AK40"/>
  <c r="AE13"/>
  <c r="AK16" s="1"/>
  <c r="AK38"/>
  <c r="AE11"/>
  <c r="AK14" s="1"/>
  <c r="V17"/>
  <c r="V20"/>
  <c r="AK41"/>
  <c r="AE14"/>
  <c r="AK17" s="1"/>
  <c r="AK39"/>
  <c r="AE12"/>
  <c r="AK15" s="1"/>
  <c r="V18"/>
  <c r="W17" i="25" l="1"/>
  <c r="X17" s="1"/>
  <c r="Y17" s="1"/>
  <c r="AA17" s="1"/>
  <c r="AB17" s="1"/>
  <c r="AC17" s="1"/>
  <c r="AL29"/>
  <c r="AL32"/>
  <c r="W20"/>
  <c r="X20" s="1"/>
  <c r="Y20" s="1"/>
  <c r="AA20" s="1"/>
  <c r="AB20" s="1"/>
  <c r="AC20" s="1"/>
  <c r="W18"/>
  <c r="X18" s="1"/>
  <c r="Y18" s="1"/>
  <c r="AA18" s="1"/>
  <c r="AB18" s="1"/>
  <c r="AC18" s="1"/>
  <c r="AL30"/>
  <c r="AK37"/>
  <c r="AK28"/>
  <c r="AK19"/>
  <c r="AL31"/>
  <c r="W19"/>
  <c r="X19" s="1"/>
  <c r="Y19" s="1"/>
  <c r="AA19" s="1"/>
  <c r="AB19" s="1"/>
  <c r="AC19" s="1"/>
  <c r="AF18" i="26"/>
  <c r="AL21" s="1"/>
  <c r="AD18"/>
  <c r="AF20"/>
  <c r="AL23" s="1"/>
  <c r="AD20"/>
  <c r="AF19"/>
  <c r="AL22" s="1"/>
  <c r="AD19"/>
  <c r="AF17"/>
  <c r="AL20" s="1"/>
  <c r="AD17"/>
  <c r="AK37" i="6"/>
  <c r="AK19"/>
  <c r="AK28"/>
  <c r="AL31"/>
  <c r="W19"/>
  <c r="X19" s="1"/>
  <c r="Y19" s="1"/>
  <c r="AA19" s="1"/>
  <c r="AB19" s="1"/>
  <c r="AC19" s="1"/>
  <c r="W17"/>
  <c r="X17" s="1"/>
  <c r="Y17" s="1"/>
  <c r="AA17" s="1"/>
  <c r="AB17" s="1"/>
  <c r="AC17" s="1"/>
  <c r="AL29"/>
  <c r="AL32"/>
  <c r="W20"/>
  <c r="X20" s="1"/>
  <c r="Y20" s="1"/>
  <c r="AA20" s="1"/>
  <c r="AB20" s="1"/>
  <c r="AC20" s="1"/>
  <c r="AL30"/>
  <c r="W18"/>
  <c r="X18" s="1"/>
  <c r="Y18" s="1"/>
  <c r="AA18" s="1"/>
  <c r="AB18" s="1"/>
  <c r="AC18" s="1"/>
  <c r="AF18" i="25" l="1"/>
  <c r="AL21" s="1"/>
  <c r="AD18"/>
  <c r="AF17"/>
  <c r="AL20" s="1"/>
  <c r="AD17"/>
  <c r="AF19"/>
  <c r="AL22" s="1"/>
  <c r="AD19"/>
  <c r="AF20"/>
  <c r="AL23" s="1"/>
  <c r="AD20"/>
  <c r="V25" i="26"/>
  <c r="AL40"/>
  <c r="AE19"/>
  <c r="AL16" s="1"/>
  <c r="AE18"/>
  <c r="AL15" s="1"/>
  <c r="AL39"/>
  <c r="V24"/>
  <c r="V23"/>
  <c r="AE17"/>
  <c r="AL14" s="1"/>
  <c r="AL38"/>
  <c r="V26"/>
  <c r="AE20"/>
  <c r="AL17" s="1"/>
  <c r="AL41"/>
  <c r="AF19" i="6"/>
  <c r="AL22" s="1"/>
  <c r="AD19"/>
  <c r="AF20"/>
  <c r="AL23" s="1"/>
  <c r="AD20"/>
  <c r="AF17"/>
  <c r="AL20" s="1"/>
  <c r="AD17"/>
  <c r="AF18"/>
  <c r="AL21" s="1"/>
  <c r="AD18"/>
  <c r="V25" i="25" l="1"/>
  <c r="AE19"/>
  <c r="AL16" s="1"/>
  <c r="AL40"/>
  <c r="AL39"/>
  <c r="V24"/>
  <c r="AE18"/>
  <c r="AL15" s="1"/>
  <c r="AE20"/>
  <c r="AL17" s="1"/>
  <c r="V26"/>
  <c r="AL41"/>
  <c r="V23"/>
  <c r="AL38"/>
  <c r="AE17"/>
  <c r="AL14" s="1"/>
  <c r="W25" i="26"/>
  <c r="X25" s="1"/>
  <c r="Y25" s="1"/>
  <c r="AA25" s="1"/>
  <c r="AB25" s="1"/>
  <c r="AC25" s="1"/>
  <c r="AM31"/>
  <c r="AM32"/>
  <c r="W26"/>
  <c r="X26" s="1"/>
  <c r="Y26" s="1"/>
  <c r="AA26" s="1"/>
  <c r="AB26" s="1"/>
  <c r="AC26" s="1"/>
  <c r="W24"/>
  <c r="X24" s="1"/>
  <c r="Y24" s="1"/>
  <c r="AA24" s="1"/>
  <c r="AB24" s="1"/>
  <c r="AC24" s="1"/>
  <c r="AM30"/>
  <c r="AM29"/>
  <c r="W23"/>
  <c r="X23" s="1"/>
  <c r="Y23" s="1"/>
  <c r="AA23" s="1"/>
  <c r="AB23" s="1"/>
  <c r="AC23" s="1"/>
  <c r="AL28"/>
  <c r="AL19"/>
  <c r="AL37"/>
  <c r="V23" i="6"/>
  <c r="AL38"/>
  <c r="AE17"/>
  <c r="AL14" s="1"/>
  <c r="V25"/>
  <c r="AL40"/>
  <c r="AE19"/>
  <c r="AL16" s="1"/>
  <c r="AL39"/>
  <c r="V24"/>
  <c r="AE18"/>
  <c r="AL15" s="1"/>
  <c r="AE20"/>
  <c r="AL17" s="1"/>
  <c r="V26"/>
  <c r="AL41"/>
  <c r="AM29" i="25" l="1"/>
  <c r="W23"/>
  <c r="X23" s="1"/>
  <c r="Y23" s="1"/>
  <c r="AA23" s="1"/>
  <c r="AB23" s="1"/>
  <c r="AC23" s="1"/>
  <c r="AM30"/>
  <c r="W24"/>
  <c r="X24" s="1"/>
  <c r="Y24" s="1"/>
  <c r="AA24" s="1"/>
  <c r="AB24" s="1"/>
  <c r="AC24" s="1"/>
  <c r="W25"/>
  <c r="X25" s="1"/>
  <c r="Y25" s="1"/>
  <c r="AA25" s="1"/>
  <c r="AB25" s="1"/>
  <c r="AC25" s="1"/>
  <c r="AM31"/>
  <c r="AL19"/>
  <c r="AL28"/>
  <c r="AL37"/>
  <c r="AM32"/>
  <c r="W26"/>
  <c r="X26" s="1"/>
  <c r="Y26" s="1"/>
  <c r="AA26" s="1"/>
  <c r="AB26" s="1"/>
  <c r="AC26" s="1"/>
  <c r="AF24" i="26"/>
  <c r="AM21" s="1"/>
  <c r="AD24"/>
  <c r="AF25"/>
  <c r="AM22" s="1"/>
  <c r="AD25"/>
  <c r="AF23"/>
  <c r="AM20" s="1"/>
  <c r="AD23"/>
  <c r="AF26"/>
  <c r="AM23" s="1"/>
  <c r="AD26"/>
  <c r="AL37" i="6"/>
  <c r="AL28"/>
  <c r="AL19"/>
  <c r="AM29"/>
  <c r="W23"/>
  <c r="X23" s="1"/>
  <c r="Y23" s="1"/>
  <c r="AA23" s="1"/>
  <c r="AB23" s="1"/>
  <c r="AC23" s="1"/>
  <c r="W26"/>
  <c r="X26" s="1"/>
  <c r="Y26" s="1"/>
  <c r="AA26" s="1"/>
  <c r="AB26" s="1"/>
  <c r="AC26" s="1"/>
  <c r="AM32"/>
  <c r="AM30"/>
  <c r="W24"/>
  <c r="X24" s="1"/>
  <c r="Y24" s="1"/>
  <c r="AA24" s="1"/>
  <c r="AB24" s="1"/>
  <c r="AC24" s="1"/>
  <c r="W25"/>
  <c r="X25" s="1"/>
  <c r="Y25" s="1"/>
  <c r="AA25" s="1"/>
  <c r="AB25" s="1"/>
  <c r="AC25" s="1"/>
  <c r="AM31"/>
  <c r="AF23" i="25" l="1"/>
  <c r="AM20" s="1"/>
  <c r="AD23"/>
  <c r="AF25"/>
  <c r="AM22" s="1"/>
  <c r="AD25"/>
  <c r="AF26"/>
  <c r="AM23" s="1"/>
  <c r="AD26"/>
  <c r="AF24"/>
  <c r="AM21" s="1"/>
  <c r="AD24"/>
  <c r="AM38" i="26"/>
  <c r="AE23"/>
  <c r="AM14" s="1"/>
  <c r="V29"/>
  <c r="V30"/>
  <c r="AM39"/>
  <c r="AE24"/>
  <c r="AM15" s="1"/>
  <c r="AE26"/>
  <c r="AM17" s="1"/>
  <c r="V32"/>
  <c r="AM41"/>
  <c r="AM40"/>
  <c r="AE25"/>
  <c r="AM16" s="1"/>
  <c r="V31"/>
  <c r="AF23" i="6"/>
  <c r="AM20" s="1"/>
  <c r="AD23"/>
  <c r="AF24"/>
  <c r="AM21" s="1"/>
  <c r="AD24"/>
  <c r="AF25"/>
  <c r="AM22" s="1"/>
  <c r="AD25"/>
  <c r="AF26"/>
  <c r="AM23" s="1"/>
  <c r="AD26"/>
  <c r="AE26" i="25" l="1"/>
  <c r="AM17" s="1"/>
  <c r="V32"/>
  <c r="AM41"/>
  <c r="V29"/>
  <c r="AE23"/>
  <c r="AM14" s="1"/>
  <c r="AM38"/>
  <c r="AE24"/>
  <c r="AM15" s="1"/>
  <c r="AM39"/>
  <c r="V30"/>
  <c r="AM40"/>
  <c r="V31"/>
  <c r="AE25"/>
  <c r="AM16" s="1"/>
  <c r="AM19" i="26"/>
  <c r="AM37"/>
  <c r="AM28"/>
  <c r="W29"/>
  <c r="X29" s="1"/>
  <c r="Y29" s="1"/>
  <c r="AA29" s="1"/>
  <c r="AB29" s="1"/>
  <c r="AC29" s="1"/>
  <c r="AN29"/>
  <c r="W31"/>
  <c r="X31" s="1"/>
  <c r="Y31" s="1"/>
  <c r="AA31" s="1"/>
  <c r="AB31" s="1"/>
  <c r="AC31" s="1"/>
  <c r="AN31"/>
  <c r="W32"/>
  <c r="X32" s="1"/>
  <c r="Y32" s="1"/>
  <c r="AA32" s="1"/>
  <c r="AB32" s="1"/>
  <c r="AC32" s="1"/>
  <c r="AN32"/>
  <c r="AN30"/>
  <c r="W30"/>
  <c r="X30" s="1"/>
  <c r="Y30" s="1"/>
  <c r="AA30" s="1"/>
  <c r="AB30" s="1"/>
  <c r="AC30" s="1"/>
  <c r="AM40" i="6"/>
  <c r="V31"/>
  <c r="AE25"/>
  <c r="AM16" s="1"/>
  <c r="V29"/>
  <c r="AE23"/>
  <c r="AM14" s="1"/>
  <c r="AM38"/>
  <c r="V32"/>
  <c r="AM41"/>
  <c r="AE26"/>
  <c r="AM17" s="1"/>
  <c r="V30"/>
  <c r="AM39"/>
  <c r="AE24"/>
  <c r="AM15" s="1"/>
  <c r="W30" i="25" l="1"/>
  <c r="X30" s="1"/>
  <c r="Y30" s="1"/>
  <c r="AA30" s="1"/>
  <c r="AB30" s="1"/>
  <c r="AC30" s="1"/>
  <c r="AN30"/>
  <c r="W32"/>
  <c r="X32" s="1"/>
  <c r="Y32" s="1"/>
  <c r="AA32" s="1"/>
  <c r="AB32" s="1"/>
  <c r="AC32" s="1"/>
  <c r="AN32"/>
  <c r="AN31"/>
  <c r="W31"/>
  <c r="X31" s="1"/>
  <c r="Y31" s="1"/>
  <c r="AA31" s="1"/>
  <c r="AB31" s="1"/>
  <c r="AC31" s="1"/>
  <c r="AM28"/>
  <c r="AM19"/>
  <c r="AM37"/>
  <c r="W29"/>
  <c r="X29" s="1"/>
  <c r="Y29" s="1"/>
  <c r="AA29" s="1"/>
  <c r="AB29" s="1"/>
  <c r="AC29" s="1"/>
  <c r="AN29"/>
  <c r="AF30" i="26"/>
  <c r="AN21" s="1"/>
  <c r="AD30"/>
  <c r="AF31"/>
  <c r="AN22" s="1"/>
  <c r="AD31"/>
  <c r="AF32"/>
  <c r="AN23" s="1"/>
  <c r="AD32"/>
  <c r="AF29"/>
  <c r="AN20" s="1"/>
  <c r="AD29"/>
  <c r="AM28" i="6"/>
  <c r="AM37"/>
  <c r="AM19"/>
  <c r="AN30"/>
  <c r="W30"/>
  <c r="X30" s="1"/>
  <c r="Y30" s="1"/>
  <c r="AA30" s="1"/>
  <c r="AB30" s="1"/>
  <c r="AC30" s="1"/>
  <c r="W31"/>
  <c r="X31" s="1"/>
  <c r="Y31" s="1"/>
  <c r="AA31" s="1"/>
  <c r="AB31" s="1"/>
  <c r="AC31" s="1"/>
  <c r="AN31"/>
  <c r="W32"/>
  <c r="X32" s="1"/>
  <c r="Y32" s="1"/>
  <c r="AA32" s="1"/>
  <c r="AB32" s="1"/>
  <c r="AC32" s="1"/>
  <c r="AN32"/>
  <c r="W29"/>
  <c r="X29" s="1"/>
  <c r="Y29" s="1"/>
  <c r="AA29" s="1"/>
  <c r="AB29" s="1"/>
  <c r="AC29" s="1"/>
  <c r="AN29"/>
  <c r="AF29" i="25" l="1"/>
  <c r="AN20" s="1"/>
  <c r="AD29"/>
  <c r="AF30"/>
  <c r="AN21" s="1"/>
  <c r="AD30"/>
  <c r="AF32"/>
  <c r="AN23" s="1"/>
  <c r="AD32"/>
  <c r="AF31"/>
  <c r="AN22" s="1"/>
  <c r="AD31"/>
  <c r="AN41" i="26"/>
  <c r="V38"/>
  <c r="AE32"/>
  <c r="AN17" s="1"/>
  <c r="AE30"/>
  <c r="AN15" s="1"/>
  <c r="V36"/>
  <c r="AN39"/>
  <c r="AE29"/>
  <c r="AN14" s="1"/>
  <c r="V35"/>
  <c r="AN38"/>
  <c r="AE31"/>
  <c r="AN16" s="1"/>
  <c r="AN40"/>
  <c r="V37"/>
  <c r="AF30" i="6"/>
  <c r="AN21" s="1"/>
  <c r="AD30"/>
  <c r="AF32"/>
  <c r="AN23" s="1"/>
  <c r="AD32"/>
  <c r="AF29"/>
  <c r="AN20" s="1"/>
  <c r="AD29"/>
  <c r="AF31"/>
  <c r="AN22" s="1"/>
  <c r="AD31"/>
  <c r="V38" i="25" l="1"/>
  <c r="AN41"/>
  <c r="AE32"/>
  <c r="AN17" s="1"/>
  <c r="AN38"/>
  <c r="AE29"/>
  <c r="AN14" s="1"/>
  <c r="V35"/>
  <c r="AE31"/>
  <c r="AN16" s="1"/>
  <c r="AN40"/>
  <c r="V37"/>
  <c r="V36"/>
  <c r="AN39"/>
  <c r="AE30"/>
  <c r="AN15" s="1"/>
  <c r="AO30" i="26"/>
  <c r="W36"/>
  <c r="X36" s="1"/>
  <c r="Y36" s="1"/>
  <c r="AA36" s="1"/>
  <c r="AB36" s="1"/>
  <c r="AC36" s="1"/>
  <c r="AN19"/>
  <c r="AN28"/>
  <c r="AN37"/>
  <c r="W38"/>
  <c r="X38" s="1"/>
  <c r="Y38" s="1"/>
  <c r="AA38" s="1"/>
  <c r="AB38" s="1"/>
  <c r="AC38" s="1"/>
  <c r="AO32"/>
  <c r="W37"/>
  <c r="X37" s="1"/>
  <c r="Y37" s="1"/>
  <c r="AA37" s="1"/>
  <c r="AB37" s="1"/>
  <c r="AC37" s="1"/>
  <c r="AO31"/>
  <c r="W35"/>
  <c r="X35" s="1"/>
  <c r="Y35" s="1"/>
  <c r="AA35" s="1"/>
  <c r="AB35" s="1"/>
  <c r="AC35" s="1"/>
  <c r="AO29"/>
  <c r="V35" i="6"/>
  <c r="AN38"/>
  <c r="AE29"/>
  <c r="AN14" s="1"/>
  <c r="V36"/>
  <c r="AN39"/>
  <c r="AE30"/>
  <c r="AN15" s="1"/>
  <c r="AN40"/>
  <c r="AE31"/>
  <c r="AN16" s="1"/>
  <c r="V37"/>
  <c r="AE32"/>
  <c r="AN17" s="1"/>
  <c r="V38"/>
  <c r="AN41"/>
  <c r="W37" i="25" l="1"/>
  <c r="X37" s="1"/>
  <c r="Y37" s="1"/>
  <c r="AA37" s="1"/>
  <c r="AB37" s="1"/>
  <c r="AC37" s="1"/>
  <c r="AO31"/>
  <c r="W38"/>
  <c r="X38" s="1"/>
  <c r="Y38" s="1"/>
  <c r="AA38" s="1"/>
  <c r="AB38" s="1"/>
  <c r="AC38" s="1"/>
  <c r="AO32"/>
  <c r="AO30"/>
  <c r="W36"/>
  <c r="X36" s="1"/>
  <c r="Y36" s="1"/>
  <c r="AA36" s="1"/>
  <c r="AB36" s="1"/>
  <c r="AC36" s="1"/>
  <c r="W35"/>
  <c r="X35" s="1"/>
  <c r="Y35" s="1"/>
  <c r="AA35" s="1"/>
  <c r="AB35" s="1"/>
  <c r="AC35" s="1"/>
  <c r="AO29"/>
  <c r="AN19"/>
  <c r="AN37"/>
  <c r="AN28"/>
  <c r="AF36" i="26"/>
  <c r="AO21" s="1"/>
  <c r="AD36"/>
  <c r="AF35"/>
  <c r="AO20" s="1"/>
  <c r="AD35"/>
  <c r="AF38"/>
  <c r="AO23" s="1"/>
  <c r="AD38"/>
  <c r="AF37"/>
  <c r="AO22" s="1"/>
  <c r="AD37"/>
  <c r="AN28" i="6"/>
  <c r="AN37"/>
  <c r="AN19"/>
  <c r="W37"/>
  <c r="X37" s="1"/>
  <c r="Y37" s="1"/>
  <c r="AA37" s="1"/>
  <c r="AB37" s="1"/>
  <c r="AC37" s="1"/>
  <c r="AO31"/>
  <c r="AO29"/>
  <c r="W35"/>
  <c r="X35" s="1"/>
  <c r="Y35" s="1"/>
  <c r="AA35" s="1"/>
  <c r="AB35" s="1"/>
  <c r="AC35" s="1"/>
  <c r="AO32"/>
  <c r="W38"/>
  <c r="X38" s="1"/>
  <c r="Y38" s="1"/>
  <c r="AA38" s="1"/>
  <c r="AB38" s="1"/>
  <c r="AC38" s="1"/>
  <c r="W36"/>
  <c r="X36" s="1"/>
  <c r="Y36" s="1"/>
  <c r="AA36" s="1"/>
  <c r="AB36" s="1"/>
  <c r="AC36" s="1"/>
  <c r="AO30"/>
  <c r="AF36" i="25" l="1"/>
  <c r="AO21" s="1"/>
  <c r="AD36"/>
  <c r="AF37"/>
  <c r="AO22" s="1"/>
  <c r="AD37"/>
  <c r="AF35"/>
  <c r="AO20" s="1"/>
  <c r="AD35"/>
  <c r="AF38"/>
  <c r="AO23" s="1"/>
  <c r="AD38"/>
  <c r="V42" i="26"/>
  <c r="AO39"/>
  <c r="AE36"/>
  <c r="AO15" s="1"/>
  <c r="AO40"/>
  <c r="AE37"/>
  <c r="AO16" s="1"/>
  <c r="V43"/>
  <c r="AE38"/>
  <c r="AO17" s="1"/>
  <c r="V44"/>
  <c r="AO41"/>
  <c r="AO38"/>
  <c r="AE35"/>
  <c r="AO14" s="1"/>
  <c r="V41"/>
  <c r="AF38" i="6"/>
  <c r="AO23" s="1"/>
  <c r="AD38"/>
  <c r="AF37"/>
  <c r="AO22" s="1"/>
  <c r="AD37"/>
  <c r="AF36"/>
  <c r="AO21" s="1"/>
  <c r="AD36"/>
  <c r="AF35"/>
  <c r="AO20" s="1"/>
  <c r="AD35"/>
  <c r="V42" i="25" l="1"/>
  <c r="AO39"/>
  <c r="AE36"/>
  <c r="AO15" s="1"/>
  <c r="AE35"/>
  <c r="AO14" s="1"/>
  <c r="V41"/>
  <c r="AO38"/>
  <c r="AE38"/>
  <c r="AO17" s="1"/>
  <c r="V44"/>
  <c r="AO41"/>
  <c r="AO40"/>
  <c r="AE37"/>
  <c r="AO16" s="1"/>
  <c r="V43"/>
  <c r="AP31" i="26"/>
  <c r="W43"/>
  <c r="X43" s="1"/>
  <c r="Y43" s="1"/>
  <c r="AA43" s="1"/>
  <c r="AB43" s="1"/>
  <c r="AC43" s="1"/>
  <c r="AO28"/>
  <c r="AO19"/>
  <c r="AO37"/>
  <c r="W42"/>
  <c r="X42" s="1"/>
  <c r="Y42" s="1"/>
  <c r="AA42" s="1"/>
  <c r="AB42" s="1"/>
  <c r="AC42" s="1"/>
  <c r="AP30"/>
  <c r="W41"/>
  <c r="X41" s="1"/>
  <c r="Y41" s="1"/>
  <c r="AA41" s="1"/>
  <c r="AB41" s="1"/>
  <c r="AC41" s="1"/>
  <c r="AP29"/>
  <c r="AP32"/>
  <c r="W44"/>
  <c r="X44" s="1"/>
  <c r="Y44" s="1"/>
  <c r="AA44" s="1"/>
  <c r="AB44" s="1"/>
  <c r="AC44" s="1"/>
  <c r="AO39" i="6"/>
  <c r="V42"/>
  <c r="AE36"/>
  <c r="AO15" s="1"/>
  <c r="V44"/>
  <c r="AO41"/>
  <c r="AE38"/>
  <c r="AO17" s="1"/>
  <c r="V41"/>
  <c r="AE35"/>
  <c r="AO14" s="1"/>
  <c r="AO38"/>
  <c r="AO40"/>
  <c r="AE37"/>
  <c r="AO16" s="1"/>
  <c r="V43"/>
  <c r="W42" i="25" l="1"/>
  <c r="X42" s="1"/>
  <c r="Y42" s="1"/>
  <c r="AA42" s="1"/>
  <c r="AB42" s="1"/>
  <c r="AC42" s="1"/>
  <c r="AP30"/>
  <c r="W41"/>
  <c r="X41" s="1"/>
  <c r="Y41" s="1"/>
  <c r="AA41" s="1"/>
  <c r="AB41" s="1"/>
  <c r="AC41" s="1"/>
  <c r="AP29"/>
  <c r="AO37"/>
  <c r="AO19"/>
  <c r="AO28"/>
  <c r="AP31"/>
  <c r="W43"/>
  <c r="X43" s="1"/>
  <c r="Y43" s="1"/>
  <c r="AA43" s="1"/>
  <c r="AB43" s="1"/>
  <c r="AC43" s="1"/>
  <c r="W44"/>
  <c r="X44" s="1"/>
  <c r="Y44" s="1"/>
  <c r="AA44" s="1"/>
  <c r="AB44" s="1"/>
  <c r="AC44" s="1"/>
  <c r="AP32"/>
  <c r="AF43" i="26"/>
  <c r="AP22" s="1"/>
  <c r="AD43"/>
  <c r="AF42"/>
  <c r="AP21" s="1"/>
  <c r="AD42"/>
  <c r="AF44"/>
  <c r="AP23" s="1"/>
  <c r="AD44"/>
  <c r="AF41"/>
  <c r="AP20" s="1"/>
  <c r="AD41"/>
  <c r="AO28" i="6"/>
  <c r="AO19"/>
  <c r="AO37"/>
  <c r="W42"/>
  <c r="X42" s="1"/>
  <c r="Y42" s="1"/>
  <c r="AA42" s="1"/>
  <c r="AB42" s="1"/>
  <c r="AC42" s="1"/>
  <c r="AP30"/>
  <c r="AP29"/>
  <c r="W41"/>
  <c r="X41" s="1"/>
  <c r="Y41" s="1"/>
  <c r="AA41" s="1"/>
  <c r="AB41" s="1"/>
  <c r="AC41" s="1"/>
  <c r="W43"/>
  <c r="X43" s="1"/>
  <c r="Y43" s="1"/>
  <c r="AA43" s="1"/>
  <c r="AB43" s="1"/>
  <c r="AC43" s="1"/>
  <c r="AP31"/>
  <c r="AP32"/>
  <c r="W44"/>
  <c r="X44" s="1"/>
  <c r="Y44" s="1"/>
  <c r="AA44" s="1"/>
  <c r="AB44" s="1"/>
  <c r="AC44" s="1"/>
  <c r="AF43" i="25" l="1"/>
  <c r="AP22" s="1"/>
  <c r="AD43"/>
  <c r="AF44"/>
  <c r="AP23" s="1"/>
  <c r="AD44"/>
  <c r="AF42"/>
  <c r="AP21" s="1"/>
  <c r="AD42"/>
  <c r="AF41"/>
  <c r="AP20" s="1"/>
  <c r="AD41"/>
  <c r="AP41" i="26"/>
  <c r="AE44"/>
  <c r="AP17" s="1"/>
  <c r="V50"/>
  <c r="AP40"/>
  <c r="AE43"/>
  <c r="AP16" s="1"/>
  <c r="V49"/>
  <c r="AE41"/>
  <c r="AP14" s="1"/>
  <c r="V47"/>
  <c r="AP38"/>
  <c r="AE42"/>
  <c r="AP15" s="1"/>
  <c r="V48"/>
  <c r="AP39"/>
  <c r="AF43" i="6"/>
  <c r="AP22" s="1"/>
  <c r="AD43"/>
  <c r="AF42"/>
  <c r="AP21" s="1"/>
  <c r="AD42"/>
  <c r="AF44"/>
  <c r="AP23" s="1"/>
  <c r="AD44"/>
  <c r="AF41"/>
  <c r="AP20" s="1"/>
  <c r="AD41"/>
  <c r="AE42" i="25" l="1"/>
  <c r="AP15" s="1"/>
  <c r="V48"/>
  <c r="AP39"/>
  <c r="AP40"/>
  <c r="AE43"/>
  <c r="AP16" s="1"/>
  <c r="V49"/>
  <c r="AE41"/>
  <c r="AP14" s="1"/>
  <c r="AP38"/>
  <c r="V47"/>
  <c r="AE44"/>
  <c r="AP17" s="1"/>
  <c r="V50"/>
  <c r="AP41"/>
  <c r="AQ30" i="26"/>
  <c r="W48"/>
  <c r="X48" s="1"/>
  <c r="Y48" s="1"/>
  <c r="AA48" s="1"/>
  <c r="AB48" s="1"/>
  <c r="AC48" s="1"/>
  <c r="AP37"/>
  <c r="AP19"/>
  <c r="AP28"/>
  <c r="AQ31"/>
  <c r="W49"/>
  <c r="X49" s="1"/>
  <c r="Y49" s="1"/>
  <c r="AA49" s="1"/>
  <c r="AB49" s="1"/>
  <c r="AC49" s="1"/>
  <c r="AQ32"/>
  <c r="W50"/>
  <c r="X50" s="1"/>
  <c r="Y50" s="1"/>
  <c r="AA50" s="1"/>
  <c r="AB50" s="1"/>
  <c r="AC50" s="1"/>
  <c r="AQ29"/>
  <c r="W47"/>
  <c r="X47" s="1"/>
  <c r="Y47" s="1"/>
  <c r="AA47" s="1"/>
  <c r="AB47" s="1"/>
  <c r="AC47" s="1"/>
  <c r="AE44" i="6"/>
  <c r="AP17" s="1"/>
  <c r="V50"/>
  <c r="AP41"/>
  <c r="AP40"/>
  <c r="V49"/>
  <c r="AE43"/>
  <c r="AP16" s="1"/>
  <c r="AP38"/>
  <c r="AE41"/>
  <c r="AP14" s="1"/>
  <c r="V47"/>
  <c r="AE42"/>
  <c r="AP15" s="1"/>
  <c r="AP39"/>
  <c r="V48"/>
  <c r="W49" i="25" l="1"/>
  <c r="X49" s="1"/>
  <c r="Y49" s="1"/>
  <c r="AA49" s="1"/>
  <c r="AB49" s="1"/>
  <c r="AC49" s="1"/>
  <c r="AQ31"/>
  <c r="AQ30"/>
  <c r="W48"/>
  <c r="X48" s="1"/>
  <c r="Y48" s="1"/>
  <c r="AA48" s="1"/>
  <c r="AB48" s="1"/>
  <c r="AC48" s="1"/>
  <c r="AQ29"/>
  <c r="W47"/>
  <c r="X47" s="1"/>
  <c r="Y47" s="1"/>
  <c r="AA47" s="1"/>
  <c r="AB47" s="1"/>
  <c r="AC47" s="1"/>
  <c r="AP37"/>
  <c r="AP19"/>
  <c r="AP28"/>
  <c r="AQ32"/>
  <c r="W50"/>
  <c r="X50" s="1"/>
  <c r="Y50" s="1"/>
  <c r="AA50" s="1"/>
  <c r="AB50" s="1"/>
  <c r="AC50" s="1"/>
  <c r="AF48" i="26"/>
  <c r="AQ21" s="1"/>
  <c r="AD48"/>
  <c r="AF50"/>
  <c r="AQ23" s="1"/>
  <c r="AD50"/>
  <c r="AF47"/>
  <c r="AQ20" s="1"/>
  <c r="AD47"/>
  <c r="AF49"/>
  <c r="AQ22" s="1"/>
  <c r="AD49"/>
  <c r="AP19" i="6"/>
  <c r="AP28"/>
  <c r="AP37"/>
  <c r="W47"/>
  <c r="X47" s="1"/>
  <c r="Y47" s="1"/>
  <c r="AA47" s="1"/>
  <c r="AB47" s="1"/>
  <c r="AC47" s="1"/>
  <c r="AQ29"/>
  <c r="AQ31"/>
  <c r="W49"/>
  <c r="X49" s="1"/>
  <c r="Y49" s="1"/>
  <c r="AA49" s="1"/>
  <c r="AB49" s="1"/>
  <c r="AC49" s="1"/>
  <c r="W50"/>
  <c r="X50" s="1"/>
  <c r="Y50" s="1"/>
  <c r="AA50" s="1"/>
  <c r="AB50" s="1"/>
  <c r="AC50" s="1"/>
  <c r="AQ32"/>
  <c r="AQ30"/>
  <c r="W48"/>
  <c r="X48" s="1"/>
  <c r="Y48" s="1"/>
  <c r="AA48" s="1"/>
  <c r="AB48" s="1"/>
  <c r="AC48" s="1"/>
  <c r="AF49" i="25" l="1"/>
  <c r="AQ22" s="1"/>
  <c r="AD49"/>
  <c r="AF47"/>
  <c r="AQ20" s="1"/>
  <c r="AD47"/>
  <c r="AF50"/>
  <c r="AQ23" s="1"/>
  <c r="AD50"/>
  <c r="AF48"/>
  <c r="AQ21" s="1"/>
  <c r="AD48"/>
  <c r="AQ39" i="26"/>
  <c r="V54"/>
  <c r="AE48"/>
  <c r="AQ15" s="1"/>
  <c r="AE49"/>
  <c r="AQ16" s="1"/>
  <c r="V55"/>
  <c r="AQ40"/>
  <c r="V53"/>
  <c r="AE47"/>
  <c r="AQ14" s="1"/>
  <c r="AQ38"/>
  <c r="AE50"/>
  <c r="AQ17" s="1"/>
  <c r="V56"/>
  <c r="AQ41"/>
  <c r="AF47" i="6"/>
  <c r="AQ20" s="1"/>
  <c r="AD47"/>
  <c r="AF50"/>
  <c r="AQ23" s="1"/>
  <c r="AD50"/>
  <c r="AF48"/>
  <c r="AQ21" s="1"/>
  <c r="AD48"/>
  <c r="AF49"/>
  <c r="AQ22" s="1"/>
  <c r="AD49"/>
  <c r="AE49" i="25" l="1"/>
  <c r="AQ16" s="1"/>
  <c r="V55"/>
  <c r="AQ40"/>
  <c r="V56"/>
  <c r="AE50"/>
  <c r="AQ17" s="1"/>
  <c r="AQ41"/>
  <c r="AQ39"/>
  <c r="V54"/>
  <c r="AE48"/>
  <c r="AQ15" s="1"/>
  <c r="V53"/>
  <c r="AQ38"/>
  <c r="AE47"/>
  <c r="AQ14" s="1"/>
  <c r="W55" i="26"/>
  <c r="X55" s="1"/>
  <c r="Y55" s="1"/>
  <c r="AA55" s="1"/>
  <c r="AB55" s="1"/>
  <c r="AC55" s="1"/>
  <c r="AR31"/>
  <c r="AR30"/>
  <c r="W54"/>
  <c r="X54" s="1"/>
  <c r="Y54" s="1"/>
  <c r="AA54" s="1"/>
  <c r="AB54" s="1"/>
  <c r="AC54" s="1"/>
  <c r="W56"/>
  <c r="X56" s="1"/>
  <c r="Y56" s="1"/>
  <c r="AA56" s="1"/>
  <c r="AB56" s="1"/>
  <c r="AC56" s="1"/>
  <c r="AR32"/>
  <c r="AR29"/>
  <c r="W53"/>
  <c r="X53" s="1"/>
  <c r="Y53" s="1"/>
  <c r="AA53" s="1"/>
  <c r="AB53" s="1"/>
  <c r="AC53" s="1"/>
  <c r="AQ37"/>
  <c r="AQ28"/>
  <c r="AQ19"/>
  <c r="AQ39" i="6"/>
  <c r="V54"/>
  <c r="AE48"/>
  <c r="AQ15" s="1"/>
  <c r="AQ38"/>
  <c r="AE47"/>
  <c r="AQ14" s="1"/>
  <c r="V53"/>
  <c r="V55"/>
  <c r="AQ40"/>
  <c r="AE49"/>
  <c r="AQ16" s="1"/>
  <c r="AQ41"/>
  <c r="V56"/>
  <c r="AE50"/>
  <c r="AQ17" s="1"/>
  <c r="AR31" i="25" l="1"/>
  <c r="W55"/>
  <c r="X55" s="1"/>
  <c r="Y55" s="1"/>
  <c r="AA55" s="1"/>
  <c r="AB55" s="1"/>
  <c r="AC55" s="1"/>
  <c r="AQ37"/>
  <c r="AQ19"/>
  <c r="AQ28"/>
  <c r="AR29"/>
  <c r="W53"/>
  <c r="X53" s="1"/>
  <c r="Y53" s="1"/>
  <c r="AA53" s="1"/>
  <c r="AB53" s="1"/>
  <c r="AC53" s="1"/>
  <c r="W54"/>
  <c r="X54" s="1"/>
  <c r="Y54" s="1"/>
  <c r="AA54" s="1"/>
  <c r="AB54" s="1"/>
  <c r="AC54" s="1"/>
  <c r="AR30"/>
  <c r="W56"/>
  <c r="X56" s="1"/>
  <c r="Y56" s="1"/>
  <c r="AA56" s="1"/>
  <c r="AB56" s="1"/>
  <c r="AC56" s="1"/>
  <c r="AR32"/>
  <c r="AF55" i="26"/>
  <c r="AR22" s="1"/>
  <c r="AD55"/>
  <c r="AF56"/>
  <c r="AR23" s="1"/>
  <c r="AD56"/>
  <c r="AF53"/>
  <c r="AR20" s="1"/>
  <c r="AD53"/>
  <c r="AF54"/>
  <c r="AR21" s="1"/>
  <c r="AD54"/>
  <c r="AQ19" i="6"/>
  <c r="AQ37"/>
  <c r="AQ28"/>
  <c r="W54"/>
  <c r="X54" s="1"/>
  <c r="Y54" s="1"/>
  <c r="AA54" s="1"/>
  <c r="AB54" s="1"/>
  <c r="AC54" s="1"/>
  <c r="AR30"/>
  <c r="W53"/>
  <c r="X53" s="1"/>
  <c r="Y53" s="1"/>
  <c r="AA53" s="1"/>
  <c r="AB53" s="1"/>
  <c r="AC53" s="1"/>
  <c r="AR29"/>
  <c r="AR32"/>
  <c r="W56"/>
  <c r="X56" s="1"/>
  <c r="Y56" s="1"/>
  <c r="AA56" s="1"/>
  <c r="AB56" s="1"/>
  <c r="AC56" s="1"/>
  <c r="W55"/>
  <c r="X55" s="1"/>
  <c r="Y55" s="1"/>
  <c r="AA55" s="1"/>
  <c r="AB55" s="1"/>
  <c r="AC55" s="1"/>
  <c r="AR31"/>
  <c r="AF55" i="25" l="1"/>
  <c r="AR22" s="1"/>
  <c r="AD55"/>
  <c r="AF56"/>
  <c r="AR23" s="1"/>
  <c r="AD56"/>
  <c r="AF53"/>
  <c r="AR20" s="1"/>
  <c r="AD53"/>
  <c r="AF54"/>
  <c r="AR21" s="1"/>
  <c r="AD54"/>
  <c r="AE55" i="26"/>
  <c r="AR16" s="1"/>
  <c r="AR40"/>
  <c r="AR38"/>
  <c r="AE53"/>
  <c r="AR14" s="1"/>
  <c r="AE54"/>
  <c r="AR15" s="1"/>
  <c r="AR39"/>
  <c r="AE56"/>
  <c r="AR17" s="1"/>
  <c r="AR41"/>
  <c r="AF55" i="6"/>
  <c r="AR22" s="1"/>
  <c r="AD55"/>
  <c r="AF54"/>
  <c r="AR21" s="1"/>
  <c r="AD54"/>
  <c r="AF56"/>
  <c r="AR23" s="1"/>
  <c r="AD56"/>
  <c r="AF53"/>
  <c r="AR20" s="1"/>
  <c r="AD53"/>
  <c r="AR39" i="25" l="1"/>
  <c r="AE54"/>
  <c r="AR15" s="1"/>
  <c r="AE56"/>
  <c r="AR17" s="1"/>
  <c r="AR41"/>
  <c r="AE55"/>
  <c r="AR16" s="1"/>
  <c r="AR40"/>
  <c r="AR38"/>
  <c r="AE53"/>
  <c r="AR14" s="1"/>
  <c r="AR28" i="26"/>
  <c r="AR37"/>
  <c r="AJ44" s="1"/>
  <c r="AR19"/>
  <c r="AR41" i="6"/>
  <c r="AE56"/>
  <c r="AR17" s="1"/>
  <c r="AR40"/>
  <c r="AE55"/>
  <c r="AR16" s="1"/>
  <c r="AR38"/>
  <c r="AE53"/>
  <c r="AR14" s="1"/>
  <c r="AE54"/>
  <c r="AR15" s="1"/>
  <c r="AR39"/>
  <c r="AR28" i="25" l="1"/>
  <c r="AR19"/>
  <c r="AR37"/>
  <c r="AJ44" s="1"/>
  <c r="AJ26" i="26"/>
  <c r="H15"/>
  <c r="H25" s="1"/>
  <c r="E6" s="1"/>
  <c r="E11"/>
  <c r="AJ35"/>
  <c r="AR19" i="6"/>
  <c r="AR28"/>
  <c r="AR37"/>
  <c r="AJ44" s="1"/>
  <c r="E37" i="26" l="1"/>
  <c r="E39" s="1"/>
  <c r="M5" i="17" s="1"/>
  <c r="N150"/>
  <c r="E122" i="12"/>
  <c r="E119"/>
  <c r="E120"/>
  <c r="H15" i="25"/>
  <c r="H25" s="1"/>
  <c r="E6" s="1"/>
  <c r="AJ26"/>
  <c r="AJ35"/>
  <c r="E11"/>
  <c r="E5" i="26"/>
  <c r="E29" s="1"/>
  <c r="E31" s="1"/>
  <c r="J6"/>
  <c r="AJ35" i="6"/>
  <c r="E11"/>
  <c r="AJ26"/>
  <c r="H15"/>
  <c r="H25" s="1"/>
  <c r="E6" s="1"/>
  <c r="E37" s="1"/>
  <c r="E39" s="1"/>
  <c r="E37" i="25" l="1"/>
  <c r="E39" s="1"/>
  <c r="H5" i="18" s="1"/>
  <c r="I111"/>
  <c r="M127" i="17"/>
  <c r="N127" s="1"/>
  <c r="M126"/>
  <c r="N126" s="1"/>
  <c r="M122"/>
  <c r="N122" s="1"/>
  <c r="M133"/>
  <c r="N133" s="1"/>
  <c r="M132"/>
  <c r="N132" s="1"/>
  <c r="M131"/>
  <c r="N131" s="1"/>
  <c r="M130"/>
  <c r="N130" s="1"/>
  <c r="M125"/>
  <c r="N125" s="1"/>
  <c r="M121"/>
  <c r="N121" s="1"/>
  <c r="M129"/>
  <c r="N129" s="1"/>
  <c r="M124"/>
  <c r="N124" s="1"/>
  <c r="M128"/>
  <c r="N128" s="1"/>
  <c r="M123"/>
  <c r="N123" s="1"/>
  <c r="D2" i="12"/>
  <c r="D108"/>
  <c r="D81"/>
  <c r="E81" s="1"/>
  <c r="M112" i="17"/>
  <c r="N112" s="1"/>
  <c r="M108"/>
  <c r="N108" s="1"/>
  <c r="M105"/>
  <c r="N105" s="1"/>
  <c r="M101"/>
  <c r="N101" s="1"/>
  <c r="M97"/>
  <c r="N97" s="1"/>
  <c r="M93"/>
  <c r="N93" s="1"/>
  <c r="M89"/>
  <c r="N89" s="1"/>
  <c r="M85"/>
  <c r="N85" s="1"/>
  <c r="M81"/>
  <c r="N81" s="1"/>
  <c r="M77"/>
  <c r="N77" s="1"/>
  <c r="M73"/>
  <c r="N73" s="1"/>
  <c r="M69"/>
  <c r="N69" s="1"/>
  <c r="M65"/>
  <c r="N65" s="1"/>
  <c r="M61"/>
  <c r="N61" s="1"/>
  <c r="M57"/>
  <c r="N57" s="1"/>
  <c r="M53"/>
  <c r="N53" s="1"/>
  <c r="M49"/>
  <c r="N49" s="1"/>
  <c r="M14"/>
  <c r="N14" s="1"/>
  <c r="M17"/>
  <c r="N17" s="1"/>
  <c r="M22"/>
  <c r="N22" s="1"/>
  <c r="M25"/>
  <c r="N25" s="1"/>
  <c r="M30"/>
  <c r="N30" s="1"/>
  <c r="M33"/>
  <c r="N33" s="1"/>
  <c r="M38"/>
  <c r="N38" s="1"/>
  <c r="M110"/>
  <c r="N110" s="1"/>
  <c r="M103"/>
  <c r="N103" s="1"/>
  <c r="M95"/>
  <c r="N95" s="1"/>
  <c r="M87"/>
  <c r="N87" s="1"/>
  <c r="M79"/>
  <c r="N79" s="1"/>
  <c r="M71"/>
  <c r="N71" s="1"/>
  <c r="M63"/>
  <c r="N63" s="1"/>
  <c r="M51"/>
  <c r="N51" s="1"/>
  <c r="M21"/>
  <c r="N21" s="1"/>
  <c r="M26"/>
  <c r="N26" s="1"/>
  <c r="M34"/>
  <c r="N34" s="1"/>
  <c r="M84"/>
  <c r="N84" s="1"/>
  <c r="M72"/>
  <c r="N72" s="1"/>
  <c r="M60"/>
  <c r="N60" s="1"/>
  <c r="M15"/>
  <c r="N15" s="1"/>
  <c r="M20"/>
  <c r="N20" s="1"/>
  <c r="M31"/>
  <c r="N31" s="1"/>
  <c r="M113"/>
  <c r="N113" s="1"/>
  <c r="M109"/>
  <c r="N109" s="1"/>
  <c r="M106"/>
  <c r="N106" s="1"/>
  <c r="M102"/>
  <c r="N102" s="1"/>
  <c r="M98"/>
  <c r="N98" s="1"/>
  <c r="M94"/>
  <c r="N94" s="1"/>
  <c r="M90"/>
  <c r="N90" s="1"/>
  <c r="M86"/>
  <c r="N86" s="1"/>
  <c r="M82"/>
  <c r="N82" s="1"/>
  <c r="M78"/>
  <c r="N78" s="1"/>
  <c r="M74"/>
  <c r="N74" s="1"/>
  <c r="M70"/>
  <c r="N70" s="1"/>
  <c r="M66"/>
  <c r="N66" s="1"/>
  <c r="M62"/>
  <c r="N62" s="1"/>
  <c r="M58"/>
  <c r="N58" s="1"/>
  <c r="M54"/>
  <c r="N54" s="1"/>
  <c r="M50"/>
  <c r="N50" s="1"/>
  <c r="M16"/>
  <c r="N16" s="1"/>
  <c r="M19"/>
  <c r="N19" s="1"/>
  <c r="M24"/>
  <c r="N24" s="1"/>
  <c r="M27"/>
  <c r="N27" s="1"/>
  <c r="M32"/>
  <c r="N32" s="1"/>
  <c r="M35"/>
  <c r="N35" s="1"/>
  <c r="M13"/>
  <c r="N13" s="1"/>
  <c r="M114"/>
  <c r="N114" s="1"/>
  <c r="M99"/>
  <c r="N99" s="1"/>
  <c r="M91"/>
  <c r="N91" s="1"/>
  <c r="M83"/>
  <c r="N83" s="1"/>
  <c r="M75"/>
  <c r="N75" s="1"/>
  <c r="M67"/>
  <c r="N67" s="1"/>
  <c r="M55"/>
  <c r="N55" s="1"/>
  <c r="M48"/>
  <c r="N48" s="1"/>
  <c r="M18"/>
  <c r="N18" s="1"/>
  <c r="M29"/>
  <c r="N29" s="1"/>
  <c r="M37"/>
  <c r="N37" s="1"/>
  <c r="M111"/>
  <c r="N111" s="1"/>
  <c r="M107"/>
  <c r="N107" s="1"/>
  <c r="M104"/>
  <c r="N104" s="1"/>
  <c r="M100"/>
  <c r="N100" s="1"/>
  <c r="M96"/>
  <c r="N96" s="1"/>
  <c r="M92"/>
  <c r="N92" s="1"/>
  <c r="M88"/>
  <c r="N88" s="1"/>
  <c r="M80"/>
  <c r="N80" s="1"/>
  <c r="M76"/>
  <c r="N76" s="1"/>
  <c r="M68"/>
  <c r="N68" s="1"/>
  <c r="M64"/>
  <c r="N64" s="1"/>
  <c r="M56"/>
  <c r="N56" s="1"/>
  <c r="M23"/>
  <c r="N23" s="1"/>
  <c r="M28"/>
  <c r="N28" s="1"/>
  <c r="M36"/>
  <c r="N36" s="1"/>
  <c r="M59"/>
  <c r="N59" s="1"/>
  <c r="M39"/>
  <c r="N39" s="1"/>
  <c r="M52"/>
  <c r="N52" s="1"/>
  <c r="D221" i="12"/>
  <c r="E221" s="1"/>
  <c r="D67"/>
  <c r="E67" s="1"/>
  <c r="D95"/>
  <c r="E95" s="1"/>
  <c r="D214"/>
  <c r="E214" s="1"/>
  <c r="D87"/>
  <c r="E87" s="1"/>
  <c r="D115"/>
  <c r="E115" s="1"/>
  <c r="D203"/>
  <c r="E203" s="1"/>
  <c r="D45"/>
  <c r="E45" s="1"/>
  <c r="D126"/>
  <c r="E126" s="1"/>
  <c r="D148"/>
  <c r="E148" s="1"/>
  <c r="D49"/>
  <c r="E49" s="1"/>
  <c r="D147"/>
  <c r="E147" s="1"/>
  <c r="D173"/>
  <c r="E173" s="1"/>
  <c r="D41"/>
  <c r="E41" s="1"/>
  <c r="D62"/>
  <c r="E62" s="1"/>
  <c r="D140"/>
  <c r="E140" s="1"/>
  <c r="D161"/>
  <c r="E161" s="1"/>
  <c r="D32"/>
  <c r="E32" s="1"/>
  <c r="D57"/>
  <c r="E57" s="1"/>
  <c r="D133"/>
  <c r="E133" s="1"/>
  <c r="D155"/>
  <c r="E155" s="1"/>
  <c r="D38"/>
  <c r="E38" s="1"/>
  <c r="D65"/>
  <c r="E65" s="1"/>
  <c r="D163"/>
  <c r="E163" s="1"/>
  <c r="D210"/>
  <c r="E210" s="1"/>
  <c r="D64"/>
  <c r="E64" s="1"/>
  <c r="D92"/>
  <c r="E92" s="1"/>
  <c r="D209"/>
  <c r="E209" s="1"/>
  <c r="D11"/>
  <c r="E11" s="1"/>
  <c r="D84"/>
  <c r="E84" s="1"/>
  <c r="D110"/>
  <c r="D198"/>
  <c r="E198" s="1"/>
  <c r="D228"/>
  <c r="E228" s="1"/>
  <c r="D100"/>
  <c r="E100" s="1"/>
  <c r="D175"/>
  <c r="E175" s="1"/>
  <c r="D219"/>
  <c r="E219" s="1"/>
  <c r="E5" i="25"/>
  <c r="E29" s="1"/>
  <c r="E31" s="1"/>
  <c r="J6"/>
  <c r="J6" i="6"/>
  <c r="E5"/>
  <c r="E29" s="1"/>
  <c r="E31" s="1"/>
  <c r="D69" i="12" l="1"/>
  <c r="E69" s="1"/>
  <c r="D188"/>
  <c r="E188" s="1"/>
  <c r="D186"/>
  <c r="E186" s="1"/>
  <c r="D189"/>
  <c r="E189" s="1"/>
  <c r="D187"/>
  <c r="E187" s="1"/>
  <c r="D183"/>
  <c r="E183" s="1"/>
  <c r="D181"/>
  <c r="E181" s="1"/>
  <c r="D179"/>
  <c r="E179" s="1"/>
  <c r="D184"/>
  <c r="E184" s="1"/>
  <c r="D182"/>
  <c r="E182" s="1"/>
  <c r="D180"/>
  <c r="E180" s="1"/>
  <c r="D167"/>
  <c r="E167" s="1"/>
  <c r="D168"/>
  <c r="E168" s="1"/>
  <c r="D166"/>
  <c r="E166" s="1"/>
  <c r="D169"/>
  <c r="E169" s="1"/>
  <c r="D74"/>
  <c r="E74" s="1"/>
  <c r="D73"/>
  <c r="E73" s="1"/>
  <c r="D82"/>
  <c r="E82" s="1"/>
  <c r="D12"/>
  <c r="E12" s="1"/>
  <c r="D177"/>
  <c r="E177" s="1"/>
  <c r="D86"/>
  <c r="E86" s="1"/>
  <c r="D127"/>
  <c r="E127" s="1"/>
  <c r="D134"/>
  <c r="E134" s="1"/>
  <c r="D34"/>
  <c r="E34" s="1"/>
  <c r="D141"/>
  <c r="E141" s="1"/>
  <c r="D15"/>
  <c r="E15" s="1"/>
  <c r="D93"/>
  <c r="E93" s="1"/>
  <c r="D197"/>
  <c r="E197" s="1"/>
  <c r="D83"/>
  <c r="E83" s="1"/>
  <c r="D206"/>
  <c r="E206" s="1"/>
  <c r="D88"/>
  <c r="E88" s="1"/>
  <c r="D215"/>
  <c r="E215" s="1"/>
  <c r="D72"/>
  <c r="E72" s="1"/>
  <c r="D174"/>
  <c r="E174" s="1"/>
  <c r="D137"/>
  <c r="E137" s="1"/>
  <c r="D39"/>
  <c r="E39" s="1"/>
  <c r="D144"/>
  <c r="E144" s="1"/>
  <c r="D23"/>
  <c r="E23" s="1"/>
  <c r="D176"/>
  <c r="E176" s="1"/>
  <c r="D85"/>
  <c r="E85" s="1"/>
  <c r="D158"/>
  <c r="E158" s="1"/>
  <c r="D149"/>
  <c r="E149" s="1"/>
  <c r="D51"/>
  <c r="E51" s="1"/>
  <c r="D156"/>
  <c r="E156" s="1"/>
  <c r="D58"/>
  <c r="E58" s="1"/>
  <c r="D162"/>
  <c r="E162" s="1"/>
  <c r="D42"/>
  <c r="E42" s="1"/>
  <c r="D142"/>
  <c r="E142" s="1"/>
  <c r="D227"/>
  <c r="E227" s="1"/>
  <c r="D109"/>
  <c r="E109" s="1"/>
  <c r="D10"/>
  <c r="E10" s="1"/>
  <c r="D116"/>
  <c r="E116" s="1"/>
  <c r="D98"/>
  <c r="E98" s="1"/>
  <c r="D216"/>
  <c r="E216" s="1"/>
  <c r="D99"/>
  <c r="E99" s="1"/>
  <c r="D160"/>
  <c r="E160" s="1"/>
  <c r="D61"/>
  <c r="E61" s="1"/>
  <c r="D172"/>
  <c r="E172" s="1"/>
  <c r="D47"/>
  <c r="E47" s="1"/>
  <c r="D94"/>
  <c r="E94" s="1"/>
  <c r="D143"/>
  <c r="E143" s="1"/>
  <c r="H94" i="18"/>
  <c r="I94" s="1"/>
  <c r="H86"/>
  <c r="I86" s="1"/>
  <c r="H87"/>
  <c r="I87" s="1"/>
  <c r="H92"/>
  <c r="I92" s="1"/>
  <c r="H93"/>
  <c r="I93" s="1"/>
  <c r="H88"/>
  <c r="I88" s="1"/>
  <c r="H90"/>
  <c r="I90" s="1"/>
  <c r="H89"/>
  <c r="I89" s="1"/>
  <c r="H91"/>
  <c r="I91" s="1"/>
  <c r="D66" i="12"/>
  <c r="E66" s="1"/>
  <c r="D151"/>
  <c r="E151" s="1"/>
  <c r="D130"/>
  <c r="E130" s="1"/>
  <c r="D211"/>
  <c r="E211" s="1"/>
  <c r="D157"/>
  <c r="E157" s="1"/>
  <c r="D136"/>
  <c r="E136" s="1"/>
  <c r="D19"/>
  <c r="E19" s="1"/>
  <c r="D60"/>
  <c r="E60" s="1"/>
  <c r="D59"/>
  <c r="E59" s="1"/>
  <c r="D55"/>
  <c r="E55" s="1"/>
  <c r="D54"/>
  <c r="E54" s="1"/>
  <c r="D230"/>
  <c r="E230" s="1"/>
  <c r="D196"/>
  <c r="E196" s="1"/>
  <c r="D7"/>
  <c r="E7" s="1"/>
  <c r="D24"/>
  <c r="E24" s="1"/>
  <c r="D202"/>
  <c r="E202" s="1"/>
  <c r="D154"/>
  <c r="E154" s="1"/>
  <c r="D201"/>
  <c r="E201" s="1"/>
  <c r="D150"/>
  <c r="E150" s="1"/>
  <c r="D104"/>
  <c r="E104" s="1"/>
  <c r="D25"/>
  <c r="E25" s="1"/>
  <c r="D31"/>
  <c r="E31" s="1"/>
  <c r="D220"/>
  <c r="E220" s="1"/>
  <c r="D35"/>
  <c r="E35" s="1"/>
  <c r="D50"/>
  <c r="E50" s="1"/>
  <c r="D56"/>
  <c r="E56" s="1"/>
  <c r="D128"/>
  <c r="E128" s="1"/>
  <c r="N135" i="17"/>
  <c r="J10" i="30" s="1"/>
  <c r="K10" s="1"/>
  <c r="H78" i="18"/>
  <c r="I78" s="1"/>
  <c r="H73"/>
  <c r="I73" s="1"/>
  <c r="H70"/>
  <c r="I70" s="1"/>
  <c r="H65"/>
  <c r="I65" s="1"/>
  <c r="H62"/>
  <c r="I62" s="1"/>
  <c r="H57"/>
  <c r="I57" s="1"/>
  <c r="H54"/>
  <c r="I54" s="1"/>
  <c r="H49"/>
  <c r="I49" s="1"/>
  <c r="H15"/>
  <c r="I15" s="1"/>
  <c r="H19"/>
  <c r="I19" s="1"/>
  <c r="H23"/>
  <c r="I23" s="1"/>
  <c r="H27"/>
  <c r="I27" s="1"/>
  <c r="H31"/>
  <c r="I31" s="1"/>
  <c r="H35"/>
  <c r="I35" s="1"/>
  <c r="H39"/>
  <c r="I39" s="1"/>
  <c r="H79"/>
  <c r="I79" s="1"/>
  <c r="H76"/>
  <c r="I76" s="1"/>
  <c r="H71"/>
  <c r="I71" s="1"/>
  <c r="H68"/>
  <c r="I68" s="1"/>
  <c r="H63"/>
  <c r="I63" s="1"/>
  <c r="H60"/>
  <c r="I60" s="1"/>
  <c r="H55"/>
  <c r="I55" s="1"/>
  <c r="H52"/>
  <c r="I52" s="1"/>
  <c r="H14"/>
  <c r="I14" s="1"/>
  <c r="H18"/>
  <c r="I18" s="1"/>
  <c r="H22"/>
  <c r="I22" s="1"/>
  <c r="H26"/>
  <c r="I26" s="1"/>
  <c r="H30"/>
  <c r="I30" s="1"/>
  <c r="H34"/>
  <c r="I34" s="1"/>
  <c r="H38"/>
  <c r="I38" s="1"/>
  <c r="H77"/>
  <c r="I77" s="1"/>
  <c r="H74"/>
  <c r="I74" s="1"/>
  <c r="H69"/>
  <c r="I69" s="1"/>
  <c r="H66"/>
  <c r="I66" s="1"/>
  <c r="H61"/>
  <c r="I61" s="1"/>
  <c r="H58"/>
  <c r="I58" s="1"/>
  <c r="H53"/>
  <c r="I53" s="1"/>
  <c r="H50"/>
  <c r="I50" s="1"/>
  <c r="H17"/>
  <c r="I17" s="1"/>
  <c r="H21"/>
  <c r="I21" s="1"/>
  <c r="H25"/>
  <c r="I25" s="1"/>
  <c r="H29"/>
  <c r="I29" s="1"/>
  <c r="H33"/>
  <c r="I33" s="1"/>
  <c r="H37"/>
  <c r="I37" s="1"/>
  <c r="H13"/>
  <c r="I13" s="1"/>
  <c r="H75"/>
  <c r="I75" s="1"/>
  <c r="H72"/>
  <c r="I72" s="1"/>
  <c r="H67"/>
  <c r="I67" s="1"/>
  <c r="H64"/>
  <c r="I64" s="1"/>
  <c r="H59"/>
  <c r="I59" s="1"/>
  <c r="H56"/>
  <c r="I56" s="1"/>
  <c r="H51"/>
  <c r="I51" s="1"/>
  <c r="H48"/>
  <c r="I48" s="1"/>
  <c r="H16"/>
  <c r="I16" s="1"/>
  <c r="H20"/>
  <c r="I20" s="1"/>
  <c r="H24"/>
  <c r="I24" s="1"/>
  <c r="H28"/>
  <c r="I28" s="1"/>
  <c r="H32"/>
  <c r="I32" s="1"/>
  <c r="H36"/>
  <c r="I36" s="1"/>
  <c r="N116" i="17"/>
  <c r="J9" i="30" s="1"/>
  <c r="K9" s="1"/>
  <c r="N41" i="17"/>
  <c r="J8" i="30" s="1"/>
  <c r="D164" i="12"/>
  <c r="E164" s="1"/>
  <c r="D223"/>
  <c r="E223" s="1"/>
  <c r="D18"/>
  <c r="E18" s="1"/>
  <c r="D46"/>
  <c r="E46" s="1"/>
  <c r="D107"/>
  <c r="E107" s="1"/>
  <c r="D112"/>
  <c r="D129"/>
  <c r="E129" s="1"/>
  <c r="D111"/>
  <c r="E111" s="1"/>
  <c r="D135"/>
  <c r="E135" s="1"/>
  <c r="E26" l="1"/>
  <c r="E27"/>
  <c r="I96" i="18"/>
  <c r="N10" i="30" s="1"/>
  <c r="O10" s="1"/>
  <c r="J14"/>
  <c r="J43" s="1"/>
  <c r="K43" s="1"/>
  <c r="K8"/>
  <c r="K14" s="1"/>
  <c r="I41" i="18"/>
  <c r="I81"/>
  <c r="N9" i="30" s="1"/>
  <c r="O9" s="1"/>
  <c r="N149" i="17"/>
  <c r="N151" s="1"/>
  <c r="J31" i="30" l="1"/>
  <c r="J53"/>
  <c r="K53" s="1"/>
  <c r="I110" i="18"/>
  <c r="I112" s="1"/>
  <c r="N8" i="30"/>
  <c r="J58" l="1"/>
  <c r="J60" s="1"/>
  <c r="K31"/>
  <c r="K58" s="1"/>
  <c r="N14"/>
  <c r="N43" s="1"/>
  <c r="O43" s="1"/>
  <c r="O8"/>
  <c r="O14" s="1"/>
  <c r="K62" l="1"/>
  <c r="K60"/>
  <c r="N53"/>
  <c r="O53" s="1"/>
  <c r="N31"/>
  <c r="N58" l="1"/>
  <c r="N60" s="1"/>
  <c r="O31"/>
  <c r="O58" s="1"/>
  <c r="O62" l="1"/>
  <c r="O60"/>
</calcChain>
</file>

<file path=xl/comments1.xml><?xml version="1.0" encoding="utf-8"?>
<comments xmlns="http://schemas.openxmlformats.org/spreadsheetml/2006/main">
  <authors>
    <author>heatherg</author>
  </authors>
  <commentList>
    <comment ref="C56" authorId="0">
      <text>
        <r>
          <rPr>
            <b/>
            <sz val="9"/>
            <color indexed="81"/>
            <rFont val="Tahoma"/>
            <family val="2"/>
          </rPr>
          <t>heatherg:</t>
        </r>
        <r>
          <rPr>
            <sz val="9"/>
            <color indexed="81"/>
            <rFont val="Tahoma"/>
            <family val="2"/>
          </rPr>
          <t xml:space="preserve">
Note:  In the first few months of the test period a portion of G-48's waste was still being disposed of at the Dallesport Transer Station in Klickitat County.  We were charged by the yard at this transfer station. In order to get a more clear picture of annual tons, we took an average of tons from June-March and then annualized taht figure.  June is when all G-48 waste started going to the Skamania County transefr station, at a per ton rate.</t>
        </r>
      </text>
    </comment>
  </commentList>
</comments>
</file>

<file path=xl/comments2.xml><?xml version="1.0" encoding="utf-8"?>
<comments xmlns="http://schemas.openxmlformats.org/spreadsheetml/2006/main">
  <authors>
    <author>WCNX</author>
  </authors>
  <commentList>
    <comment ref="H39" authorId="0">
      <text>
        <r>
          <rPr>
            <b/>
            <sz val="8"/>
            <color indexed="81"/>
            <rFont val="Tahoma"/>
            <family val="2"/>
          </rPr>
          <t>WCNX:</t>
        </r>
        <r>
          <rPr>
            <sz val="8"/>
            <color indexed="81"/>
            <rFont val="Tahoma"/>
            <family val="2"/>
          </rPr>
          <t xml:space="preserve">
Lower life was used because these were containers obtained via the acquisition that have already been in service for several years, and are not expected to last 10 years.</t>
        </r>
      </text>
    </comment>
  </commentList>
</comments>
</file>

<file path=xl/comments3.xml><?xml version="1.0" encoding="utf-8"?>
<comments xmlns="http://schemas.openxmlformats.org/spreadsheetml/2006/main">
  <authors>
    <author>heatherg</author>
  </authors>
  <commentList>
    <comment ref="M36" authorId="0">
      <text>
        <r>
          <rPr>
            <b/>
            <sz val="9"/>
            <color indexed="81"/>
            <rFont val="Tahoma"/>
            <family val="2"/>
          </rPr>
          <t>heatherg:</t>
        </r>
        <r>
          <rPr>
            <sz val="9"/>
            <color indexed="81"/>
            <rFont val="Tahoma"/>
            <family val="2"/>
          </rPr>
          <t xml:space="preserve">
Difference is immaterial and is due to accruals.</t>
        </r>
      </text>
    </comment>
    <comment ref="M42" authorId="0">
      <text>
        <r>
          <rPr>
            <b/>
            <sz val="9"/>
            <color indexed="81"/>
            <rFont val="Tahoma"/>
            <family val="2"/>
          </rPr>
          <t>heatherg:</t>
        </r>
        <r>
          <rPr>
            <sz val="9"/>
            <color indexed="81"/>
            <rFont val="Tahoma"/>
            <family val="2"/>
          </rPr>
          <t xml:space="preserve">
Difference is immaterial and is due to accruals.</t>
        </r>
      </text>
    </comment>
    <comment ref="M48" authorId="0">
      <text>
        <r>
          <rPr>
            <b/>
            <sz val="9"/>
            <color indexed="81"/>
            <rFont val="Tahoma"/>
            <family val="2"/>
          </rPr>
          <t>heatherg:</t>
        </r>
        <r>
          <rPr>
            <sz val="9"/>
            <color indexed="81"/>
            <rFont val="Tahoma"/>
            <family val="2"/>
          </rPr>
          <t xml:space="preserve">
Difference is immaterial and is due to accruals.</t>
        </r>
      </text>
    </comment>
    <comment ref="M54" authorId="0">
      <text>
        <r>
          <rPr>
            <b/>
            <sz val="9"/>
            <color indexed="81"/>
            <rFont val="Tahoma"/>
            <family val="2"/>
          </rPr>
          <t>heatherg:</t>
        </r>
        <r>
          <rPr>
            <sz val="9"/>
            <color indexed="81"/>
            <rFont val="Tahoma"/>
            <family val="2"/>
          </rPr>
          <t xml:space="preserve">
Difference is immaterial and is due to accruals.</t>
        </r>
      </text>
    </comment>
  </commentList>
</comments>
</file>

<file path=xl/comments4.xml><?xml version="1.0" encoding="utf-8"?>
<comments xmlns="http://schemas.openxmlformats.org/spreadsheetml/2006/main">
  <authors>
    <author>igort</author>
    <author>Interject</author>
  </authors>
  <commentList>
    <comment ref="C6" authorId="0">
      <text>
        <r>
          <rPr>
            <b/>
            <sz val="9"/>
            <color indexed="81"/>
            <rFont val="Tahoma"/>
            <family val="2"/>
          </rPr>
          <t>(1-10000),
&gt;10000 admins only, default: 10000</t>
        </r>
      </text>
    </comment>
    <comment ref="G8" authorId="1">
      <text>
        <r>
          <rPr>
            <b/>
            <sz val="9"/>
            <color indexed="81"/>
            <rFont val="Tahoma"/>
            <family val="2"/>
          </rPr>
          <t>Current Month - 15 days</t>
        </r>
      </text>
    </comment>
    <comment ref="F12" authorId="0">
      <text>
        <r>
          <rPr>
            <b/>
            <sz val="8"/>
            <color indexed="81"/>
            <rFont val="Tahoma"/>
            <family val="2"/>
          </rPr>
          <t>If blank: defaults to current month minus 15 days</t>
        </r>
      </text>
    </comment>
    <comment ref="J12" authorId="1">
      <text>
        <r>
          <rPr>
            <b/>
            <sz val="9"/>
            <color indexed="81"/>
            <rFont val="Tahoma"/>
            <family val="2"/>
          </rPr>
          <t>If Distict is blank, selects all districts. Can use F9 Groupings.</t>
        </r>
      </text>
    </comment>
    <comment ref="M12" authorId="1">
      <text>
        <r>
          <rPr>
            <b/>
            <sz val="9"/>
            <color indexed="81"/>
            <rFont val="Tahoma"/>
            <family val="2"/>
          </rPr>
          <t>Leave blank to search all</t>
        </r>
      </text>
    </comment>
    <comment ref="F13" authorId="0">
      <text>
        <r>
          <rPr>
            <b/>
            <sz val="8"/>
            <color indexed="81"/>
            <rFont val="Tahoma"/>
            <family val="2"/>
          </rPr>
          <t>If blank: defaults to current month minus 15 days</t>
        </r>
      </text>
    </comment>
    <comment ref="J13" authorId="1">
      <text>
        <r>
          <rPr>
            <b/>
            <sz val="9"/>
            <color indexed="81"/>
            <rFont val="Tahoma"/>
            <family val="2"/>
          </rPr>
          <t>If Accounts is blank, selects all accounts. Can use F9 Groupings.</t>
        </r>
      </text>
    </comment>
    <comment ref="M13" authorId="1">
      <text>
        <r>
          <rPr>
            <b/>
            <sz val="9"/>
            <color indexed="81"/>
            <rFont val="Tahoma"/>
            <family val="2"/>
          </rPr>
          <t>Will search absolute values.</t>
        </r>
      </text>
    </comment>
    <comment ref="J14" authorId="1">
      <text>
        <r>
          <rPr>
            <b/>
            <sz val="9"/>
            <color indexed="81"/>
            <rFont val="Tahoma"/>
            <family val="2"/>
          </rPr>
          <t>If System is blank, selects all systems. Can use F9 Groupings.</t>
        </r>
      </text>
    </comment>
    <comment ref="M14" authorId="1">
      <text>
        <r>
          <rPr>
            <b/>
            <sz val="9"/>
            <color indexed="81"/>
            <rFont val="Tahoma"/>
            <family val="2"/>
          </rPr>
          <t>Will search absolute values</t>
        </r>
      </text>
    </comment>
    <comment ref="J15" authorId="1">
      <text>
        <r>
          <rPr>
            <b/>
            <sz val="9"/>
            <color indexed="81"/>
            <rFont val="Tahoma"/>
            <family val="2"/>
          </rPr>
          <t>If Subsystem is blank, selects all subsystems. Can use F9 Groupings.</t>
        </r>
      </text>
    </comment>
  </commentList>
</comments>
</file>

<file path=xl/sharedStrings.xml><?xml version="1.0" encoding="utf-8"?>
<sst xmlns="http://schemas.openxmlformats.org/spreadsheetml/2006/main" count="3597" uniqueCount="1632">
  <si>
    <t/>
  </si>
  <si>
    <t>Total</t>
  </si>
  <si>
    <t>Hauling Revenue - Roll Off Permanent</t>
  </si>
  <si>
    <t>Corporate Roll Off Disposal Charge</t>
  </si>
  <si>
    <t>Hauling Revenue - Residential MSW</t>
  </si>
  <si>
    <t>Hauling Revenue - Residential MSW Extras</t>
  </si>
  <si>
    <t>Hauling Revenue - Residential MSW Specia</t>
  </si>
  <si>
    <t>Hauling Revenue - Commercial FEL</t>
  </si>
  <si>
    <t>Hauling Revenue - Commercial FEL Extras</t>
  </si>
  <si>
    <t>Hauling Revenue</t>
  </si>
  <si>
    <t>Transfer Station - Third Party</t>
  </si>
  <si>
    <t>Transfer and MRF</t>
  </si>
  <si>
    <t>Proceeds - OCC</t>
  </si>
  <si>
    <t>Recycling Proceeds</t>
  </si>
  <si>
    <t>Landfill Revenue</t>
  </si>
  <si>
    <t>Intermodal</t>
  </si>
  <si>
    <t>Corporate Other Revenue</t>
  </si>
  <si>
    <t>P-Card Rebate</t>
  </si>
  <si>
    <t>Other Revenue</t>
  </si>
  <si>
    <t>Revenue</t>
  </si>
  <si>
    <t>Disposal Landfill</t>
  </si>
  <si>
    <t>Disposal</t>
  </si>
  <si>
    <t>MRF Processing</t>
  </si>
  <si>
    <t>Taxes and Pass Thru Fees</t>
  </si>
  <si>
    <t>WUTC Taxes</t>
  </si>
  <si>
    <t>Brok. and Taxes</t>
  </si>
  <si>
    <t>Cost of Materials</t>
  </si>
  <si>
    <t>Other Expense</t>
  </si>
  <si>
    <t>Rev Reductions</t>
  </si>
  <si>
    <t>Net Revenue</t>
  </si>
  <si>
    <t>Wages Regular</t>
  </si>
  <si>
    <t>Wages O.T.</t>
  </si>
  <si>
    <t>Safety Bonuses</t>
  </si>
  <si>
    <t>Other Bonus/Commission - Non-Safety</t>
  </si>
  <si>
    <t>Payroll Taxes</t>
  </si>
  <si>
    <t>Group Insurance</t>
  </si>
  <si>
    <t>Vacation Pay</t>
  </si>
  <si>
    <t>Safety and Training</t>
  </si>
  <si>
    <t>Uniforms</t>
  </si>
  <si>
    <t>Labor</t>
  </si>
  <si>
    <t>Licenses</t>
  </si>
  <si>
    <t>Truck Fixed</t>
  </si>
  <si>
    <t>Parts and Materials</t>
  </si>
  <si>
    <t>Operating Supplies</t>
  </si>
  <si>
    <t>Equipment and Maint Repair</t>
  </si>
  <si>
    <t>Tires</t>
  </si>
  <si>
    <t>Fuel Expense</t>
  </si>
  <si>
    <t>Oil and Grease</t>
  </si>
  <si>
    <t>Outside Repairs</t>
  </si>
  <si>
    <t>Equip/Vehicle Rental</t>
  </si>
  <si>
    <t>Towing Expense</t>
  </si>
  <si>
    <t>Truck Variable</t>
  </si>
  <si>
    <t>Container Exp</t>
  </si>
  <si>
    <t>Salaries</t>
  </si>
  <si>
    <t>Superv. Ex</t>
  </si>
  <si>
    <t>Bldg &amp; Property</t>
  </si>
  <si>
    <t>Real Estate Rentals</t>
  </si>
  <si>
    <t>Drive Cam Fees</t>
  </si>
  <si>
    <t>Other Taxes</t>
  </si>
  <si>
    <t>Penalties and Violations</t>
  </si>
  <si>
    <t>Permits</t>
  </si>
  <si>
    <t>Other Operating</t>
  </si>
  <si>
    <t>Closure Exp</t>
  </si>
  <si>
    <t>Self Insurance Premium</t>
  </si>
  <si>
    <t>Insurance Exp</t>
  </si>
  <si>
    <t>Gain/Loss on Sale of Asset</t>
  </si>
  <si>
    <t>G/L on Ops</t>
  </si>
  <si>
    <t>Cost of Ops</t>
  </si>
  <si>
    <t>Gross Profit</t>
  </si>
  <si>
    <t>Sales Exp</t>
  </si>
  <si>
    <t>Sick Pay</t>
  </si>
  <si>
    <t>Empl &amp; Commun Activ</t>
  </si>
  <si>
    <t>Contributions</t>
  </si>
  <si>
    <t>Pension and Profit Sharing</t>
  </si>
  <si>
    <t>Bldg &amp; Property Maint</t>
  </si>
  <si>
    <t>Allocated Exp In - District</t>
  </si>
  <si>
    <t>Utilities</t>
  </si>
  <si>
    <t>Communications</t>
  </si>
  <si>
    <t>Cellular Telephone</t>
  </si>
  <si>
    <t>Postage</t>
  </si>
  <si>
    <t>Travel</t>
  </si>
  <si>
    <t>Entertainment</t>
  </si>
  <si>
    <t>Excursions Meetings</t>
  </si>
  <si>
    <t>Lodging</t>
  </si>
  <si>
    <t>Travel - Auto</t>
  </si>
  <si>
    <t>Office Supplies and Equip</t>
  </si>
  <si>
    <t>Credit Card Fees</t>
  </si>
  <si>
    <t>Bank Charges</t>
  </si>
  <si>
    <t>External Recruiter Fees</t>
  </si>
  <si>
    <t>Legal</t>
  </si>
  <si>
    <t>Payroll Processing Fees</t>
  </si>
  <si>
    <t>Other Prof Fees</t>
  </si>
  <si>
    <t>Computer Supplies</t>
  </si>
  <si>
    <t>Bad Debt Provision</t>
  </si>
  <si>
    <t>Credit and Collection</t>
  </si>
  <si>
    <t>G&amp;A</t>
  </si>
  <si>
    <t>Corporate Overhead Allocation In</t>
  </si>
  <si>
    <t>Corp Overhead</t>
  </si>
  <si>
    <t>Total SG&amp;A</t>
  </si>
  <si>
    <t>EBITDA</t>
  </si>
  <si>
    <t>Watch list EBITDA</t>
  </si>
  <si>
    <t>Depreciation</t>
  </si>
  <si>
    <t>Airspace Amort</t>
  </si>
  <si>
    <t>Intangible Amort</t>
  </si>
  <si>
    <t>Total DDA</t>
  </si>
  <si>
    <t>EBIT From Ops</t>
  </si>
  <si>
    <t>Interest Allocation</t>
  </si>
  <si>
    <t>Interest Exp</t>
  </si>
  <si>
    <t>Interest Income</t>
  </si>
  <si>
    <t>Other Inc/Exp</t>
  </si>
  <si>
    <t>NI b/ Taxes &amp; Extra</t>
  </si>
  <si>
    <t>Extra. Items</t>
  </si>
  <si>
    <t>NI b/ Taxes</t>
  </si>
  <si>
    <t>Taxes</t>
  </si>
  <si>
    <t>Net Income</t>
  </si>
  <si>
    <t>Non Controlling Int</t>
  </si>
  <si>
    <t>Net Income Attrib</t>
  </si>
  <si>
    <t>Data Not Included</t>
  </si>
  <si>
    <t>Check</t>
  </si>
  <si>
    <t>Consolidated Income Statement</t>
  </si>
  <si>
    <t>District</t>
  </si>
  <si>
    <t>Restating</t>
  </si>
  <si>
    <t>Pro Forma</t>
  </si>
  <si>
    <t xml:space="preserve">Per Book </t>
  </si>
  <si>
    <t>Allocated</t>
  </si>
  <si>
    <t>Adjustments</t>
  </si>
  <si>
    <t>Adjusted</t>
  </si>
  <si>
    <t>Revenue:</t>
  </si>
  <si>
    <t>Residential</t>
  </si>
  <si>
    <t>Actual</t>
  </si>
  <si>
    <t xml:space="preserve">Commercial </t>
  </si>
  <si>
    <t>Drop Box</t>
  </si>
  <si>
    <t>Pass Thru</t>
  </si>
  <si>
    <t>Service Charge</t>
  </si>
  <si>
    <t>Expenses:</t>
  </si>
  <si>
    <t>Rt Hrs</t>
  </si>
  <si>
    <t>Repair-Shop, Bldg</t>
  </si>
  <si>
    <t>Wages-Regular</t>
  </si>
  <si>
    <t>Wages-OT</t>
  </si>
  <si>
    <t>Safety Bonus</t>
  </si>
  <si>
    <t>Other Bonus</t>
  </si>
  <si>
    <t>Wages Mechanics</t>
  </si>
  <si>
    <t>Parts &amp; Materials</t>
  </si>
  <si>
    <t>Equipment &amp; Maint Rep</t>
  </si>
  <si>
    <t>Total Parts &amp; Materials</t>
  </si>
  <si>
    <t>Outside Repair</t>
  </si>
  <si>
    <t>Damage Paid by District</t>
  </si>
  <si>
    <t>Accident Repair</t>
  </si>
  <si>
    <t>Tires &amp; Tubes</t>
  </si>
  <si>
    <t>Contract Labor</t>
  </si>
  <si>
    <t>Towing</t>
  </si>
  <si>
    <t xml:space="preserve">Other Maint </t>
  </si>
  <si>
    <t>Salaries-Supervisor</t>
  </si>
  <si>
    <t>Wages-Supervisor</t>
  </si>
  <si>
    <t>Wages OT</t>
  </si>
  <si>
    <t>Total Driver Wages</t>
  </si>
  <si>
    <t>Total Fuel and Oil</t>
  </si>
  <si>
    <t>Safety &amp; Training</t>
  </si>
  <si>
    <t>Penalties &amp; Violations</t>
  </si>
  <si>
    <t>Other Collection Exp</t>
  </si>
  <si>
    <t>DF Sched</t>
  </si>
  <si>
    <t>Dump Fee and Charges</t>
  </si>
  <si>
    <t>UTC Fee</t>
  </si>
  <si>
    <t>WUTC Fee</t>
  </si>
  <si>
    <t>Advertising and Promotions</t>
  </si>
  <si>
    <t>Advertising</t>
  </si>
  <si>
    <t>Public Liability</t>
  </si>
  <si>
    <t>Bond Exp-WC</t>
  </si>
  <si>
    <t>Workmen's Comp</t>
  </si>
  <si>
    <t>Vacation</t>
  </si>
  <si>
    <t>Sick Leave</t>
  </si>
  <si>
    <t>Salaries-Office</t>
  </si>
  <si>
    <t>Corp OH Allocation</t>
  </si>
  <si>
    <t>Management Fee</t>
  </si>
  <si>
    <t>Security Services</t>
  </si>
  <si>
    <t>Office Supplies</t>
  </si>
  <si>
    <t>Payroll Processing Fee</t>
  </si>
  <si>
    <t>Data Processing</t>
  </si>
  <si>
    <t>Customer Notification</t>
  </si>
  <si>
    <t>Office &amp; Other Exp</t>
  </si>
  <si>
    <t>Legal &amp; Accounting</t>
  </si>
  <si>
    <t>Communication</t>
  </si>
  <si>
    <t>Employee Welfare</t>
  </si>
  <si>
    <t>Pension</t>
  </si>
  <si>
    <t>Bad Debts</t>
  </si>
  <si>
    <t>Employee Comm Activity</t>
  </si>
  <si>
    <t>WCN Training</t>
  </si>
  <si>
    <t>Employee Relocation</t>
  </si>
  <si>
    <t>Alloc Exp In Distr</t>
  </si>
  <si>
    <t>Cell Phones</t>
  </si>
  <si>
    <t>Club Dues</t>
  </si>
  <si>
    <t>Excursion Meetings</t>
  </si>
  <si>
    <t>Travel Auto</t>
  </si>
  <si>
    <t>Recruitment Travel Expenses</t>
  </si>
  <si>
    <t>Other Professional Fees</t>
  </si>
  <si>
    <t>Computer Software</t>
  </si>
  <si>
    <t>Miscellaneous</t>
  </si>
  <si>
    <t>Coffee Bar</t>
  </si>
  <si>
    <t>Trade Shows</t>
  </si>
  <si>
    <t>Other General Expenses</t>
  </si>
  <si>
    <t>Depreciation Trks</t>
  </si>
  <si>
    <t>Depr</t>
  </si>
  <si>
    <t>Depreciation Cont, DB</t>
  </si>
  <si>
    <t>Depreciation Service</t>
  </si>
  <si>
    <t>Depreciation Shop</t>
  </si>
  <si>
    <t>Depreciation Office</t>
  </si>
  <si>
    <t>Leasehold Improvements</t>
  </si>
  <si>
    <t>Sale of Asset</t>
  </si>
  <si>
    <t>Operating Tax &amp; Lic</t>
  </si>
  <si>
    <t>Taxes &amp; Pass Thru Fees</t>
  </si>
  <si>
    <t>State Excise Tax</t>
  </si>
  <si>
    <t>Vehicle Licenses</t>
  </si>
  <si>
    <t>Property Tax</t>
  </si>
  <si>
    <t>Real Estate Rental</t>
  </si>
  <si>
    <t>Rent-Land, Structures</t>
  </si>
  <si>
    <t>Operating Ratio</t>
  </si>
  <si>
    <t>Net Income (Loss)</t>
  </si>
  <si>
    <t>Average Investment</t>
  </si>
  <si>
    <t>Columbia River Disposal, Inc. G-48 &amp; G-51</t>
  </si>
  <si>
    <t>Interest Expense</t>
  </si>
  <si>
    <t>Utlilities</t>
  </si>
  <si>
    <t>!??!</t>
  </si>
  <si>
    <t>OP/RATIO</t>
  </si>
  <si>
    <t xml:space="preserve">      curve</t>
  </si>
  <si>
    <t>FORMULAS</t>
  </si>
  <si>
    <t>1st Revenue</t>
  </si>
  <si>
    <t>1st Turnover</t>
  </si>
  <si>
    <t>M</t>
  </si>
  <si>
    <t>ROR</t>
  </si>
  <si>
    <t>ROE</t>
  </si>
  <si>
    <t>Adj ROE</t>
  </si>
  <si>
    <t>Pre Tax ROE</t>
  </si>
  <si>
    <t>Adj M</t>
  </si>
  <si>
    <t>Revenues</t>
  </si>
  <si>
    <t>Decision</t>
  </si>
  <si>
    <t xml:space="preserve">     lookup table</t>
  </si>
  <si>
    <t>!!!</t>
  </si>
  <si>
    <t>Revenue Requirement</t>
  </si>
  <si>
    <t>!!!&lt;--</t>
  </si>
  <si>
    <t xml:space="preserve"> 1. less than 50</t>
  </si>
  <si>
    <t>@EXP(5.72260-(.68367*@LN(T)))</t>
  </si>
  <si>
    <t>Revenue Deficiency</t>
  </si>
  <si>
    <t>Increase</t>
  </si>
  <si>
    <t xml:space="preserve"> 2. Between 50 and 125</t>
  </si>
  <si>
    <t>@EXP(5.70827-(.68367*@LN(T)))</t>
  </si>
  <si>
    <t>*</t>
  </si>
  <si>
    <t>-</t>
  </si>
  <si>
    <t>* p/f before rates</t>
  </si>
  <si>
    <t xml:space="preserve"> 3. Between 125 and 140</t>
  </si>
  <si>
    <t>@EXP(5.69850-(.68367*@LN(T)))</t>
  </si>
  <si>
    <t>Expenses</t>
  </si>
  <si>
    <t xml:space="preserve"> 4. greater than 400</t>
  </si>
  <si>
    <t>@EXP(5.69220-(.68367*@LN(T)))</t>
  </si>
  <si>
    <t>Avg. Investment  -</t>
  </si>
  <si>
    <t>curve turnover</t>
  </si>
  <si>
    <t>(calculated)</t>
  </si>
  <si>
    <t>2nd Turnover</t>
  </si>
  <si>
    <t xml:space="preserve">     lookup tables</t>
  </si>
  <si>
    <t>final turnover</t>
  </si>
  <si>
    <t>curve No. used</t>
  </si>
  <si>
    <t xml:space="preserve">Company actual </t>
  </si>
  <si>
    <t>capital structure:</t>
  </si>
  <si>
    <t>OPERATING RATIO -&gt;</t>
  </si>
  <si>
    <t>3rd Turnover</t>
  </si>
  <si>
    <t xml:space="preserve">Actual Debt Ratio </t>
  </si>
  <si>
    <t xml:space="preserve"> Conversion factor data:</t>
  </si>
  <si>
    <t>Actual Equity Ratio</t>
  </si>
  <si>
    <t xml:space="preserve"> B &amp; O Tax</t>
  </si>
  <si>
    <t>Actual Cost of Debt</t>
  </si>
  <si>
    <t xml:space="preserve"> WUTC Fee</t>
  </si>
  <si>
    <t>Basis Pts</t>
  </si>
  <si>
    <t>Corp OH</t>
  </si>
  <si>
    <t>Tax Rate</t>
  </si>
  <si>
    <t xml:space="preserve"> Bad Debts</t>
  </si>
  <si>
    <t>4th Turnover</t>
  </si>
  <si>
    <t>Revenue Sensitive</t>
  </si>
  <si>
    <t>Conversion Factor</t>
  </si>
  <si>
    <t>yes</t>
  </si>
  <si>
    <t>5th Turnover</t>
  </si>
  <si>
    <t>6th Turnover</t>
  </si>
  <si>
    <t>7th turnover</t>
  </si>
  <si>
    <t>8th turnover</t>
  </si>
  <si>
    <t>9th turnover</t>
  </si>
  <si>
    <t>Damages paid by District</t>
  </si>
  <si>
    <t>Bonds Expense</t>
  </si>
  <si>
    <t>Meal and Entertainment</t>
  </si>
  <si>
    <t>Hauling Revenue - Roll Off Extras</t>
  </si>
  <si>
    <t>Local Depository Account</t>
  </si>
  <si>
    <t>Proceeds from Sale of Assets</t>
  </si>
  <si>
    <t>Contra Proceeds from Sale of Assets</t>
  </si>
  <si>
    <t>Pay ICT Inter District Receipts</t>
  </si>
  <si>
    <t>Refunds - Customer</t>
  </si>
  <si>
    <t>Check &amp; Cash Pymt Clearing</t>
  </si>
  <si>
    <t>Cash</t>
  </si>
  <si>
    <t>Trade A/R Desert Micro</t>
  </si>
  <si>
    <t>Provision for Bad Debts</t>
  </si>
  <si>
    <t>Bad Debt Write Offs</t>
  </si>
  <si>
    <t>Bad Debt Collected</t>
  </si>
  <si>
    <t>Acquisition Bad Debt Reserve</t>
  </si>
  <si>
    <t>A/R</t>
  </si>
  <si>
    <t>Inventory Tires</t>
  </si>
  <si>
    <t>Inventory</t>
  </si>
  <si>
    <t>Prepaid Licenses and Permits</t>
  </si>
  <si>
    <t>Prepaid Advertising</t>
  </si>
  <si>
    <t>Prepaid Other</t>
  </si>
  <si>
    <t>Prepaids</t>
  </si>
  <si>
    <t>Curr Deferred</t>
  </si>
  <si>
    <t>Current Assets</t>
  </si>
  <si>
    <t>Acquisition Heavy Equipment</t>
  </si>
  <si>
    <t>Sale/Disposition Heavy Equipment</t>
  </si>
  <si>
    <t>Depre Exp Heavy Equipment</t>
  </si>
  <si>
    <t>Cap Ex Trucks</t>
  </si>
  <si>
    <t>Acquisitions Trucks</t>
  </si>
  <si>
    <t>Transfer/Reclass Trucks</t>
  </si>
  <si>
    <t>Sale/Disposition Trucks</t>
  </si>
  <si>
    <t>Depre Exp Trucks</t>
  </si>
  <si>
    <t>Cap Ex Container</t>
  </si>
  <si>
    <t>Acquisition Container</t>
  </si>
  <si>
    <t>Depre Exp Container</t>
  </si>
  <si>
    <t>Acquisition Shop Equipment</t>
  </si>
  <si>
    <t>Cap Ex Office Equipment</t>
  </si>
  <si>
    <t>Acquisition Office Equipment</t>
  </si>
  <si>
    <t>Cap Ex Computer Equipment</t>
  </si>
  <si>
    <t>Depre Exp Computer Equipment</t>
  </si>
  <si>
    <t>Cap Ex Accruals</t>
  </si>
  <si>
    <t>Cap Ex Construction in Process</t>
  </si>
  <si>
    <t>Fixed Assets</t>
  </si>
  <si>
    <t>Notes Rec.</t>
  </si>
  <si>
    <t>Acquisition Goodwill</t>
  </si>
  <si>
    <t>Goodwill</t>
  </si>
  <si>
    <t>Intangibles</t>
  </si>
  <si>
    <t>Deposits</t>
  </si>
  <si>
    <t>Restricted Funds</t>
  </si>
  <si>
    <t>Other Assets</t>
  </si>
  <si>
    <t>Intercompany Corporate</t>
  </si>
  <si>
    <t>Investment Corporate</t>
  </si>
  <si>
    <t>Intercompany</t>
  </si>
  <si>
    <t>Total Assets</t>
  </si>
  <si>
    <t>Curr Portion LTD</t>
  </si>
  <si>
    <t>AP - Accrued</t>
  </si>
  <si>
    <t>AP - Accrued CAPEX</t>
  </si>
  <si>
    <t>AP - Accrued Procurement Card</t>
  </si>
  <si>
    <t>AP - Sales Tax</t>
  </si>
  <si>
    <t>Pass Thru Taxes</t>
  </si>
  <si>
    <t>WUTC Tax Payable</t>
  </si>
  <si>
    <t>AP - Other Taxes</t>
  </si>
  <si>
    <t>A/P</t>
  </si>
  <si>
    <t>Unearned Revenue</t>
  </si>
  <si>
    <t>Unearned Rev</t>
  </si>
  <si>
    <t>Accrued Liabilities Wages Commissions</t>
  </si>
  <si>
    <t>Vacation Accrual</t>
  </si>
  <si>
    <t>Accrued Liabilities Safety Bonus</t>
  </si>
  <si>
    <t>Accrued Liabilities Ins. - Workers Comp</t>
  </si>
  <si>
    <t>Accrued Liabilities - UP Tracker</t>
  </si>
  <si>
    <t>Accrued Liab</t>
  </si>
  <si>
    <t>Current Liab</t>
  </si>
  <si>
    <t>LTD</t>
  </si>
  <si>
    <t>Overdraft</t>
  </si>
  <si>
    <t>Other LTD</t>
  </si>
  <si>
    <t>Deferred Taxes</t>
  </si>
  <si>
    <t>Minority Int</t>
  </si>
  <si>
    <t>Loan Fees</t>
  </si>
  <si>
    <t>Total Liabilities</t>
  </si>
  <si>
    <t>Common Stock</t>
  </si>
  <si>
    <t>Other Equity</t>
  </si>
  <si>
    <t>Deferred Comp</t>
  </si>
  <si>
    <t>Unrealized Swap Val</t>
  </si>
  <si>
    <t>APIC</t>
  </si>
  <si>
    <t>Treasury</t>
  </si>
  <si>
    <t>Retained Earnings</t>
  </si>
  <si>
    <t>Total Liab &amp; Equity</t>
  </si>
  <si>
    <t>BS Balance</t>
  </si>
  <si>
    <t>Income Statement</t>
  </si>
  <si>
    <t>April 1, 2015 - March 31, 2016</t>
  </si>
  <si>
    <t>G-48</t>
  </si>
  <si>
    <t>G-51</t>
  </si>
  <si>
    <t>CRD Pro Forma Test Period Ending 3-31-2016</t>
  </si>
  <si>
    <t>EFT Pymt Clearning</t>
  </si>
  <si>
    <t>Depr Exp Shop Equipment</t>
  </si>
  <si>
    <t>Depr Expense Office Equipment</t>
  </si>
  <si>
    <t>Acquisition Indefinite Lieved Intangibles</t>
  </si>
  <si>
    <t>Accrued Liabilities - Property Tax</t>
  </si>
  <si>
    <t>Balance Sheet</t>
  </si>
  <si>
    <t>As of March 31, 2016</t>
  </si>
  <si>
    <t>101*</t>
  </si>
  <si>
    <t>Corp</t>
  </si>
  <si>
    <t>Waste Connections, Inc.</t>
  </si>
  <si>
    <t>Corporate P&amp;L Detail</t>
  </si>
  <si>
    <t xml:space="preserve">Adjusted </t>
  </si>
  <si>
    <t>Corp Payroll Tax %</t>
  </si>
  <si>
    <t>YTD 12</t>
  </si>
  <si>
    <t>12 Months</t>
  </si>
  <si>
    <t>Ended</t>
  </si>
  <si>
    <t>12/31/2015</t>
  </si>
  <si>
    <t>Staff</t>
  </si>
  <si>
    <t>Termination Pay</t>
  </si>
  <si>
    <t>remove non-regulated operating assets and R360 assets in TG-130501 and TG-130502</t>
  </si>
  <si>
    <t>Property and Liability Insurance</t>
  </si>
  <si>
    <t>RM Fixed Costs</t>
  </si>
  <si>
    <t>Deferred Comp Earnings</t>
  </si>
  <si>
    <t>Corp Allocated Bonus</t>
  </si>
  <si>
    <t>Corporate Office Relocation</t>
  </si>
  <si>
    <t>Political Contributions</t>
  </si>
  <si>
    <t>Plane Parts &amp; Materials</t>
  </si>
  <si>
    <t>Aircraft Lubricants &amp; Consumables</t>
  </si>
  <si>
    <t>Registration Fees</t>
  </si>
  <si>
    <t>Dues and Subscriptions</t>
  </si>
  <si>
    <t>removed stock listing per TG-130501, TG-130502, TG-121777 and TG-121791</t>
  </si>
  <si>
    <t>Meals</t>
  </si>
  <si>
    <t>Outside Storages</t>
  </si>
  <si>
    <t>Recruitment Advertising &amp; Expenses</t>
  </si>
  <si>
    <t>Accounting Professional Fees</t>
  </si>
  <si>
    <t>Acquisition Cost Write Off</t>
  </si>
  <si>
    <t>removed costs not recoverable from regulated ratepayers TG-130501 and TG-130502</t>
  </si>
  <si>
    <t>Directors and Officers Insurance</t>
  </si>
  <si>
    <t>Property Taxes</t>
  </si>
  <si>
    <t>Board of Directors Fees</t>
  </si>
  <si>
    <t>Board of Directors Expense Report</t>
  </si>
  <si>
    <t xml:space="preserve">     Total expenses</t>
  </si>
  <si>
    <t xml:space="preserve">     Total eliminated revenues</t>
  </si>
  <si>
    <t>Inter-co elimiation rev</t>
  </si>
  <si>
    <t>Gross Revenue before eliminations</t>
  </si>
  <si>
    <t xml:space="preserve">     Total eligible allocation rate</t>
  </si>
  <si>
    <t>Allocation Percentage</t>
  </si>
  <si>
    <t>REGION G&amp;A STATEMENT</t>
  </si>
  <si>
    <t>Adjust Out</t>
  </si>
  <si>
    <t>Adjusted Region</t>
  </si>
  <si>
    <t>Allocation</t>
  </si>
  <si>
    <t>Unallowable</t>
  </si>
  <si>
    <t>OH Allocation</t>
  </si>
  <si>
    <t>Per GL</t>
  </si>
  <si>
    <t>(A)</t>
  </si>
  <si>
    <t xml:space="preserve">Proposed </t>
  </si>
  <si>
    <t>Rate</t>
  </si>
  <si>
    <t>Returned check charge</t>
  </si>
  <si>
    <t>Restart Fees</t>
  </si>
  <si>
    <t>Over size</t>
  </si>
  <si>
    <t>Charge per hour</t>
  </si>
  <si>
    <t>Minimum charge</t>
  </si>
  <si>
    <t>Returned Trip</t>
  </si>
  <si>
    <t>Cans</t>
  </si>
  <si>
    <t>Container</t>
  </si>
  <si>
    <t>Carry-outs</t>
  </si>
  <si>
    <t>Can, units 5-25'</t>
  </si>
  <si>
    <t>RU-M</t>
  </si>
  <si>
    <t>Can, units +25'</t>
  </si>
  <si>
    <t>CU-PU</t>
  </si>
  <si>
    <t>Drive-in</t>
  </si>
  <si>
    <t>Stairs (each step up or down)</t>
  </si>
  <si>
    <t>RUM</t>
  </si>
  <si>
    <t>Overheard obstruction</t>
  </si>
  <si>
    <t>Sunken</t>
  </si>
  <si>
    <t xml:space="preserve">Mini can </t>
  </si>
  <si>
    <t>One can</t>
  </si>
  <si>
    <t>Two cans</t>
  </si>
  <si>
    <t>Three cans</t>
  </si>
  <si>
    <t>Four cans</t>
  </si>
  <si>
    <t>Five cans</t>
  </si>
  <si>
    <t>Six cans</t>
  </si>
  <si>
    <t>MG</t>
  </si>
  <si>
    <t>Extra Units</t>
  </si>
  <si>
    <t>Each</t>
  </si>
  <si>
    <t>1 yard</t>
  </si>
  <si>
    <t>1.5 yard</t>
  </si>
  <si>
    <t>2 yard</t>
  </si>
  <si>
    <t>4 yard</t>
  </si>
  <si>
    <t>YD</t>
  </si>
  <si>
    <t>Special Pickup</t>
  </si>
  <si>
    <t>Bulky</t>
  </si>
  <si>
    <t>Loose material</t>
  </si>
  <si>
    <t>Additional</t>
  </si>
  <si>
    <t>Minimum</t>
  </si>
  <si>
    <t>Single Rear Drive Axle</t>
  </si>
  <si>
    <t>Non-packer truck</t>
  </si>
  <si>
    <t>HR</t>
  </si>
  <si>
    <t>Packer truck</t>
  </si>
  <si>
    <t>Drop-box truck</t>
  </si>
  <si>
    <t>Extra person</t>
  </si>
  <si>
    <t>Tandem Rear Drive Axle</t>
  </si>
  <si>
    <t>Roll-out charge</t>
  </si>
  <si>
    <t>Container up to 25'</t>
  </si>
  <si>
    <t>PU</t>
  </si>
  <si>
    <t>Washing</t>
  </si>
  <si>
    <t>Steam Cleaning</t>
  </si>
  <si>
    <t>Sanitizing</t>
  </si>
  <si>
    <t>Pickup and redelivery, per container</t>
  </si>
  <si>
    <t>Up to 8 yard</t>
  </si>
  <si>
    <t>Over 8 yard</t>
  </si>
  <si>
    <t>Ton</t>
  </si>
  <si>
    <t>Initial Delivery all sizes</t>
  </si>
  <si>
    <t>3 yard</t>
  </si>
  <si>
    <t>20 yard</t>
  </si>
  <si>
    <t>30 yard</t>
  </si>
  <si>
    <t>40 yard</t>
  </si>
  <si>
    <t>Pickups</t>
  </si>
  <si>
    <t>Temporary</t>
  </si>
  <si>
    <t>Daily</t>
  </si>
  <si>
    <t>Excess miles</t>
  </si>
  <si>
    <t>Mile</t>
  </si>
  <si>
    <t>Haul</t>
  </si>
  <si>
    <t>10 yard</t>
  </si>
  <si>
    <t>Disconnect/Reconnect</t>
  </si>
  <si>
    <t>Columbia River Disposal, Inc G-48</t>
  </si>
  <si>
    <t>Proposed Rates, Effective 6/1/2016</t>
  </si>
  <si>
    <t>Change of Service Fee</t>
  </si>
  <si>
    <t>Driveways over 125" but less than 150'</t>
  </si>
  <si>
    <t>Each additional foot</t>
  </si>
  <si>
    <t>EOW</t>
  </si>
  <si>
    <t>1-45 cal</t>
  </si>
  <si>
    <t>2-45 gal</t>
  </si>
  <si>
    <t>1-60 gal</t>
  </si>
  <si>
    <t>WG</t>
  </si>
  <si>
    <t>Extra Units (32 gal)</t>
  </si>
  <si>
    <t>Additional-Bulky</t>
  </si>
  <si>
    <t xml:space="preserve">Carry Charge </t>
  </si>
  <si>
    <t>Dallesport TFS (in County)</t>
  </si>
  <si>
    <t>Dallesport TFS (out of County)</t>
  </si>
  <si>
    <t>Skamania Cnty TFS</t>
  </si>
  <si>
    <t>Rent:</t>
  </si>
  <si>
    <t>Hauls:</t>
  </si>
  <si>
    <t>Special Pickups/Temporary Pickups</t>
  </si>
  <si>
    <t>Rent Temp Containers</t>
  </si>
  <si>
    <t>Minimum Charge</t>
  </si>
  <si>
    <t>Additional Special Unit</t>
  </si>
  <si>
    <t>First PU</t>
  </si>
  <si>
    <t>Each Additional</t>
  </si>
  <si>
    <t>Initial Delivery (all sizes)</t>
  </si>
  <si>
    <t xml:space="preserve">Rent </t>
  </si>
  <si>
    <t>Permanent, Special, Temporary</t>
  </si>
  <si>
    <t>1-30 gal toter</t>
  </si>
  <si>
    <t>1-45 gal toter</t>
  </si>
  <si>
    <t>1-60 gal toter</t>
  </si>
  <si>
    <t>Restating Adjustments Summary</t>
  </si>
  <si>
    <t>RS-1</t>
  </si>
  <si>
    <t>RS-2</t>
  </si>
  <si>
    <t>RS-3</t>
  </si>
  <si>
    <t>RS-4</t>
  </si>
  <si>
    <t>RS-5</t>
  </si>
  <si>
    <t>RS-6</t>
  </si>
  <si>
    <t>RS-7</t>
  </si>
  <si>
    <t>RS-8</t>
  </si>
  <si>
    <t>RS-9</t>
  </si>
  <si>
    <t>RS-10</t>
  </si>
  <si>
    <t>RS-11</t>
  </si>
  <si>
    <t xml:space="preserve"> </t>
  </si>
  <si>
    <t>Acct No.</t>
  </si>
  <si>
    <t>Description:</t>
  </si>
  <si>
    <t>Billing</t>
  </si>
  <si>
    <t>Fees</t>
  </si>
  <si>
    <t>Unallow</t>
  </si>
  <si>
    <t xml:space="preserve">Wage </t>
  </si>
  <si>
    <t>Corp/Region</t>
  </si>
  <si>
    <t>Bad Debt</t>
  </si>
  <si>
    <t>WRRA</t>
  </si>
  <si>
    <t xml:space="preserve">B &amp; O </t>
  </si>
  <si>
    <t>Adjustment</t>
  </si>
  <si>
    <t>Adjusts</t>
  </si>
  <si>
    <t>OH Alloc</t>
  </si>
  <si>
    <t>Tax</t>
  </si>
  <si>
    <t>Adj to UTC Meth</t>
  </si>
  <si>
    <t>Comm Containers</t>
  </si>
  <si>
    <t>Pcards</t>
  </si>
  <si>
    <t>Service Charges</t>
  </si>
  <si>
    <t>Total Revenue</t>
  </si>
  <si>
    <t>Wages-Mechanic</t>
  </si>
  <si>
    <t>Parts &amp; Material</t>
  </si>
  <si>
    <t>Supplies</t>
  </si>
  <si>
    <t>Tires-Tubes</t>
  </si>
  <si>
    <t>Other Maintenance</t>
  </si>
  <si>
    <t>Wages-Driver</t>
  </si>
  <si>
    <t>Fuel &amp; Oil</t>
  </si>
  <si>
    <t>Leased Equipment</t>
  </si>
  <si>
    <t>Other Collection Expense</t>
  </si>
  <si>
    <t>Dump Fee &amp; Charges</t>
  </si>
  <si>
    <t>Transport/Processing Fee</t>
  </si>
  <si>
    <t>Salaries - Office</t>
  </si>
  <si>
    <t>Office &amp; Other Expense</t>
  </si>
  <si>
    <t>Communication Phone</t>
  </si>
  <si>
    <t>Other General Expense</t>
  </si>
  <si>
    <t>Depr-Collection Trucks</t>
  </si>
  <si>
    <t>Depr-Cont</t>
  </si>
  <si>
    <t>Depr-Service Equipment</t>
  </si>
  <si>
    <t>Depr-Shop Equipment</t>
  </si>
  <si>
    <t>Depr-Office Equipment</t>
  </si>
  <si>
    <t>Unusual Gain/Loss</t>
  </si>
  <si>
    <t>Operating Tax &amp; License</t>
  </si>
  <si>
    <t>Vehicle License</t>
  </si>
  <si>
    <t>Rent Land &amp; Structures</t>
  </si>
  <si>
    <t>Total Expenses</t>
  </si>
  <si>
    <t>Difference</t>
  </si>
  <si>
    <t>Records</t>
  </si>
  <si>
    <t>IS</t>
  </si>
  <si>
    <t>Roll-Off</t>
  </si>
  <si>
    <t>Commercial Garbage</t>
  </si>
  <si>
    <t>Roll Off</t>
  </si>
  <si>
    <t>Pass Through</t>
  </si>
  <si>
    <t>Adjust to Acct 413.20</t>
  </si>
  <si>
    <t>Wage Increases:</t>
  </si>
  <si>
    <t>Drivers</t>
  </si>
  <si>
    <t>Mechanics</t>
  </si>
  <si>
    <t>Supervisors</t>
  </si>
  <si>
    <t>Office</t>
  </si>
  <si>
    <t>Payroll Taxes:</t>
  </si>
  <si>
    <t xml:space="preserve">Wage Increase </t>
  </si>
  <si>
    <t>Salary</t>
  </si>
  <si>
    <t>Total Adjustment</t>
  </si>
  <si>
    <t>Acct: 43600</t>
  </si>
  <si>
    <t>UTC Fee:</t>
  </si>
  <si>
    <t>Revenue-Hauling</t>
  </si>
  <si>
    <t>Actual Expense</t>
  </si>
  <si>
    <t>Adjust UTC Fee to Actual</t>
  </si>
  <si>
    <t>Acct: 44300</t>
  </si>
  <si>
    <t>B &amp; O Tax:</t>
  </si>
  <si>
    <t>Acct: 52030</t>
  </si>
  <si>
    <t>S/B</t>
  </si>
  <si>
    <t>Adj</t>
  </si>
  <si>
    <t>Non Allowable Expense</t>
  </si>
  <si>
    <t>70110 Contributions</t>
  </si>
  <si>
    <t>Bad Debt:</t>
  </si>
  <si>
    <t>Write-off</t>
  </si>
  <si>
    <t>Beginning test period</t>
  </si>
  <si>
    <t>Ending test period</t>
  </si>
  <si>
    <t>Recovery</t>
  </si>
  <si>
    <t>Actual write-off expense</t>
  </si>
  <si>
    <t>Acct: 46700</t>
  </si>
  <si>
    <t>Corporate/Region OH:</t>
  </si>
  <si>
    <t>Adjustment Acct 461.00</t>
  </si>
  <si>
    <t>Region OH Per IS</t>
  </si>
  <si>
    <t>Region OH Per Revised Calc</t>
  </si>
  <si>
    <t>Adjustment Account 46900</t>
  </si>
  <si>
    <t>UTC</t>
  </si>
  <si>
    <t>Depreciation Service Equip</t>
  </si>
  <si>
    <t>Restate Deprec per books to UTC Methodology</t>
  </si>
  <si>
    <t>Acct: 51500</t>
  </si>
  <si>
    <t>Bad Debt Percent for LG</t>
  </si>
  <si>
    <t xml:space="preserve">Actual Bad Debt Write Off </t>
  </si>
  <si>
    <t>Bad Debt Percent</t>
  </si>
  <si>
    <t>To LG</t>
  </si>
  <si>
    <t>Commercial</t>
  </si>
  <si>
    <t>Expense</t>
  </si>
  <si>
    <t>Building Structure</t>
  </si>
  <si>
    <t>In Districts:</t>
  </si>
  <si>
    <t>System:</t>
  </si>
  <si>
    <t>Subsystem:</t>
  </si>
  <si>
    <t>Company:</t>
  </si>
  <si>
    <t>Types:</t>
  </si>
  <si>
    <t>Balance Sheet Summary</t>
  </si>
  <si>
    <t>2015</t>
  </si>
  <si>
    <t>Assets</t>
  </si>
  <si>
    <t>Current assets:</t>
  </si>
  <si>
    <t>BS Cash</t>
  </si>
  <si>
    <t>Cash and equivalents</t>
  </si>
  <si>
    <t>BS AR</t>
  </si>
  <si>
    <t>Accounts receivable</t>
  </si>
  <si>
    <t>BS Current Def Asset</t>
  </si>
  <si>
    <t>Current deferred tax assets</t>
  </si>
  <si>
    <t>BS Inventory</t>
  </si>
  <si>
    <t>BS Prepaid</t>
  </si>
  <si>
    <t>Prepaid expenses</t>
  </si>
  <si>
    <t>Total current assets</t>
  </si>
  <si>
    <t>BS Fixed Asset</t>
  </si>
  <si>
    <t>Property and equipment</t>
  </si>
  <si>
    <t>BS Goodwill</t>
  </si>
  <si>
    <t>BS Intangible</t>
  </si>
  <si>
    <t>Intangible assets</t>
  </si>
  <si>
    <t>BS Restricted</t>
  </si>
  <si>
    <t>Restricted assets</t>
  </si>
  <si>
    <t>BS Notes,BS Other Assets,BS Deposits,BS LOC Loan Fees</t>
  </si>
  <si>
    <t>Other assets</t>
  </si>
  <si>
    <t>BS Intercompany</t>
  </si>
  <si>
    <t>Liabilities and Equity</t>
  </si>
  <si>
    <t>Current liabilities:</t>
  </si>
  <si>
    <t>BS AP</t>
  </si>
  <si>
    <t>Accounts payable</t>
  </si>
  <si>
    <t>BS Overdraft</t>
  </si>
  <si>
    <t>Book overdraft</t>
  </si>
  <si>
    <t>BS Accrued Liabilities</t>
  </si>
  <si>
    <t>Accrued liabilities</t>
  </si>
  <si>
    <t>BS ST Contingent Considerations</t>
  </si>
  <si>
    <t>ST Contingent Considerations</t>
  </si>
  <si>
    <t>BS Unearned Revenue</t>
  </si>
  <si>
    <t>Deferred revenue</t>
  </si>
  <si>
    <t>BS Current LTD</t>
  </si>
  <si>
    <t>Current portion of long-term debt</t>
  </si>
  <si>
    <t>Total current liabilities</t>
  </si>
  <si>
    <t>BS LTD,BS NP,BS Loan Fees</t>
  </si>
  <si>
    <t>Long-term debt</t>
  </si>
  <si>
    <t>BS LT Contingent Considerations</t>
  </si>
  <si>
    <t>LT Contingent Considerations</t>
  </si>
  <si>
    <t>BS Deferred Taxes</t>
  </si>
  <si>
    <t>Deferred income taxes</t>
  </si>
  <si>
    <t>BS Other LTD</t>
  </si>
  <si>
    <t>Other long-term liabilities</t>
  </si>
  <si>
    <t>Total liabilities</t>
  </si>
  <si>
    <t>Equity:</t>
  </si>
  <si>
    <t>BS Common Stock</t>
  </si>
  <si>
    <t>Common stock</t>
  </si>
  <si>
    <t>BS APIC</t>
  </si>
  <si>
    <t>Additional paid-in capital</t>
  </si>
  <si>
    <t>BS Deferred Comp</t>
  </si>
  <si>
    <t>Deferred stock compensation</t>
  </si>
  <si>
    <t>BS Treasury</t>
  </si>
  <si>
    <t>Treasury stock</t>
  </si>
  <si>
    <t>BS Other Equity</t>
  </si>
  <si>
    <t>Other equity</t>
  </si>
  <si>
    <t>BS RE</t>
  </si>
  <si>
    <t>Retained earnings</t>
  </si>
  <si>
    <t>BS Unrealized Swap Value</t>
  </si>
  <si>
    <t>Accumulated other comprehensive income</t>
  </si>
  <si>
    <t>Total Waste Connections' equity</t>
  </si>
  <si>
    <t>BS Noncontrolling</t>
  </si>
  <si>
    <t>Noncontrolling interests</t>
  </si>
  <si>
    <t>Total equity</t>
  </si>
  <si>
    <t xml:space="preserve">              Debt to Equity Ratio</t>
  </si>
  <si>
    <t>Debt</t>
  </si>
  <si>
    <t>Equity</t>
  </si>
  <si>
    <t>Total Debt &amp; Equity</t>
  </si>
  <si>
    <t xml:space="preserve">          Interest as a % of Debt</t>
  </si>
  <si>
    <t>Interest as a % of Debt</t>
  </si>
  <si>
    <t>District:</t>
  </si>
  <si>
    <t>Period 1</t>
  </si>
  <si>
    <t>Period 2</t>
  </si>
  <si>
    <t>Closed Year Balance Sheet Period:</t>
  </si>
  <si>
    <t>Current Year Balance Sheet Period:</t>
  </si>
  <si>
    <t>IS SECELIM Revenue</t>
  </si>
  <si>
    <t>Operating expenses:</t>
  </si>
  <si>
    <t>IS SECELIM CostOps</t>
  </si>
  <si>
    <t xml:space="preserve">     Cost of operations</t>
  </si>
  <si>
    <t>IS SECELIM SG&amp;A</t>
  </si>
  <si>
    <t xml:space="preserve">     Selling, general and administrative</t>
  </si>
  <si>
    <t>IS SECELIM Depreciation</t>
  </si>
  <si>
    <t xml:space="preserve">     Depreciation </t>
  </si>
  <si>
    <t>IS amort</t>
  </si>
  <si>
    <t xml:space="preserve">     Amortization</t>
  </si>
  <si>
    <t>IS OpDisposal</t>
  </si>
  <si>
    <t xml:space="preserve">     Loss on sale of operations/assets</t>
  </si>
  <si>
    <t xml:space="preserve">     Loss on prior office leases</t>
  </si>
  <si>
    <t>Income from operations</t>
  </si>
  <si>
    <t>IS Interest</t>
  </si>
  <si>
    <t>Interest expense</t>
  </si>
  <si>
    <t>IS Interest Income</t>
  </si>
  <si>
    <t>Interest income</t>
  </si>
  <si>
    <t>IS OtherIncExp</t>
  </si>
  <si>
    <t>Other income (expense), net</t>
  </si>
  <si>
    <t>Income before tax provision</t>
  </si>
  <si>
    <t>IS Taxes</t>
  </si>
  <si>
    <t>Income tax provision</t>
  </si>
  <si>
    <t>Net income</t>
  </si>
  <si>
    <t xml:space="preserve">Less: net income attributable to </t>
  </si>
  <si>
    <t>IS NoncontrollingExp</t>
  </si>
  <si>
    <t xml:space="preserve">   noncontrolling interests</t>
  </si>
  <si>
    <t>Net income attributable to WCN</t>
  </si>
  <si>
    <t>Columbia River Disposal, Inc. G-48</t>
  </si>
  <si>
    <t>Regulated Price Out</t>
  </si>
  <si>
    <t>BILL AREAS: CARSON, COOK/UNDERWOOD, N BONNEVILLE, UNICORP STEVENSON, STEVENSON, SKAMANIA, WASHOUGAL</t>
  </si>
  <si>
    <t>April 15-Aug. 15</t>
  </si>
  <si>
    <t>Sept. 15-March 16</t>
  </si>
  <si>
    <t>Average</t>
  </si>
  <si>
    <t>Service Code</t>
  </si>
  <si>
    <t>Service Code Description</t>
  </si>
  <si>
    <t>Tariff Rate</t>
  </si>
  <si>
    <t>Customers</t>
  </si>
  <si>
    <t>Customer</t>
  </si>
  <si>
    <t>RESIDENTIAL SERVICES</t>
  </si>
  <si>
    <t>RESIDENTIAL GARBAGE</t>
  </si>
  <si>
    <t>20R1W1</t>
  </si>
  <si>
    <t>1-20GAL CAN WEEKLY</t>
  </si>
  <si>
    <t>32R1W1</t>
  </si>
  <si>
    <t>1-32GAL CAN WEEKLY</t>
  </si>
  <si>
    <t>32R1W2</t>
  </si>
  <si>
    <t>2-32GAL CANS WEEKLY</t>
  </si>
  <si>
    <t>32R1W3</t>
  </si>
  <si>
    <t>3-32GAL CANS WEEKLY</t>
  </si>
  <si>
    <t>32R1W4</t>
  </si>
  <si>
    <t>4-32GAL CANS WEEKLY</t>
  </si>
  <si>
    <t>32R1W5</t>
  </si>
  <si>
    <t>5-32 GAL CANS WKLY</t>
  </si>
  <si>
    <t>32R1W6</t>
  </si>
  <si>
    <t>6-32 GAL CANS WKLY</t>
  </si>
  <si>
    <t>32R1E1</t>
  </si>
  <si>
    <t>1-32GAL CAN EOW</t>
  </si>
  <si>
    <t>32R1M1</t>
  </si>
  <si>
    <t>1-32GAL CAN MONTHLY</t>
  </si>
  <si>
    <t>45R1W1</t>
  </si>
  <si>
    <t>1-45 GAL CAN WKLY</t>
  </si>
  <si>
    <t>60R1M1</t>
  </si>
  <si>
    <t>1-60GAL CART MONTHLY</t>
  </si>
  <si>
    <t>60R1W1</t>
  </si>
  <si>
    <t>1-60GAL CART WEEKLY</t>
  </si>
  <si>
    <t>32R1OC</t>
  </si>
  <si>
    <t>1-32GAL CAN ON CALL</t>
  </si>
  <si>
    <t>EXTRA-RES</t>
  </si>
  <si>
    <t>EXTRA CAN, BAG, BOX - RES</t>
  </si>
  <si>
    <t>OW-RES</t>
  </si>
  <si>
    <t>OVERFILL / OVERWEIGHT CAN</t>
  </si>
  <si>
    <t>BULKY - RES</t>
  </si>
  <si>
    <t>BULKY ITEM PICK UP - RES</t>
  </si>
  <si>
    <t>ACCESSEOW-RES</t>
  </si>
  <si>
    <t>ACCESS/GATE FEE EOW</t>
  </si>
  <si>
    <t>ACCESS-RES</t>
  </si>
  <si>
    <t>ACCESS/GATE CHARGE</t>
  </si>
  <si>
    <t>DRIVEIN1-RES</t>
  </si>
  <si>
    <t>DRIVE IN UP TO 125FT - RES</t>
  </si>
  <si>
    <t>DRIVEIN2-RES</t>
  </si>
  <si>
    <t>DRIVE IN 125FT-150FT - RES</t>
  </si>
  <si>
    <t>DRIVEIN2WK-RES</t>
  </si>
  <si>
    <t>DRIVE IN 125FT-150FT</t>
  </si>
  <si>
    <t>DRIVEIN-RES</t>
  </si>
  <si>
    <t>DRIVE IN - RES</t>
  </si>
  <si>
    <t>WI-RES</t>
  </si>
  <si>
    <t>WALK IN/CARRYOUT 5-25FT</t>
  </si>
  <si>
    <t>WI2-RES</t>
  </si>
  <si>
    <t>CARRYOUT OVER 25FT</t>
  </si>
  <si>
    <t>EMPLOYEER</t>
  </si>
  <si>
    <t>EMPLOYEE SERVICE RES</t>
  </si>
  <si>
    <t>ADJ - RES</t>
  </si>
  <si>
    <t>ADJUSTMENT SERVICE - RES</t>
  </si>
  <si>
    <t>SKAMANIA COUNTY FUEL</t>
  </si>
  <si>
    <t>FUEL &amp; MATERIAL SURCHARGE</t>
  </si>
  <si>
    <t>TOTAL RESIDENTIAL GARBAGE</t>
  </si>
  <si>
    <t>COMMERCIAL SERVICES</t>
  </si>
  <si>
    <t>COMMERCIAL GARBAGE</t>
  </si>
  <si>
    <t>P1YC1W1</t>
  </si>
  <si>
    <t>1-1YD CONT 1 X WEEKLY</t>
  </si>
  <si>
    <t>P1YC2W1</t>
  </si>
  <si>
    <t>1-1YD CONT 2X WKLY</t>
  </si>
  <si>
    <t>P1YC1W2</t>
  </si>
  <si>
    <t>2-1YD CONT. 1 X WEEKLY</t>
  </si>
  <si>
    <t>P1YCE1</t>
  </si>
  <si>
    <t>1-1YD CONT EOW</t>
  </si>
  <si>
    <t>P1.5YC1W1</t>
  </si>
  <si>
    <t>1-1.5YD CONT 1 X WEEKLY</t>
  </si>
  <si>
    <t>P1.5YC1W2</t>
  </si>
  <si>
    <t>2-1.5YD CONT 1 X WEEKLY</t>
  </si>
  <si>
    <t>P1.5YC2W1</t>
  </si>
  <si>
    <t>1-1.5YD CONT 2 X WEEKLY</t>
  </si>
  <si>
    <t>P1.5YC3W1</t>
  </si>
  <si>
    <t>1-1.5YD CONT 3 X WEEKLY</t>
  </si>
  <si>
    <t>P1.5YC3W2</t>
  </si>
  <si>
    <t>2-1.5YD CONT 3 X WEEKLY</t>
  </si>
  <si>
    <t>P1.5YCE1</t>
  </si>
  <si>
    <t>1-1.5YD CONT EOW</t>
  </si>
  <si>
    <t>P2YC1W1</t>
  </si>
  <si>
    <t>1-2YD CONT 1 X WEEKLY</t>
  </si>
  <si>
    <t>P2YC1W2</t>
  </si>
  <si>
    <t>2-2YD CONT. 1 X WEEKLY</t>
  </si>
  <si>
    <t>P2YC1W3</t>
  </si>
  <si>
    <t>3-2YD CONT. 1 X WEEKLY</t>
  </si>
  <si>
    <t>P2YC1W4</t>
  </si>
  <si>
    <t>4-2YD CONT 1X WKLY</t>
  </si>
  <si>
    <t>P2YC1W7</t>
  </si>
  <si>
    <t>7-2YD CONT 1X WKLY</t>
  </si>
  <si>
    <t>P2YC2W1</t>
  </si>
  <si>
    <t>1-2YD CONT 2  X WEEKLY</t>
  </si>
  <si>
    <t>P2YC2W2</t>
  </si>
  <si>
    <t>2-2YD CONT 2X WKLY</t>
  </si>
  <si>
    <t>P2YC2W3</t>
  </si>
  <si>
    <t>3-2YD CONT 2X WKLY</t>
  </si>
  <si>
    <t>P2YC2W7</t>
  </si>
  <si>
    <t>7-2YD CONT 2X WKLY</t>
  </si>
  <si>
    <t>P2YC3W1</t>
  </si>
  <si>
    <t>1-2YD CONT. 3 X WEEKLY</t>
  </si>
  <si>
    <t>P2YC3W2</t>
  </si>
  <si>
    <t>2-2YD CONT. 3 X WEEKLY</t>
  </si>
  <si>
    <t>P2YC4W1</t>
  </si>
  <si>
    <t>1-2YD CONT. 4 X WEEKLY</t>
  </si>
  <si>
    <t>P2YCE1</t>
  </si>
  <si>
    <t>1-2YD CONT EOW</t>
  </si>
  <si>
    <t>P4YC1W1</t>
  </si>
  <si>
    <t>1-4YD CONT. 1 X WEEKLY</t>
  </si>
  <si>
    <t>P4YCE1</t>
  </si>
  <si>
    <t>1-4YD CONT. EOW</t>
  </si>
  <si>
    <t>32C1W1</t>
  </si>
  <si>
    <t>1-32GAL COMM 1 X WEEKLY</t>
  </si>
  <si>
    <t>32C1W2</t>
  </si>
  <si>
    <t>32C1W3</t>
  </si>
  <si>
    <t>32C1W4</t>
  </si>
  <si>
    <t>4-32GAL CANS 1 X WEEKLY</t>
  </si>
  <si>
    <t>32C1E1</t>
  </si>
  <si>
    <t>32C1M1</t>
  </si>
  <si>
    <t>1-32GAL CAN 1 X MONTHLY</t>
  </si>
  <si>
    <t>45C1M1</t>
  </si>
  <si>
    <t>1-45 GAL COM CAN MONTHLY</t>
  </si>
  <si>
    <t>45C1W1</t>
  </si>
  <si>
    <t>45 GL 1X WK 1 COM</t>
  </si>
  <si>
    <t>EXTRA-COMM</t>
  </si>
  <si>
    <t>EXTRA CAN, BAG, BOX - COM</t>
  </si>
  <si>
    <t>32C1OC</t>
  </si>
  <si>
    <t>1YCOC1</t>
  </si>
  <si>
    <t>1-1YD CONTAINER ON CALL</t>
  </si>
  <si>
    <t>1.5YCOC1</t>
  </si>
  <si>
    <t>1-1.5 CONTAINER ON CALL</t>
  </si>
  <si>
    <t>2YCOC1</t>
  </si>
  <si>
    <t>1-2YD CONTAINER ON CALL</t>
  </si>
  <si>
    <t>R1.5TC-COM</t>
  </si>
  <si>
    <t>1.5 YD TEMP CONT PICKUP</t>
  </si>
  <si>
    <t>R1TC-COM</t>
  </si>
  <si>
    <t>1 YD TEMP CONT PICKUP</t>
  </si>
  <si>
    <t>R2TC-COMM</t>
  </si>
  <si>
    <t>2 YD TEMP CONT PICKUP</t>
  </si>
  <si>
    <t>BULKY - COMM</t>
  </si>
  <si>
    <t>BULKY ITEM PICK UP - COMM</t>
  </si>
  <si>
    <t>RENT1-COM</t>
  </si>
  <si>
    <t>1 YD CONT RENTAL</t>
  </si>
  <si>
    <t>RENT1TEMP-COM</t>
  </si>
  <si>
    <t>1 YD TEMP CONT RENTAL</t>
  </si>
  <si>
    <t>RENT1.5-COM</t>
  </si>
  <si>
    <t>1.5 YD CONT RENTAL</t>
  </si>
  <si>
    <t>RENT1.5TEMP-COM</t>
  </si>
  <si>
    <t>1.5 YD TEMP CONT RENTAL</t>
  </si>
  <si>
    <t>RENT2-COM</t>
  </si>
  <si>
    <t>2 YD CONT RENTAL</t>
  </si>
  <si>
    <t>RENT2TEMP-COM</t>
  </si>
  <si>
    <t>2 YD TEMP CONT RENTAL</t>
  </si>
  <si>
    <t>RENT4-COM</t>
  </si>
  <si>
    <t>4 YD CONT RENTAL</t>
  </si>
  <si>
    <t>DEL1-COM</t>
  </si>
  <si>
    <t>DELIVER 1 YD</t>
  </si>
  <si>
    <t>DEL1.5-COM</t>
  </si>
  <si>
    <t>DELIVER 1.5 YD</t>
  </si>
  <si>
    <t>DEL2-COM</t>
  </si>
  <si>
    <t>DELIVER 2 YD</t>
  </si>
  <si>
    <t>ACCESS1W-COM</t>
  </si>
  <si>
    <t>ACCESS/GATE FEE 1X WK</t>
  </si>
  <si>
    <t>ACCESS2W-COM</t>
  </si>
  <si>
    <t>ACCESS/GATE FEE 2X WK</t>
  </si>
  <si>
    <t>ACCESS3W-COM</t>
  </si>
  <si>
    <t>ACCESS/GATE FEE 3X WK</t>
  </si>
  <si>
    <t>ACCESSEOW-COM</t>
  </si>
  <si>
    <t>CLOCK</t>
  </si>
  <si>
    <t>COMM LOCK CHARGE</t>
  </si>
  <si>
    <t>CLOCK2W</t>
  </si>
  <si>
    <t>LOCK CHARGE 2X WK</t>
  </si>
  <si>
    <t>CLOCKE</t>
  </si>
  <si>
    <t>LOCK CHARGE EOW</t>
  </si>
  <si>
    <t>WI-COMM</t>
  </si>
  <si>
    <t>WALK IN - COMM</t>
  </si>
  <si>
    <t>DRIVEIN1-COM</t>
  </si>
  <si>
    <t>DRIVE IN UP TO 125FT - COM</t>
  </si>
  <si>
    <t>DRIVEIN2WK-COM</t>
  </si>
  <si>
    <t>ROLL1W-COM</t>
  </si>
  <si>
    <t>ROLL OUT FEE 1X WK</t>
  </si>
  <si>
    <t>ROLL3W-COM</t>
  </si>
  <si>
    <t>ROLL OUT FEE 3X WK</t>
  </si>
  <si>
    <t>ROLL-COM</t>
  </si>
  <si>
    <t>ROLLOUT CONTAINER - COM</t>
  </si>
  <si>
    <t>ROLLEOW-COM</t>
  </si>
  <si>
    <t>ROLL OUT FEE EOW</t>
  </si>
  <si>
    <t>ADJ - COMM</t>
  </si>
  <si>
    <t>ADJUSTMENT SERVICE - COMM</t>
  </si>
  <si>
    <t>TOTAL COMMERCIAL GARBAGE</t>
  </si>
  <si>
    <t>DROP BOX SERVICES</t>
  </si>
  <si>
    <t>DROP BOX HAULS/RENTAL</t>
  </si>
  <si>
    <t>20YQHAUL</t>
  </si>
  <si>
    <t>20YD DROP BOX HAUL</t>
  </si>
  <si>
    <t>20YQFINAL</t>
  </si>
  <si>
    <t>20YD DROP BOX FINAL</t>
  </si>
  <si>
    <t>30YQHAUL</t>
  </si>
  <si>
    <t>30YD DROP BOX HAUL</t>
  </si>
  <si>
    <t>20YQCOMPC</t>
  </si>
  <si>
    <t>20YD COMP/CORR HAUL FEE</t>
  </si>
  <si>
    <t>40YCOMPT</t>
  </si>
  <si>
    <t>40YD COMP/TRASH HAUL FEE</t>
  </si>
  <si>
    <t>DEL - RO</t>
  </si>
  <si>
    <t>DELIVERY FEE - RO</t>
  </si>
  <si>
    <t>QDEL</t>
  </si>
  <si>
    <t>DROP BOX DELIVERY</t>
  </si>
  <si>
    <t>QMILE</t>
  </si>
  <si>
    <t>MILEAGE CHARGE</t>
  </si>
  <si>
    <t>QRENT</t>
  </si>
  <si>
    <t>MONTHLY DROP BOX RENTAL</t>
  </si>
  <si>
    <t>RENT20DAY-RO</t>
  </si>
  <si>
    <t>RENTAL 20 YD TEMP</t>
  </si>
  <si>
    <t>RENT20TEMP-RO</t>
  </si>
  <si>
    <t>RENT30DAY-RO</t>
  </si>
  <si>
    <t>RENTAL 30 YD TEMP</t>
  </si>
  <si>
    <t>ADJ - RO</t>
  </si>
  <si>
    <t>ADJUSTMENT SERVICE - RO</t>
  </si>
  <si>
    <t>PASSTHROUGH DISPOSAL</t>
  </si>
  <si>
    <t>DISP-RO</t>
  </si>
  <si>
    <t>DISPOSAL CHARGE - RO</t>
  </si>
  <si>
    <t>TOTAL PASSTHROUGH DISPOSAL</t>
  </si>
  <si>
    <t>FINCHG</t>
  </si>
  <si>
    <t>FINANCE CHARGE</t>
  </si>
  <si>
    <t>NSF FEES</t>
  </si>
  <si>
    <t>RETURNED CHECK FEE</t>
  </si>
  <si>
    <t>RETCK</t>
  </si>
  <si>
    <t>RETURNED CHECK</t>
  </si>
  <si>
    <t>TOTAL SERVICE CHARGES</t>
  </si>
  <si>
    <t>TOTAL REVENUE</t>
  </si>
  <si>
    <t>Columbia River Disposal, Inc. G-51</t>
  </si>
  <si>
    <t>BILL AREAS: BINGEN, DALLESPORT, LYLE</t>
  </si>
  <si>
    <t>April 15-March 16</t>
  </si>
  <si>
    <t>45R1W2</t>
  </si>
  <si>
    <t>2-45 GAL CANS WKLY</t>
  </si>
  <si>
    <t>45RE1</t>
  </si>
  <si>
    <t>1-45 GAL EOW</t>
  </si>
  <si>
    <t>45R1OC</t>
  </si>
  <si>
    <t>1-45 GAL CAN ON CALL</t>
  </si>
  <si>
    <t>BINGEN FUEL</t>
  </si>
  <si>
    <t>Note:  Data in cells E&amp;F is from our billing system records, in an external Excel document.  Values have been pasted to maintain data's integerity.</t>
  </si>
  <si>
    <t>Note:  Data in cell D is from our billing system records, in an external Excel document.  Values have been pasted to maintain data's integerity.</t>
  </si>
  <si>
    <t>Restating Explanations</t>
  </si>
  <si>
    <t>Per Income Statement</t>
  </si>
  <si>
    <t>Journal Entry Query Tool</t>
  </si>
  <si>
    <t>NOTE: Ctrl+Shift+J to pull data</t>
  </si>
  <si>
    <t>v.4.4</t>
  </si>
  <si>
    <t>Date Range:</t>
  </si>
  <si>
    <t>Other Criteria</t>
  </si>
  <si>
    <t>From:</t>
  </si>
  <si>
    <t>2015-04</t>
  </si>
  <si>
    <t>Districts:</t>
  </si>
  <si>
    <t>2025</t>
  </si>
  <si>
    <t>To:</t>
  </si>
  <si>
    <t>2016-03</t>
  </si>
  <si>
    <t>Accts:</t>
  </si>
  <si>
    <t>33000</t>
  </si>
  <si>
    <t>Total of Entries:</t>
  </si>
  <si>
    <t>*pstd: P = Posted, U = Unposted, S = Staged, C:0 = I/C Unposted, -1 = Hanging out there.</t>
  </si>
  <si>
    <t>Num of Entries Shown:</t>
  </si>
  <si>
    <t>*records shown limit:</t>
  </si>
  <si>
    <t>10000</t>
  </si>
  <si>
    <t>FullAcct</t>
  </si>
  <si>
    <t>Date</t>
  </si>
  <si>
    <t>Amount</t>
  </si>
  <si>
    <t>journal_ctrl_num**</t>
  </si>
  <si>
    <t>pstd*</t>
  </si>
  <si>
    <t>journal_description</t>
  </si>
  <si>
    <t>User</t>
  </si>
  <si>
    <t>R/Type</t>
  </si>
  <si>
    <t>vendor_code</t>
  </si>
  <si>
    <t>OneTimeVendor</t>
  </si>
  <si>
    <t>Further Description</t>
  </si>
  <si>
    <t>33000-2025-000-00</t>
  </si>
  <si>
    <t>JRNLWA00316635</t>
  </si>
  <si>
    <t>P</t>
  </si>
  <si>
    <t>MISC2- Processing Fee</t>
  </si>
  <si>
    <t>AdamJo</t>
  </si>
  <si>
    <t>0/JE IC</t>
  </si>
  <si>
    <t>True up prior owners Rev</t>
  </si>
  <si>
    <t>JRNLWA00319639</t>
  </si>
  <si>
    <t>MISC 4- Prior owner revenue</t>
  </si>
  <si>
    <t>TylerP</t>
  </si>
  <si>
    <t>0/JE STD</t>
  </si>
  <si>
    <t>Reclass prior owner revenue</t>
  </si>
  <si>
    <t>One-Time Acquisition True-Ups, to be excluded from rate filing.</t>
  </si>
  <si>
    <t>38000</t>
  </si>
  <si>
    <t>38000-2025-000-00</t>
  </si>
  <si>
    <t>JRNLWA00316597</t>
  </si>
  <si>
    <t>WESTERN PCARD REBATE APRIL</t>
  </si>
  <si>
    <t>JessH</t>
  </si>
  <si>
    <t>PCARD REBATE WESTERN APRIL</t>
  </si>
  <si>
    <t>JRNLWA00317771</t>
  </si>
  <si>
    <t>MAY PCARD REBATE - WESTERN</t>
  </si>
  <si>
    <t>PCARD REBATE WESTERN MAY</t>
  </si>
  <si>
    <t>JRNLWA00319449</t>
  </si>
  <si>
    <t>PCARD REBATE WESTERN JUNE</t>
  </si>
  <si>
    <t>HeatherWe</t>
  </si>
  <si>
    <t>JRNLWA00321078</t>
  </si>
  <si>
    <t>WESTERN PCARD REBATE JULY</t>
  </si>
  <si>
    <t>PCARD REBATE WESTERN JULY</t>
  </si>
  <si>
    <t>JRNLWA00322745</t>
  </si>
  <si>
    <t>WESTERN PCARD REBATE AUG</t>
  </si>
  <si>
    <t>PCARD REBATE WESTERN AUGUST</t>
  </si>
  <si>
    <t>JRNLWA00324258</t>
  </si>
  <si>
    <t>WESTERN PCARD REBATE SEPT</t>
  </si>
  <si>
    <t>PCARD REBATE WESTERN SEPTEMBER</t>
  </si>
  <si>
    <t>JRNLWA00325716</t>
  </si>
  <si>
    <t>WESTERN PCARD REBATE OCTOBER</t>
  </si>
  <si>
    <t>PCARD REBATE WESTERN OCTOBER</t>
  </si>
  <si>
    <t>JRNLWA00327361</t>
  </si>
  <si>
    <t>PCARD REBATE WESTERN NOVEMBER</t>
  </si>
  <si>
    <t>JRNLWA00328946</t>
  </si>
  <si>
    <t>PCARD REBATE WESTERN DECEMBER</t>
  </si>
  <si>
    <t>JRNLWA00330578</t>
  </si>
  <si>
    <t>PCARD REBATE WESTERN JANUARY</t>
  </si>
  <si>
    <t>MaribelV</t>
  </si>
  <si>
    <t>JRNLWA00332281</t>
  </si>
  <si>
    <t>PCARD REBATE WESTERN FEBRUARY</t>
  </si>
  <si>
    <t>JRNLWA00333838</t>
  </si>
  <si>
    <t>PCARD REBATE WESTERN</t>
  </si>
  <si>
    <t>PCARD REBATE WESTERN MARCH</t>
  </si>
  <si>
    <t>Pcards in 38001</t>
  </si>
  <si>
    <t xml:space="preserve">     P-Cards in 38000</t>
  </si>
  <si>
    <t>date_applied</t>
  </si>
  <si>
    <t>balance</t>
  </si>
  <si>
    <t>Journal</t>
  </si>
  <si>
    <t>pstd</t>
  </si>
  <si>
    <t>TypeCode</t>
  </si>
  <si>
    <t>OneTime</t>
  </si>
  <si>
    <t>Description</t>
  </si>
  <si>
    <t>date_doc</t>
  </si>
  <si>
    <t>doc_desc</t>
  </si>
  <si>
    <t>doc_ctrl_num</t>
  </si>
  <si>
    <t>po_ctrl_num</t>
  </si>
  <si>
    <t>vend_order_num</t>
  </si>
  <si>
    <t>ticket_num</t>
  </si>
  <si>
    <t>document_2</t>
  </si>
  <si>
    <t>document_1</t>
  </si>
  <si>
    <t>class_code</t>
  </si>
  <si>
    <t>date_entered</t>
  </si>
  <si>
    <t>date_posted</t>
  </si>
  <si>
    <t>amt_net</t>
  </si>
  <si>
    <t>date_due</t>
  </si>
  <si>
    <t>DBase</t>
  </si>
  <si>
    <t>reversing_flag</t>
  </si>
  <si>
    <t>hold_flag</t>
  </si>
  <si>
    <t>recurring_flag</t>
  </si>
  <si>
    <t>repeating_flag</t>
  </si>
  <si>
    <t>type_flag</t>
  </si>
  <si>
    <t>posted_flag</t>
  </si>
  <si>
    <t>seg1_code</t>
  </si>
  <si>
    <t>seg2_code</t>
  </si>
  <si>
    <t>seg3_code</t>
  </si>
  <si>
    <t>seg4_code</t>
  </si>
  <si>
    <t>staged_refCode</t>
  </si>
  <si>
    <t>Staged_DocRef</t>
  </si>
  <si>
    <t>Staged_YearMonth</t>
  </si>
  <si>
    <t>Staged_District</t>
  </si>
  <si>
    <t>Formulas</t>
  </si>
  <si>
    <t>Entries Shown Limit Setup:</t>
  </si>
  <si>
    <t>Other</t>
  </si>
  <si>
    <t>FromMonth:</t>
  </si>
  <si>
    <t>ToMonth:</t>
  </si>
  <si>
    <t>Current Month:</t>
  </si>
  <si>
    <t>Vendor Code:</t>
  </si>
  <si>
    <t>Amount From:</t>
  </si>
  <si>
    <t>Amount To:</t>
  </si>
  <si>
    <t>Posting:</t>
  </si>
  <si>
    <t>All</t>
  </si>
  <si>
    <t>Not included in print range</t>
  </si>
  <si>
    <t>database</t>
  </si>
  <si>
    <t>Seg1</t>
  </si>
  <si>
    <t>Seg2</t>
  </si>
  <si>
    <t>Seg3</t>
  </si>
  <si>
    <t>Seg4</t>
  </si>
  <si>
    <t>Staged_RefCode</t>
  </si>
  <si>
    <t>Staged Year Month</t>
  </si>
  <si>
    <t>Staged District</t>
  </si>
  <si>
    <t>VO Number</t>
  </si>
  <si>
    <t>JRNLWA00314545</t>
  </si>
  <si>
    <t>Rev 6- Fin Charges (HR, Dalles</t>
  </si>
  <si>
    <t>Def Fin charges</t>
  </si>
  <si>
    <t>JRNL00755581</t>
  </si>
  <si>
    <t>JRNL00755615</t>
  </si>
  <si>
    <t>wci_wa</t>
  </si>
  <si>
    <t>JRNLWA00316314</t>
  </si>
  <si>
    <t>JRNL00759139</t>
  </si>
  <si>
    <t>JRNLWA00316337</t>
  </si>
  <si>
    <t>JRNL00759157</t>
  </si>
  <si>
    <t>JRNLWA00318211</t>
  </si>
  <si>
    <t>JRNL00762882</t>
  </si>
  <si>
    <t>JRNLWA00318235</t>
  </si>
  <si>
    <t>JRNL00762926</t>
  </si>
  <si>
    <t>JRNLWA00319654</t>
  </si>
  <si>
    <t>JRNL00766030</t>
  </si>
  <si>
    <t>JRNLWA00319670</t>
  </si>
  <si>
    <t>JRNL00766051</t>
  </si>
  <si>
    <t>JRNLWA00321301</t>
  </si>
  <si>
    <t>JRNL00769502</t>
  </si>
  <si>
    <t>JRNLWA00321351</t>
  </si>
  <si>
    <t>JRNL00769588</t>
  </si>
  <si>
    <t>JRNLWA00322902</t>
  </si>
  <si>
    <t>JRNL00772580</t>
  </si>
  <si>
    <t>JRNLWA00323006</t>
  </si>
  <si>
    <t>JRNL00772704</t>
  </si>
  <si>
    <t>JRNLWA00324492</t>
  </si>
  <si>
    <t>JRNL00775963</t>
  </si>
  <si>
    <t>JRNLWA00324522</t>
  </si>
  <si>
    <t>JRNL00775986</t>
  </si>
  <si>
    <t>JRNLWA00326016</t>
  </si>
  <si>
    <t>JRNL00779122</t>
  </si>
  <si>
    <t>JRNLWA00326108</t>
  </si>
  <si>
    <t>JRNL00779163</t>
  </si>
  <si>
    <t>JRNLWA00327466</t>
  </si>
  <si>
    <t>JRNL00781962</t>
  </si>
  <si>
    <t>JRNLWA00327533</t>
  </si>
  <si>
    <t>JRNL00782013</t>
  </si>
  <si>
    <t>JRNLWA00329126</t>
  </si>
  <si>
    <t>JRNL00785203</t>
  </si>
  <si>
    <t>JRNLWA00329188</t>
  </si>
  <si>
    <t>JRNL00785239</t>
  </si>
  <si>
    <t>JRNLWA00330775</t>
  </si>
  <si>
    <t>JRNL00788469</t>
  </si>
  <si>
    <t>JRNLWA00330849</t>
  </si>
  <si>
    <t>JRNL00788543</t>
  </si>
  <si>
    <t>JRNLWA00332331</t>
  </si>
  <si>
    <t>JRNL00791645</t>
  </si>
  <si>
    <t>JRNLWA00332357</t>
  </si>
  <si>
    <t>JRNL00791666</t>
  </si>
  <si>
    <t>JRNLWA00333846</t>
  </si>
  <si>
    <t>JRNL00794658</t>
  </si>
  <si>
    <t>JRNLWA00316312</t>
  </si>
  <si>
    <t>Rev 1- RM Rev(HR,Dalles, CRD)</t>
  </si>
  <si>
    <t>JRNL00759137</t>
  </si>
  <si>
    <t>JRNLWA00318208</t>
  </si>
  <si>
    <t>JRNL00762879</t>
  </si>
  <si>
    <t>JRNLWA00319650</t>
  </si>
  <si>
    <t>JRNL00766015</t>
  </si>
  <si>
    <t>JRNLWA00321299</t>
  </si>
  <si>
    <t>JRNL00769500</t>
  </si>
  <si>
    <t>JRNLWA00322900</t>
  </si>
  <si>
    <t>JRNL00772578</t>
  </si>
  <si>
    <t>JRNLWA00324487</t>
  </si>
  <si>
    <t>JRNL00775958</t>
  </si>
  <si>
    <t>JRNLWA00326012</t>
  </si>
  <si>
    <t>JRNL00779118</t>
  </si>
  <si>
    <t>JRNLWA00327464</t>
  </si>
  <si>
    <t>JRNL00781960</t>
  </si>
  <si>
    <t>JRNLWA00329124</t>
  </si>
  <si>
    <t>JRNL00785201</t>
  </si>
  <si>
    <t>JRNLWA00330771</t>
  </si>
  <si>
    <t>JRNL00788465</t>
  </si>
  <si>
    <t>JRNLWA00332329</t>
  </si>
  <si>
    <t>JRNL00791643</t>
  </si>
  <si>
    <t>JRNLWA00333841</t>
  </si>
  <si>
    <t>JRNL00794653</t>
  </si>
  <si>
    <t>Total Finance Charges</t>
  </si>
  <si>
    <t>JRNL00759559</t>
  </si>
  <si>
    <t>JRNL00772269</t>
  </si>
  <si>
    <t>JRNL00784927</t>
  </si>
  <si>
    <t>JRNL00791581</t>
  </si>
  <si>
    <t>JRNL00788169</t>
  </si>
  <si>
    <t>JRNL00769160</t>
  </si>
  <si>
    <t>JRNL00765668</t>
  </si>
  <si>
    <t>JRNL00794646</t>
  </si>
  <si>
    <t>JRNL00762076</t>
  </si>
  <si>
    <t>JRNL00781912</t>
  </si>
  <si>
    <t>JRNL00778666</t>
  </si>
  <si>
    <t>JRNL00775488</t>
  </si>
  <si>
    <t>Total P-Cards Coded to 38000 in Error.  Should be coded to 38001.</t>
  </si>
  <si>
    <t>End of List</t>
  </si>
  <si>
    <t>Columbia River Disposal, Inc.  G-48 &amp; G-51</t>
  </si>
  <si>
    <t>Ratios Summary Tab</t>
  </si>
  <si>
    <t>RO</t>
  </si>
  <si>
    <t>Customer Count (Cust)</t>
  </si>
  <si>
    <t>Packer</t>
  </si>
  <si>
    <t>Route Hours (Rt Hrs)</t>
  </si>
  <si>
    <t>Cust</t>
  </si>
  <si>
    <t>Tons</t>
  </si>
  <si>
    <t>Total Increase</t>
  </si>
  <si>
    <t>Incr p/Ton</t>
  </si>
  <si>
    <t>Incr 9/1/15</t>
  </si>
  <si>
    <t>Columbia River Disposal, Inc. G-48/G-51</t>
  </si>
  <si>
    <t>Depreciation &amp; Average Investment Summary</t>
  </si>
  <si>
    <t>Beginning</t>
  </si>
  <si>
    <t>Ending</t>
  </si>
  <si>
    <t>Cost</t>
  </si>
  <si>
    <t>Salvage</t>
  </si>
  <si>
    <t>Test Year</t>
  </si>
  <si>
    <t>Accum Depr</t>
  </si>
  <si>
    <t>Investment</t>
  </si>
  <si>
    <t>Trucks</t>
  </si>
  <si>
    <t>Garbage</t>
  </si>
  <si>
    <t>Roll-off</t>
  </si>
  <si>
    <t>Total Trucks</t>
  </si>
  <si>
    <t>Containers</t>
  </si>
  <si>
    <t>Drop Boxes</t>
  </si>
  <si>
    <t>Total Cont, Carts,Totes</t>
  </si>
  <si>
    <t>Service Equipment</t>
  </si>
  <si>
    <t>Shop Equipment</t>
  </si>
  <si>
    <t>Office Equipment</t>
  </si>
  <si>
    <t>Total Equipment</t>
  </si>
  <si>
    <t>Regulatory Depreciation Schedule</t>
  </si>
  <si>
    <t>Months in first year</t>
  </si>
  <si>
    <t>Months in second year</t>
  </si>
  <si>
    <t>A.</t>
  </si>
  <si>
    <t>Purchase date</t>
  </si>
  <si>
    <t>First year</t>
  </si>
  <si>
    <t>B.</t>
  </si>
  <si>
    <t>End of Test Period</t>
  </si>
  <si>
    <t>Second year</t>
  </si>
  <si>
    <t>C</t>
  </si>
  <si>
    <t>Date fully Depr</t>
  </si>
  <si>
    <t>D.</t>
  </si>
  <si>
    <t>Beg of Test Period</t>
  </si>
  <si>
    <t>E.</t>
  </si>
  <si>
    <t>Disposition Date</t>
  </si>
  <si>
    <t>Date in Service</t>
  </si>
  <si>
    <t>Year</t>
  </si>
  <si>
    <t>Accumulated</t>
  </si>
  <si>
    <t>Branch</t>
  </si>
  <si>
    <t>Accum.</t>
  </si>
  <si>
    <t>Value</t>
  </si>
  <si>
    <t>Method</t>
  </si>
  <si>
    <t>Life</t>
  </si>
  <si>
    <t>Fully</t>
  </si>
  <si>
    <t>Asset</t>
  </si>
  <si>
    <t>Depreciable</t>
  </si>
  <si>
    <t>Monthly</t>
  </si>
  <si>
    <t>Test year</t>
  </si>
  <si>
    <t>Test yr.</t>
  </si>
  <si>
    <t>%</t>
  </si>
  <si>
    <t>Allo.</t>
  </si>
  <si>
    <t>Depr.</t>
  </si>
  <si>
    <t>Type</t>
  </si>
  <si>
    <t>Equip #</t>
  </si>
  <si>
    <t>DESCRIPTION</t>
  </si>
  <si>
    <t>Mo.</t>
  </si>
  <si>
    <t>Depreciated</t>
  </si>
  <si>
    <t xml:space="preserve">  Yr.</t>
  </si>
  <si>
    <t xml:space="preserve"> Mo.</t>
  </si>
  <si>
    <t>B</t>
  </si>
  <si>
    <t>C.</t>
  </si>
  <si>
    <t>Packer Trucks</t>
  </si>
  <si>
    <t>RL</t>
  </si>
  <si>
    <t>2008 Peterbilt 320 (U)</t>
  </si>
  <si>
    <t>S/L</t>
  </si>
  <si>
    <t>2015 Freightliner (N)</t>
  </si>
  <si>
    <t>1997 Peterbilt 320 (U)</t>
  </si>
  <si>
    <t>DEL</t>
  </si>
  <si>
    <t>2002 Ford F150 Delivery Trk (U)</t>
  </si>
  <si>
    <t>Dismount/Scrap Old Body #27</t>
  </si>
  <si>
    <t>Fleet Upgrades #27</t>
  </si>
  <si>
    <t>Fleet Upgrades #25</t>
  </si>
  <si>
    <t>Fleet Upgrades #22</t>
  </si>
  <si>
    <t>Body Swap #28</t>
  </si>
  <si>
    <t>2016 REL Freightliner (N)</t>
  </si>
  <si>
    <t>2000 UD Retriever (U)</t>
  </si>
  <si>
    <t>Total Packer Trucks</t>
  </si>
  <si>
    <t>Roll-Off Trucks</t>
  </si>
  <si>
    <t>1987 Mack MR686</t>
  </si>
  <si>
    <t>Fleet Upgrades #16</t>
  </si>
  <si>
    <t>2015 Volvo R/O Truck (U)</t>
  </si>
  <si>
    <t>Total Roll-off</t>
  </si>
  <si>
    <t>Garbage Containers</t>
  </si>
  <si>
    <t>1yd REL Container</t>
  </si>
  <si>
    <t>8yd REL Container</t>
  </si>
  <si>
    <t>1.5yd REL Container</t>
  </si>
  <si>
    <t>2yd REL Container</t>
  </si>
  <si>
    <t>4yd REL Container</t>
  </si>
  <si>
    <t>3yd REL Container</t>
  </si>
  <si>
    <t>2 yard REL Container</t>
  </si>
  <si>
    <t>1 yard REL Container</t>
  </si>
  <si>
    <t>Total Containers</t>
  </si>
  <si>
    <t>RO Boxes</t>
  </si>
  <si>
    <t>10yd R/O Boxes</t>
  </si>
  <si>
    <t>20yd R/O Boxes</t>
  </si>
  <si>
    <t>30yd R/O Boxes</t>
  </si>
  <si>
    <t>Total RO Boxes</t>
  </si>
  <si>
    <t>Total Containers &amp; RO Boxes</t>
  </si>
  <si>
    <t>Service Equpment</t>
  </si>
  <si>
    <t>Total Service Equipment</t>
  </si>
  <si>
    <t>Office Furniture for Carson Office</t>
  </si>
  <si>
    <t>Route Manager Site License</t>
  </si>
  <si>
    <t>Total Office Equipment</t>
  </si>
  <si>
    <t>Shop &amp; Garage Equipment</t>
  </si>
  <si>
    <t>2008 F550 Service Truck (U)</t>
  </si>
  <si>
    <t>Total Shop &amp; Garbage Equipment</t>
  </si>
  <si>
    <t>TOTAL ASSETS</t>
  </si>
  <si>
    <t>Columbia River Disposal, Inc.</t>
  </si>
  <si>
    <t>Districts/Grouping:</t>
  </si>
  <si>
    <t>Exclude IC:</t>
  </si>
  <si>
    <t>BS Close Report</t>
  </si>
  <si>
    <t>2015-03</t>
  </si>
  <si>
    <t>Other Trade A/R</t>
  </si>
  <si>
    <t>Other A/R</t>
  </si>
  <si>
    <t>AP - Other</t>
  </si>
  <si>
    <t>Item 50, Pg 16</t>
  </si>
  <si>
    <t>Item 51, Pg 17</t>
  </si>
  <si>
    <t>Item 55, Pg 18</t>
  </si>
  <si>
    <t>Item 60, Pg 18</t>
  </si>
  <si>
    <t>Item 70, Pg 19</t>
  </si>
  <si>
    <t>Item 80, Pg 21</t>
  </si>
  <si>
    <t>Item 90, Pg 22</t>
  </si>
  <si>
    <t>Item 100, pg 23</t>
  </si>
  <si>
    <t>Item 100, pg 24</t>
  </si>
  <si>
    <t>Item 120, pg 25</t>
  </si>
  <si>
    <t>Item 130, pg 25</t>
  </si>
  <si>
    <t>Item 150, pg 25</t>
  </si>
  <si>
    <t>Item 160, Pg 26</t>
  </si>
  <si>
    <t>Item 205, Pg 28</t>
  </si>
  <si>
    <t>Item 210, Pg 30</t>
  </si>
  <si>
    <t>Item 230, pg 31</t>
  </si>
  <si>
    <t>Item 240, pg 32</t>
  </si>
  <si>
    <t>Item 245, pg 33</t>
  </si>
  <si>
    <t>Item 260, Pg 34</t>
  </si>
  <si>
    <t>Item 275, Pg 35</t>
  </si>
  <si>
    <t>Revenue Requrement</t>
  </si>
  <si>
    <t>Less Pass Through DF</t>
  </si>
  <si>
    <t>Actual Increase Percent</t>
  </si>
  <si>
    <t>LG</t>
  </si>
  <si>
    <t>Payroll Detail</t>
  </si>
  <si>
    <t>Information in these cells was taken from the Payroll Register.</t>
  </si>
  <si>
    <t>Bonus</t>
  </si>
  <si>
    <t>Holiday</t>
  </si>
  <si>
    <t>Overtime</t>
  </si>
  <si>
    <t>Regular</t>
  </si>
  <si>
    <t>Vacation/PTO</t>
  </si>
  <si>
    <t>Restating Wage Adjustment</t>
  </si>
  <si>
    <t>Pro forma Wage Adjustment</t>
  </si>
  <si>
    <t>Sum of Hours</t>
  </si>
  <si>
    <t>Sum of Amount</t>
  </si>
  <si>
    <t>Total Sum of Hours</t>
  </si>
  <si>
    <t>Total Sum of Amount</t>
  </si>
  <si>
    <t>Raise Date</t>
  </si>
  <si>
    <t>Raise %</t>
  </si>
  <si>
    <t>Base Wage</t>
  </si>
  <si>
    <t>Restating Wage Adjust.</t>
  </si>
  <si>
    <t>Pro forma Wage Adjust.</t>
  </si>
  <si>
    <t>Beginning of Test Period</t>
  </si>
  <si>
    <t>Restatment Days</t>
  </si>
  <si>
    <t>Drivers - 500XX</t>
  </si>
  <si>
    <t>BONE, MATHEW</t>
  </si>
  <si>
    <t>BOX, CASEY</t>
  </si>
  <si>
    <t>ESCH, DANIEL</t>
  </si>
  <si>
    <t>MAURER, JACK</t>
  </si>
  <si>
    <t>NELSON, GREGORY</t>
  </si>
  <si>
    <t>NORDBY, DANIEL</t>
  </si>
  <si>
    <t>Total Drivers</t>
  </si>
  <si>
    <t>Mechanics = 520XX</t>
  </si>
  <si>
    <t>SCHULTZ, JASON</t>
  </si>
  <si>
    <t>Total Mechanic</t>
  </si>
  <si>
    <t>SPEER, JAMES</t>
  </si>
  <si>
    <t>Total Supervisor</t>
  </si>
  <si>
    <t>Customer Service - 700XX</t>
  </si>
  <si>
    <t>JIAMPETTI, DARCY</t>
  </si>
  <si>
    <t>WOOD, PRINCESS</t>
  </si>
  <si>
    <t>Total CSR</t>
  </si>
  <si>
    <t>Reconciliation to GL</t>
  </si>
  <si>
    <t>Drivers:</t>
  </si>
  <si>
    <t>Per Payroll Register</t>
  </si>
  <si>
    <t>G&amp;A (CSR's)</t>
  </si>
  <si>
    <t>Region Payroll Allocation In</t>
  </si>
  <si>
    <t>Division Controller/DVP Allocation In</t>
  </si>
  <si>
    <t>District Controller Allocation In</t>
  </si>
  <si>
    <t>Reconciled Difference</t>
  </si>
  <si>
    <t>Amortize Over Years</t>
  </si>
  <si>
    <t>Pro forma in Cost of Customer Notifications</t>
  </si>
  <si>
    <t>P-2</t>
  </si>
  <si>
    <t>P-1</t>
  </si>
  <si>
    <t xml:space="preserve">Pro forma 2016 Raises </t>
  </si>
  <si>
    <t>P-3</t>
  </si>
  <si>
    <t>2010 - Vancouver Hauling</t>
  </si>
  <si>
    <t>2051 - CRC</t>
  </si>
  <si>
    <t>2053 - Triangle</t>
  </si>
  <si>
    <t>2120 - Empire Disposal</t>
  </si>
  <si>
    <t>2125 - Spokane Transfer</t>
  </si>
  <si>
    <t>2011 - OPF</t>
  </si>
  <si>
    <t>2025 - CRD</t>
  </si>
  <si>
    <t>2046 - EWSI</t>
  </si>
  <si>
    <t>2044 - The Dalles</t>
  </si>
  <si>
    <t>2045 - Hood River</t>
  </si>
  <si>
    <t>2195 - Yakima Waste</t>
  </si>
  <si>
    <t>DVP/DivCon</t>
  </si>
  <si>
    <t>Other Compensation</t>
  </si>
  <si>
    <t>CRD Allocation IN</t>
  </si>
  <si>
    <t>Management Compensation Allocation</t>
  </si>
  <si>
    <r>
      <rPr>
        <b/>
        <sz val="11"/>
        <rFont val="Calibri"/>
        <family val="2"/>
        <scheme val="minor"/>
      </rPr>
      <t>Note:</t>
    </r>
    <r>
      <rPr>
        <sz val="11"/>
        <rFont val="Calibri"/>
        <family val="2"/>
        <scheme val="minor"/>
      </rPr>
      <t xml:space="preserve"> The Division Vice President and Division Controller's home district for payroll purposes is 2010.  During the year their regular compensation is coded to district 2010 and then allocated out to each of their districts based on the percentages of revenue shown below via a Journal Entry.  Their other compensation is not allocated out to each of the districts during the year therefore that must be done manually for this rate filing.</t>
    </r>
  </si>
  <si>
    <t>Region OH Allocation</t>
  </si>
  <si>
    <t>Allocation %</t>
  </si>
  <si>
    <t>2015 Customer Count</t>
  </si>
  <si>
    <t>CRD</t>
  </si>
  <si>
    <t>Gifts to Customers</t>
  </si>
  <si>
    <t>Immaterial - due to small adjustments each month.</t>
  </si>
  <si>
    <t>57324 Penalties</t>
  </si>
  <si>
    <t>Columbia River Disposal Inc.</t>
  </si>
  <si>
    <t>April 1, 2015 - March 2016</t>
  </si>
  <si>
    <t xml:space="preserve">Restating </t>
  </si>
  <si>
    <t>Proforma</t>
  </si>
  <si>
    <t>Per Book</t>
  </si>
  <si>
    <t>Present Level</t>
  </si>
  <si>
    <t xml:space="preserve">Residential </t>
  </si>
  <si>
    <t>Serv Charges</t>
  </si>
  <si>
    <t>P-Cards</t>
  </si>
  <si>
    <t xml:space="preserve">Dump Fee </t>
  </si>
  <si>
    <t>Corporate OH</t>
  </si>
  <si>
    <t>Depr-Collection Equip Trks</t>
  </si>
  <si>
    <t>Depr-Collection Cont,DB</t>
  </si>
  <si>
    <t>Disposal of Asset</t>
  </si>
  <si>
    <t>State B &amp; O Tax</t>
  </si>
  <si>
    <t>Property Rent</t>
  </si>
  <si>
    <t>Net Operating Income</t>
  </si>
  <si>
    <t>Net Average Investment</t>
  </si>
  <si>
    <t>Leasehold Improvement</t>
  </si>
  <si>
    <t>Interest</t>
  </si>
  <si>
    <t xml:space="preserve">Allocated </t>
  </si>
  <si>
    <t>Dump Fee Increase Calculation</t>
  </si>
  <si>
    <t>Average Annual</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</si>
  <si>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</si>
  <si>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</si>
  <si>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</si>
  <si>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</si>
  <si>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</si>
  <si>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</si>
  <si>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</si>
  <si>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</si>
  <si>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</si>
  <si>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</si>
  <si>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</si>
  <si>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</si>
  <si>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</si>
  <si>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</si>
  <si>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</si>
  <si>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</si>
  <si>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</si>
  <si>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</si>
  <si>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</si>
  <si>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</si>
  <si>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</si>
  <si>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</si>
  <si>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</si>
  <si>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</si>
  <si>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</si>
  <si>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</si>
  <si>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</si>
  <si>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</si>
  <si>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</si>
  <si>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Annual</t>
  </si>
  <si>
    <t>40 gallon Can</t>
  </si>
  <si>
    <t>Supercan 60</t>
  </si>
  <si>
    <t>Supercan 90</t>
  </si>
  <si>
    <t>Once a month</t>
  </si>
  <si>
    <t>Extras</t>
  </si>
  <si>
    <t>Com'l</t>
  </si>
  <si>
    <t>Yards</t>
  </si>
  <si>
    <t>1 yd container</t>
  </si>
  <si>
    <t>1.5 yd container</t>
  </si>
  <si>
    <t>2 yd container</t>
  </si>
  <si>
    <t>3 yd container</t>
  </si>
  <si>
    <t>4 yd container</t>
  </si>
  <si>
    <t>6 yd container</t>
  </si>
  <si>
    <t>8 yd container</t>
  </si>
  <si>
    <t>Compaction Ratio:   2:25</t>
  </si>
  <si>
    <t>2 yd packer/compactor</t>
  </si>
  <si>
    <t>4 yd packer/compactor</t>
  </si>
  <si>
    <t>6 yd packer/compactor</t>
  </si>
  <si>
    <t>Compaction Ratio:   3:1</t>
  </si>
  <si>
    <t>3 yd packer/compactor</t>
  </si>
  <si>
    <t>Compaction Ratio:   4:1</t>
  </si>
  <si>
    <t>Compaction Ratio:   5:1</t>
  </si>
  <si>
    <t>* not on meeks - calculated</t>
  </si>
  <si>
    <t xml:space="preserve">    weight times compaction ratio</t>
  </si>
  <si>
    <t>Per Ton</t>
  </si>
  <si>
    <t>Per Pound</t>
  </si>
  <si>
    <t>Gross Up Factors</t>
  </si>
  <si>
    <t xml:space="preserve">Current Rate </t>
  </si>
  <si>
    <t>B&amp;O tax</t>
  </si>
  <si>
    <t>New Rate per ton</t>
  </si>
  <si>
    <t>WUTC fees</t>
  </si>
  <si>
    <t>Transfer Station</t>
  </si>
  <si>
    <t>Increase per ton</t>
  </si>
  <si>
    <t>Factor</t>
  </si>
  <si>
    <t>Tons Collected</t>
  </si>
  <si>
    <t>Disposal Fee Revenue Increase</t>
  </si>
  <si>
    <t xml:space="preserve">Current </t>
  </si>
  <si>
    <t xml:space="preserve"> Frequency</t>
  </si>
  <si>
    <t>Annual PU's</t>
  </si>
  <si>
    <t>Meeks</t>
  </si>
  <si>
    <t>Weights</t>
  </si>
  <si>
    <t>Calculated</t>
  </si>
  <si>
    <t>Annual LBS</t>
  </si>
  <si>
    <t>Total Tonnage</t>
  </si>
  <si>
    <t>Total Pounds</t>
  </si>
  <si>
    <t>Total Pickups</t>
  </si>
  <si>
    <t>Adjustment Factor</t>
  </si>
  <si>
    <t>Total LBS</t>
  </si>
  <si>
    <t>Dump Fee Schedule</t>
  </si>
  <si>
    <t>Skamania</t>
  </si>
  <si>
    <t>TOTALS</t>
  </si>
  <si>
    <t>Roll Off Tons</t>
  </si>
  <si>
    <t>Packer Tons</t>
  </si>
  <si>
    <t>R/O PT</t>
  </si>
  <si>
    <t>Packer Disposal</t>
  </si>
  <si>
    <t>Klickitat</t>
  </si>
  <si>
    <t>Roll Off Yards - In County</t>
  </si>
  <si>
    <t>Packer Yards - In County</t>
  </si>
  <si>
    <t>Roll Off Yards - Out of County</t>
  </si>
  <si>
    <t>Packer Yards - Out of County</t>
  </si>
  <si>
    <t>Roll Off $ - In County</t>
  </si>
  <si>
    <t>Packer $ - In County</t>
  </si>
  <si>
    <t>Roll Off $ - Out of County</t>
  </si>
  <si>
    <t>Packer $ - Out of County</t>
  </si>
  <si>
    <t>Total R/O PT</t>
  </si>
  <si>
    <t>Total Packer Disp</t>
  </si>
  <si>
    <t>Total Disposal Exp</t>
  </si>
  <si>
    <t>Total Disposal Exp per GL</t>
  </si>
  <si>
    <t>PT Per GL</t>
  </si>
  <si>
    <t>Packer per GL</t>
  </si>
  <si>
    <t>PT Difference</t>
  </si>
  <si>
    <t>Total Difference</t>
  </si>
  <si>
    <t>Total G-48</t>
  </si>
  <si>
    <t>Packer Tonnage</t>
  </si>
  <si>
    <t>RO Tonnage</t>
  </si>
  <si>
    <t>Total Tons</t>
  </si>
  <si>
    <t>Packer Expense</t>
  </si>
  <si>
    <t>RO Expense</t>
  </si>
  <si>
    <t>Total Expense</t>
  </si>
  <si>
    <t>Packer Yardage</t>
  </si>
  <si>
    <t>RO Yardage</t>
  </si>
  <si>
    <t>Total G-51</t>
  </si>
  <si>
    <t>Site Manager - 560XX</t>
  </si>
  <si>
    <t>Additional Unit</t>
  </si>
  <si>
    <t>No Current Customers</t>
  </si>
  <si>
    <t>1-3YD CONT 1 X WEEKLY</t>
  </si>
  <si>
    <t>G-48 Disposal Fee Increase</t>
  </si>
  <si>
    <t>Pro forma Adjustments</t>
  </si>
  <si>
    <t>Pro forma effects of disposal increase effective 5/1/2016.</t>
  </si>
  <si>
    <t>Pro forma Disposal Increase</t>
  </si>
  <si>
    <t>3/1/2016 Current Tarrif Rate</t>
  </si>
  <si>
    <t>Proposed Increase</t>
  </si>
  <si>
    <t>6/1/2016 Proposed Tarrif Rate</t>
  </si>
  <si>
    <t>5/1/2016 Disposal Increase Included in Rates</t>
  </si>
  <si>
    <t>80099 Interest</t>
  </si>
  <si>
    <t>Per LG</t>
  </si>
  <si>
    <t>Over/(Under)</t>
  </si>
  <si>
    <t>Adjust Income Statement to Billing Records RS-1</t>
  </si>
  <si>
    <t>Restate 2015 Raises to Normalize Test Year RS-4</t>
  </si>
  <si>
    <t>Restate In Division Vice President and Division Controller Other Compensation RS-5</t>
  </si>
  <si>
    <t>Adjust UTC Fee to reflect actual test period expense RS-6</t>
  </si>
  <si>
    <t>Adjust B&amp;O tax to reflect actual test period expense RS-6</t>
  </si>
  <si>
    <t>Adjust Out Unallowable Expenses RS-3</t>
  </si>
  <si>
    <t>Adjust Bad Debt Expense to Actual RS-8</t>
  </si>
  <si>
    <t>Adjust Corporate &amp; Region OH allocations to allowable percentages based on previous rate case experience. RS-7</t>
  </si>
  <si>
    <t>Restate Deprec per books to UTC Methodology - RS-11</t>
  </si>
  <si>
    <t>Months</t>
  </si>
  <si>
    <t>Skamania County DF Increase</t>
  </si>
  <si>
    <t>Per Month</t>
  </si>
  <si>
    <t>Per Pick-Up</t>
  </si>
  <si>
    <t>Redelivery Fee</t>
  </si>
  <si>
    <t>60 Gal</t>
  </si>
  <si>
    <t>45 Gal</t>
  </si>
  <si>
    <t>Gate Charge</t>
  </si>
  <si>
    <t>Month</t>
  </si>
  <si>
    <t>Unlocking Charge</t>
  </si>
  <si>
    <t>Note:  Company is not requesting an increase in G-51.</t>
  </si>
  <si>
    <t>45 Gal Toter</t>
  </si>
  <si>
    <t>60 Gal Toter</t>
  </si>
  <si>
    <t>NEW IMPROVED LURITO - GALLAGHER FORMULA - Total Company-CRD</t>
  </si>
  <si>
    <t>NEW IMPROVED LURITO - GALLAGHER FORMULA - CRD G-48</t>
  </si>
  <si>
    <t>NEW IMPROVED LURITO - GALLAGHER FORMULA - CRD G-51</t>
  </si>
  <si>
    <t>Scheduled PU</t>
  </si>
</sst>
</file>

<file path=xl/styles.xml><?xml version="1.0" encoding="utf-8"?>
<styleSheet xmlns="http://schemas.openxmlformats.org/spreadsheetml/2006/main">
  <numFmts count="3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quot;&quot;"/>
    <numFmt numFmtId="166" formatCode="m/d/yy\ h:mm\ AM/PM"/>
    <numFmt numFmtId="167" formatCode="_(* #,##0,_);_(* \(#,##0,\);_(* &quot;-&quot;??_);_(@_)"/>
    <numFmt numFmtId="168" formatCode="0.0%"/>
    <numFmt numFmtId="169" formatCode="General_)"/>
    <numFmt numFmtId="170" formatCode="&quot;$&quot;#,##0"/>
    <numFmt numFmtId="171" formatCode="#,##0.0000"/>
    <numFmt numFmtId="172" formatCode="#,##0.000"/>
    <numFmt numFmtId="173" formatCode="0.0000%"/>
    <numFmt numFmtId="174" formatCode="#,##0.000000"/>
    <numFmt numFmtId="175" formatCode="&quot;$&quot;#,##0.00"/>
    <numFmt numFmtId="176" formatCode="&quot;$&quot;#,##0\ ;\(&quot;$&quot;#,##0\)"/>
    <numFmt numFmtId="177" formatCode="_(&quot;$&quot;* #,##0_);_(&quot;$&quot;* \(#,##0\);_(&quot;$&quot;* &quot;-&quot;??_);_(@_)"/>
    <numFmt numFmtId="178" formatCode="0.000%"/>
    <numFmt numFmtId="179" formatCode="0.00000%"/>
    <numFmt numFmtId="180" formatCode="[$-409]mmm\-yy;@"/>
    <numFmt numFmtId="181" formatCode="m/d/yy;@"/>
    <numFmt numFmtId="182" formatCode="[$-409]mmmm\ d\,\ yyyy;@"/>
    <numFmt numFmtId="183" formatCode="mm/dd/yy;@"/>
    <numFmt numFmtId="184" formatCode="m/dd/yy"/>
    <numFmt numFmtId="185" formatCode="_(&quot;$&quot;* #,##0.000_);_(&quot;$&quot;* \(#,##0.000\);_(&quot;$&quot;* &quot;-&quot;??_);_(@_)"/>
    <numFmt numFmtId="186" formatCode="_(* #,##0.000000_);_(* \(#,##0.000000\);_(* &quot;-&quot;??_);_(@_)"/>
    <numFmt numFmtId="187" formatCode="_(&quot;$&quot;* #,##0.000000_);_(&quot;$&quot;* \(#,##0.000000\);_(&quot;$&quot;* &quot;-&quot;??_);_(@_)"/>
    <numFmt numFmtId="188" formatCode="0.000000"/>
  </numFmts>
  <fonts count="135">
    <font>
      <sz val="11"/>
      <color theme="1"/>
      <name val="Calibri"/>
      <family val="2"/>
      <scheme val="minor"/>
    </font>
    <font>
      <sz val="11"/>
      <color theme="1"/>
      <name val="Calibri"/>
      <family val="2"/>
      <scheme val="minor"/>
    </font>
    <font>
      <sz val="12"/>
      <name val="Arial"/>
      <family val="2"/>
    </font>
    <font>
      <sz val="10"/>
      <name val="Arial"/>
      <family val="2"/>
    </font>
    <font>
      <sz val="10"/>
      <color indexed="8"/>
      <name val="Arial"/>
      <family val="2"/>
    </font>
    <font>
      <sz val="7"/>
      <name val="Arial"/>
      <family val="2"/>
    </font>
    <font>
      <sz val="12"/>
      <color indexed="8"/>
      <name val="Arial"/>
      <family val="2"/>
    </font>
    <font>
      <b/>
      <sz val="12"/>
      <color indexed="8"/>
      <name val="Arial"/>
      <family val="2"/>
    </font>
    <font>
      <sz val="12"/>
      <color indexed="12"/>
      <name val="Arial"/>
      <family val="2"/>
    </font>
    <font>
      <sz val="12"/>
      <color indexed="16"/>
      <name val="Arial"/>
      <family val="2"/>
    </font>
    <font>
      <b/>
      <sz val="10"/>
      <color indexed="16"/>
      <name val="Arial"/>
      <family val="2"/>
    </font>
    <font>
      <b/>
      <sz val="10"/>
      <name val="Arial"/>
      <family val="2"/>
    </font>
    <font>
      <b/>
      <sz val="10"/>
      <color indexed="8"/>
      <name val="Arial"/>
      <family val="2"/>
    </font>
    <font>
      <b/>
      <sz val="8"/>
      <name val="Arial"/>
      <family val="2"/>
    </font>
    <font>
      <sz val="7"/>
      <color indexed="8"/>
      <name val="Arial"/>
      <family val="2"/>
    </font>
    <font>
      <b/>
      <i/>
      <sz val="10"/>
      <color rgb="FFFF0000"/>
      <name val="Arial"/>
      <family val="2"/>
    </font>
    <font>
      <b/>
      <sz val="12"/>
      <color rgb="FFFF0000"/>
      <name val="Arial"/>
      <family val="2"/>
    </font>
    <font>
      <b/>
      <sz val="10"/>
      <color rgb="FFFF0000"/>
      <name val="Arial"/>
      <family val="2"/>
    </font>
    <font>
      <sz val="12"/>
      <name val="Helv"/>
    </font>
    <font>
      <sz val="8"/>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Times New Roman"/>
      <family val="1"/>
    </font>
    <font>
      <sz val="11"/>
      <color indexed="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b/>
      <sz val="11"/>
      <color indexed="8"/>
      <name val="Calibri"/>
      <family val="2"/>
    </font>
    <font>
      <sz val="12"/>
      <name val="Courier"/>
      <family val="3"/>
    </font>
    <font>
      <sz val="9"/>
      <color indexed="8"/>
      <name val="Arial"/>
      <family val="2"/>
    </font>
    <font>
      <b/>
      <sz val="10"/>
      <color indexed="12"/>
      <name val="Arial"/>
      <family val="2"/>
    </font>
    <font>
      <u/>
      <sz val="10"/>
      <color indexed="12"/>
      <name val="Arial"/>
      <family val="2"/>
    </font>
    <font>
      <u/>
      <sz val="11"/>
      <color indexed="12"/>
      <name val="Calibri"/>
      <family val="2"/>
    </font>
    <font>
      <sz val="10"/>
      <color indexed="12"/>
      <name val="Arial"/>
      <family val="2"/>
    </font>
    <font>
      <i/>
      <sz val="10"/>
      <color indexed="10"/>
      <name val="Arial"/>
      <family val="2"/>
    </font>
    <font>
      <sz val="10"/>
      <name val="MS Sans Serif"/>
      <family val="2"/>
    </font>
    <font>
      <b/>
      <sz val="10"/>
      <name val="MS Sans Serif"/>
      <family val="2"/>
    </font>
    <font>
      <sz val="8"/>
      <name val="Comic Sans MS"/>
      <family val="4"/>
    </font>
    <font>
      <sz val="8"/>
      <color indexed="8"/>
      <name val="Calibri"/>
      <family val="2"/>
    </font>
    <font>
      <b/>
      <u/>
      <sz val="8"/>
      <name val="Comic Sans MS"/>
      <family val="4"/>
    </font>
    <font>
      <b/>
      <sz val="8"/>
      <name val="Comic Sans MS"/>
      <family val="4"/>
    </font>
    <font>
      <i/>
      <sz val="8"/>
      <color rgb="FFFF0000"/>
      <name val="Comic Sans MS"/>
      <family val="4"/>
    </font>
    <font>
      <sz val="11"/>
      <color rgb="FF006100"/>
      <name val="Calibri"/>
      <family val="2"/>
      <scheme val="minor"/>
    </font>
    <font>
      <b/>
      <sz val="11"/>
      <color indexed="9"/>
      <name val="Calibri"/>
      <family val="2"/>
    </font>
    <font>
      <sz val="12"/>
      <name val="CG Omega"/>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1"/>
      <name val="Calibri"/>
      <family val="2"/>
    </font>
    <font>
      <u/>
      <sz val="11"/>
      <color theme="10"/>
      <name val="Calibri"/>
      <family val="2"/>
    </font>
    <font>
      <sz val="11"/>
      <color indexed="61"/>
      <name val="Calibri"/>
      <family val="2"/>
    </font>
    <font>
      <sz val="11"/>
      <color indexed="62"/>
      <name val="Calibri"/>
      <family val="2"/>
    </font>
    <font>
      <sz val="11"/>
      <color theme="1"/>
      <name val="Arial"/>
      <family val="2"/>
    </font>
    <font>
      <b/>
      <sz val="11"/>
      <color indexed="63"/>
      <name val="Calibri"/>
      <family val="2"/>
    </font>
    <font>
      <sz val="8"/>
      <color indexed="56"/>
      <name val="Arial"/>
      <family val="2"/>
    </font>
    <font>
      <sz val="12"/>
      <name val="Arial MT"/>
    </font>
    <font>
      <b/>
      <u/>
      <sz val="11"/>
      <name val="Arial"/>
      <family val="2"/>
    </font>
    <font>
      <b/>
      <sz val="18"/>
      <color indexed="61"/>
      <name val="Cambria"/>
      <family val="2"/>
    </font>
    <font>
      <b/>
      <sz val="18"/>
      <color indexed="56"/>
      <name val="Cambria"/>
      <family val="2"/>
    </font>
    <font>
      <sz val="11"/>
      <color indexed="10"/>
      <name val="Calibri"/>
      <family val="2"/>
    </font>
    <font>
      <b/>
      <sz val="12"/>
      <name val="Arial"/>
      <family val="2"/>
    </font>
    <font>
      <i/>
      <sz val="8"/>
      <name val="Arial"/>
      <family val="2"/>
    </font>
    <font>
      <i/>
      <sz val="10"/>
      <color indexed="8"/>
      <name val="Arial"/>
      <family val="2"/>
    </font>
    <font>
      <b/>
      <sz val="11"/>
      <color rgb="FF7030A0"/>
      <name val="Calibri"/>
      <family val="2"/>
      <scheme val="minor"/>
    </font>
    <font>
      <b/>
      <sz val="11"/>
      <name val="Calibri"/>
      <family val="2"/>
      <scheme val="minor"/>
    </font>
    <font>
      <sz val="11"/>
      <color rgb="FF7030A0"/>
      <name val="Calibri"/>
      <family val="2"/>
      <scheme val="minor"/>
    </font>
    <font>
      <sz val="11"/>
      <name val="Calibri"/>
      <family val="2"/>
      <scheme val="minor"/>
    </font>
    <font>
      <b/>
      <sz val="11"/>
      <color theme="1"/>
      <name val="Calibri"/>
      <family val="2"/>
      <scheme val="minor"/>
    </font>
    <font>
      <sz val="11"/>
      <name val="Calibri"/>
      <family val="2"/>
    </font>
    <font>
      <sz val="10"/>
      <color theme="1"/>
      <name val="Arial"/>
      <family val="2"/>
    </font>
    <font>
      <b/>
      <sz val="10"/>
      <color theme="1"/>
      <name val="Arial"/>
      <family val="2"/>
    </font>
    <font>
      <b/>
      <sz val="9"/>
      <name val="Arial"/>
      <family val="2"/>
    </font>
    <font>
      <sz val="9"/>
      <name val="Arial"/>
      <family val="2"/>
    </font>
    <font>
      <sz val="9"/>
      <color indexed="10"/>
      <name val="Arial"/>
      <family val="2"/>
    </font>
    <font>
      <b/>
      <u/>
      <sz val="9"/>
      <name val="Arial"/>
      <family val="2"/>
    </font>
    <font>
      <b/>
      <sz val="11"/>
      <color indexed="62"/>
      <name val="Calibri"/>
      <family val="2"/>
      <scheme val="minor"/>
    </font>
    <font>
      <b/>
      <u/>
      <sz val="11"/>
      <color theme="1"/>
      <name val="Calibri"/>
      <family val="2"/>
      <scheme val="minor"/>
    </font>
    <font>
      <strike/>
      <sz val="11"/>
      <name val="Calibri"/>
      <family val="2"/>
      <scheme val="minor"/>
    </font>
    <font>
      <sz val="9"/>
      <color theme="1"/>
      <name val="Calibri"/>
      <family val="2"/>
      <scheme val="minor"/>
    </font>
    <font>
      <b/>
      <sz val="9"/>
      <color theme="1"/>
      <name val="Calibri"/>
      <family val="2"/>
      <scheme val="minor"/>
    </font>
    <font>
      <b/>
      <u/>
      <sz val="11"/>
      <name val="Calibri"/>
      <family val="2"/>
      <scheme val="minor"/>
    </font>
    <font>
      <b/>
      <sz val="10"/>
      <color theme="1"/>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b/>
      <sz val="10"/>
      <color indexed="50"/>
      <name val="Calibri"/>
      <family val="2"/>
      <scheme val="minor"/>
    </font>
    <font>
      <b/>
      <u/>
      <sz val="10"/>
      <color indexed="8"/>
      <name val="Calibri"/>
      <family val="2"/>
      <scheme val="minor"/>
    </font>
    <font>
      <sz val="10"/>
      <name val="Calibri"/>
      <family val="2"/>
      <scheme val="minor"/>
    </font>
    <font>
      <b/>
      <sz val="10"/>
      <name val="Calibri"/>
      <family val="2"/>
      <scheme val="minor"/>
    </font>
    <font>
      <sz val="10"/>
      <color indexed="8"/>
      <name val="Tahoma"/>
      <family val="2"/>
    </font>
    <font>
      <b/>
      <sz val="14"/>
      <name val="Arial"/>
      <family val="2"/>
    </font>
    <font>
      <i/>
      <sz val="10"/>
      <name val="Arial"/>
      <family val="2"/>
    </font>
    <font>
      <sz val="10"/>
      <color indexed="61"/>
      <name val="Arial"/>
      <family val="2"/>
    </font>
    <font>
      <sz val="10"/>
      <color indexed="30"/>
      <name val="Arial"/>
      <family val="2"/>
    </font>
    <font>
      <b/>
      <i/>
      <sz val="11"/>
      <color indexed="60"/>
      <name val="Arial"/>
      <family val="2"/>
    </font>
    <font>
      <b/>
      <sz val="11"/>
      <color indexed="60"/>
      <name val="Arial"/>
      <family val="2"/>
    </font>
    <font>
      <b/>
      <sz val="9"/>
      <color indexed="81"/>
      <name val="Tahoma"/>
      <family val="2"/>
    </font>
    <font>
      <b/>
      <sz val="8"/>
      <color indexed="81"/>
      <name val="Tahoma"/>
      <family val="2"/>
    </font>
    <font>
      <b/>
      <sz val="11"/>
      <name val="Calibri"/>
      <family val="2"/>
    </font>
    <font>
      <b/>
      <u/>
      <sz val="11"/>
      <color rgb="FF5D34F4"/>
      <name val="Calibri"/>
      <family val="2"/>
    </font>
    <font>
      <b/>
      <sz val="9"/>
      <name val="Calibri"/>
      <family val="2"/>
      <scheme val="minor"/>
    </font>
    <font>
      <sz val="9"/>
      <name val="Calibri"/>
      <family val="2"/>
      <scheme val="minor"/>
    </font>
    <font>
      <sz val="8"/>
      <name val="Calibri"/>
      <family val="2"/>
      <scheme val="minor"/>
    </font>
    <font>
      <b/>
      <u/>
      <sz val="9"/>
      <name val="Calibri"/>
      <family val="2"/>
      <scheme val="minor"/>
    </font>
    <font>
      <sz val="9"/>
      <name val="Calibri"/>
      <family val="2"/>
    </font>
    <font>
      <b/>
      <sz val="9"/>
      <name val="Calibri"/>
      <family val="2"/>
    </font>
    <font>
      <sz val="9"/>
      <color indexed="9"/>
      <name val="Calibri"/>
      <family val="2"/>
    </font>
    <font>
      <b/>
      <u/>
      <sz val="9"/>
      <name val="Calibri"/>
      <family val="2"/>
    </font>
    <font>
      <sz val="9"/>
      <color rgb="FF2006BA"/>
      <name val="Calibri"/>
      <family val="2"/>
    </font>
    <font>
      <sz val="9"/>
      <color indexed="10"/>
      <name val="Calibri"/>
      <family val="2"/>
    </font>
    <font>
      <sz val="8"/>
      <color indexed="81"/>
      <name val="Tahoma"/>
      <family val="2"/>
    </font>
    <font>
      <b/>
      <sz val="12"/>
      <color indexed="12"/>
      <name val="Arial"/>
      <family val="2"/>
    </font>
    <font>
      <b/>
      <i/>
      <sz val="11"/>
      <color theme="1"/>
      <name val="Calibri"/>
      <family val="2"/>
      <scheme val="minor"/>
    </font>
    <font>
      <sz val="9"/>
      <color indexed="81"/>
      <name val="Tahoma"/>
      <family val="2"/>
    </font>
    <font>
      <b/>
      <sz val="8"/>
      <color rgb="FF5D34F4"/>
      <name val="Arial"/>
      <family val="2"/>
    </font>
    <font>
      <b/>
      <sz val="11"/>
      <color rgb="FF5D34F4"/>
      <name val="Calibri"/>
      <family val="2"/>
      <scheme val="minor"/>
    </font>
    <font>
      <sz val="10"/>
      <color indexed="30"/>
      <name val="Calibri"/>
      <family val="2"/>
      <scheme val="minor"/>
    </font>
    <font>
      <sz val="10"/>
      <color indexed="61"/>
      <name val="Calibri"/>
      <family val="2"/>
      <scheme val="minor"/>
    </font>
    <font>
      <b/>
      <sz val="10"/>
      <color indexed="60"/>
      <name val="Calibri"/>
      <family val="2"/>
      <scheme val="minor"/>
    </font>
    <font>
      <b/>
      <i/>
      <sz val="10"/>
      <color indexed="60"/>
      <name val="Calibri"/>
      <family val="2"/>
      <scheme val="minor"/>
    </font>
    <font>
      <b/>
      <sz val="10"/>
      <color rgb="FFFF0000"/>
      <name val="Calibri"/>
      <family val="2"/>
      <scheme val="minor"/>
    </font>
    <font>
      <b/>
      <sz val="10"/>
      <color rgb="FF5D34F4"/>
      <name val="Calibri"/>
      <family val="2"/>
      <scheme val="minor"/>
    </font>
    <font>
      <sz val="10"/>
      <color indexed="10"/>
      <name val="Calibri"/>
      <family val="2"/>
      <scheme val="minor"/>
    </font>
    <font>
      <b/>
      <sz val="11"/>
      <color rgb="FF000000"/>
      <name val="Calibri"/>
      <family val="2"/>
    </font>
    <font>
      <b/>
      <sz val="10"/>
      <color rgb="FF5D34F4"/>
      <name val="Arial"/>
      <family val="2"/>
    </font>
    <font>
      <b/>
      <sz val="9"/>
      <color indexed="8"/>
      <name val="Arial"/>
      <family val="2"/>
    </font>
    <font>
      <sz val="11"/>
      <color rgb="FFFF0000"/>
      <name val="Calibri"/>
      <family val="2"/>
      <scheme val="minor"/>
    </font>
  </fonts>
  <fills count="5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theme="6" tint="0.39997558519241921"/>
        <bgColor indexed="64"/>
      </patternFill>
    </fill>
    <fill>
      <patternFill patternType="solid">
        <fgColor rgb="FFC6EFCE"/>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48"/>
      </patternFill>
    </fill>
    <fill>
      <patternFill patternType="solid">
        <fgColor indexed="63"/>
      </patternFill>
    </fill>
    <fill>
      <patternFill patternType="solid">
        <fgColor indexed="55"/>
      </patternFill>
    </fill>
    <fill>
      <patternFill patternType="solid">
        <fgColor indexed="45"/>
        <bgColor indexed="64"/>
      </patternFill>
    </fill>
    <fill>
      <patternFill patternType="mediumGray">
        <fgColor indexed="22"/>
      </patternFill>
    </fill>
    <fill>
      <patternFill patternType="solid">
        <fgColor rgb="FF00B0F0"/>
        <bgColor indexed="64"/>
      </patternFill>
    </fill>
    <fill>
      <patternFill patternType="solid">
        <fgColor indexed="4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CC9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s>
  <borders count="42">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2"/>
      </left>
      <right style="double">
        <color indexed="62"/>
      </right>
      <top style="double">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2"/>
      </left>
      <right style="medium">
        <color indexed="62"/>
      </right>
      <top style="medium">
        <color indexed="62"/>
      </top>
      <bottom style="medium">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471">
    <xf numFmtId="0" fontId="0" fillId="0" borderId="0"/>
    <xf numFmtId="9" fontId="1" fillId="0" borderId="0" applyFont="0" applyFill="0" applyBorder="0" applyAlignment="0" applyProtection="0"/>
    <xf numFmtId="37" fontId="2" fillId="2" borderId="0" applyFill="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1" fontId="3" fillId="0" borderId="0"/>
    <xf numFmtId="43" fontId="3"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 fillId="0" borderId="0"/>
    <xf numFmtId="9" fontId="3" fillId="0" borderId="0" applyFont="0" applyFill="0" applyBorder="0" applyAlignment="0" applyProtection="0"/>
    <xf numFmtId="43" fontId="1" fillId="0" borderId="0" applyFont="0" applyFill="0" applyBorder="0" applyAlignment="0" applyProtection="0"/>
    <xf numFmtId="169" fontId="18" fillId="0" borderId="0"/>
    <xf numFmtId="43" fontId="22" fillId="0" borderId="0" applyFont="0" applyFill="0" applyBorder="0" applyAlignment="0" applyProtection="0"/>
    <xf numFmtId="0" fontId="22" fillId="0" borderId="0"/>
    <xf numFmtId="43" fontId="3" fillId="0" borderId="0" applyFon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3" fontId="3" fillId="0" borderId="0"/>
    <xf numFmtId="0" fontId="25" fillId="18" borderId="5" applyNumberFormat="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6" fillId="0" borderId="0" applyFon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8" fillId="19"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3" fillId="11" borderId="0" applyNumberFormat="0" applyBorder="0" applyAlignment="0" applyProtection="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20" borderId="10" applyNumberFormat="0" applyFont="0" applyAlignment="0" applyProtection="0"/>
    <xf numFmtId="0" fontId="3" fillId="0" borderId="0"/>
    <xf numFmtId="0" fontId="4" fillId="0" borderId="0">
      <alignment vertical="top"/>
    </xf>
    <xf numFmtId="0" fontId="4" fillId="0" borderId="0" applyNumberFormat="0" applyBorder="0" applyAlignment="0"/>
    <xf numFmtId="0" fontId="34" fillId="0" borderId="11" applyNumberFormat="0" applyFill="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 fontId="4" fillId="0" borderId="0"/>
    <xf numFmtId="0" fontId="35" fillId="0" borderId="0"/>
    <xf numFmtId="0" fontId="35" fillId="0" borderId="0"/>
    <xf numFmtId="0" fontId="36" fillId="21" borderId="1" applyAlignment="0">
      <alignment horizontal="right"/>
      <protection locked="0"/>
    </xf>
    <xf numFmtId="44" fontId="22" fillId="0" borderId="0" applyFont="0" applyFill="0" applyBorder="0" applyAlignment="0" applyProtection="0"/>
    <xf numFmtId="0" fontId="37" fillId="22" borderId="0">
      <alignment horizontal="right"/>
      <protection locked="0"/>
    </xf>
    <xf numFmtId="2" fontId="37" fillId="22" borderId="0">
      <alignment horizontal="right"/>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 fontId="40" fillId="23" borderId="0">
      <protection locked="0"/>
    </xf>
    <xf numFmtId="4" fontId="40" fillId="23" borderId="0">
      <protection locked="0"/>
    </xf>
    <xf numFmtId="43"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3" fillId="0" borderId="0"/>
    <xf numFmtId="0" fontId="3" fillId="0" borderId="0">
      <alignment wrapText="1"/>
    </xf>
    <xf numFmtId="0" fontId="3" fillId="0" borderId="0"/>
    <xf numFmtId="0" fontId="3" fillId="0" borderId="0"/>
    <xf numFmtId="168" fontId="41" fillId="0" borderId="0" applyNumberFormat="0"/>
    <xf numFmtId="9" fontId="3" fillId="0" borderId="0" applyFont="0" applyFill="0" applyBorder="0" applyAlignment="0" applyProtection="0"/>
    <xf numFmtId="9" fontId="22" fillId="0" borderId="0" applyFont="0" applyFill="0" applyBorder="0" applyAlignment="0" applyProtection="0"/>
    <xf numFmtId="168" fontId="3" fillId="0" borderId="0" applyFont="0" applyFill="0" applyBorder="0" applyAlignment="0" applyProtection="0"/>
    <xf numFmtId="10" fontId="3" fillId="0" borderId="0" applyFont="0" applyFill="0" applyBorder="0" applyAlignment="0" applyProtection="0"/>
    <xf numFmtId="0" fontId="42" fillId="0" borderId="0" applyNumberFormat="0" applyFont="0" applyFill="0" applyBorder="0" applyAlignment="0" applyProtection="0">
      <alignment horizontal="left"/>
    </xf>
    <xf numFmtId="0" fontId="43" fillId="0" borderId="2">
      <alignment horizontal="center"/>
    </xf>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3" fillId="0" borderId="0"/>
    <xf numFmtId="0" fontId="3" fillId="0" borderId="0"/>
    <xf numFmtId="0" fontId="3" fillId="0" borderId="0">
      <alignment wrapText="1"/>
    </xf>
    <xf numFmtId="0" fontId="3" fillId="0" borderId="0"/>
    <xf numFmtId="0" fontId="42" fillId="0" borderId="0"/>
    <xf numFmtId="0" fontId="18"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2" fillId="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3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1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34" borderId="0" applyNumberFormat="0" applyBorder="0" applyAlignment="0" applyProtection="0"/>
    <xf numFmtId="0" fontId="23" fillId="12"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41" fontId="3" fillId="0" borderId="0"/>
    <xf numFmtId="41" fontId="3" fillId="0" borderId="0"/>
    <xf numFmtId="41" fontId="3" fillId="0" borderId="0"/>
    <xf numFmtId="0" fontId="24" fillId="17" borderId="0" applyNumberFormat="0" applyBorder="0" applyAlignment="0" applyProtection="0"/>
    <xf numFmtId="3" fontId="3" fillId="0" borderId="0"/>
    <xf numFmtId="3" fontId="3" fillId="0" borderId="0"/>
    <xf numFmtId="3" fontId="3" fillId="0" borderId="0"/>
    <xf numFmtId="0" fontId="25" fillId="18" borderId="5" applyNumberFormat="0" applyAlignment="0" applyProtection="0"/>
    <xf numFmtId="0" fontId="25" fillId="9" borderId="5" applyNumberFormat="0" applyAlignment="0" applyProtection="0"/>
    <xf numFmtId="0" fontId="25" fillId="9" borderId="5" applyNumberFormat="0" applyAlignment="0" applyProtection="0"/>
    <xf numFmtId="0" fontId="50" fillId="37" borderId="12" applyNumberFormat="0" applyAlignment="0" applyProtection="0"/>
    <xf numFmtId="0" fontId="50" fillId="38" borderId="13" applyNumberFormat="0" applyAlignment="0" applyProtection="0"/>
    <xf numFmtId="0" fontId="3" fillId="39" borderId="0">
      <alignment horizontal="center"/>
    </xf>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1"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alignment vertical="top"/>
    </xf>
    <xf numFmtId="43" fontId="2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3" fontId="4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76" fontId="42" fillId="0" borderId="0" applyFont="0" applyFill="0" applyBorder="0" applyAlignment="0" applyProtection="0"/>
    <xf numFmtId="14" fontId="3" fillId="0" borderId="0"/>
    <xf numFmtId="0" fontId="52" fillId="0" borderId="0" applyNumberFormat="0" applyFill="0" applyBorder="0" applyAlignment="0" applyProtection="0"/>
    <xf numFmtId="0" fontId="52" fillId="0" borderId="0" applyNumberFormat="0" applyFill="0" applyBorder="0" applyAlignment="0" applyProtection="0"/>
    <xf numFmtId="1" fontId="3" fillId="0" borderId="0">
      <alignment horizontal="center"/>
    </xf>
    <xf numFmtId="0" fontId="28" fillId="19" borderId="0" applyNumberFormat="0" applyBorder="0" applyAlignment="0" applyProtection="0"/>
    <xf numFmtId="0" fontId="49" fillId="25" borderId="0" applyNumberFormat="0" applyBorder="0" applyAlignment="0" applyProtection="0"/>
    <xf numFmtId="0" fontId="29" fillId="0" borderId="6" applyNumberFormat="0" applyFill="0" applyAlignment="0" applyProtection="0"/>
    <xf numFmtId="0" fontId="53" fillId="0" borderId="14" applyNumberFormat="0" applyFill="0" applyAlignment="0" applyProtection="0"/>
    <xf numFmtId="0" fontId="53" fillId="0" borderId="14" applyNumberFormat="0" applyFill="0" applyAlignment="0" applyProtection="0"/>
    <xf numFmtId="0" fontId="30"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31" fillId="0" borderId="8"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1" borderId="5" applyNumberFormat="0" applyAlignment="0" applyProtection="0"/>
    <xf numFmtId="0" fontId="59" fillId="29" borderId="5" applyNumberFormat="0" applyAlignment="0" applyProtection="0"/>
    <xf numFmtId="0" fontId="32" fillId="0" borderId="9" applyNumberFormat="0" applyFill="0" applyAlignment="0" applyProtection="0"/>
    <xf numFmtId="0" fontId="32" fillId="0" borderId="9" applyNumberFormat="0" applyFill="0" applyAlignment="0" applyProtection="0"/>
    <xf numFmtId="0" fontId="33" fillId="11" borderId="0" applyNumberFormat="0" applyBorder="0" applyAlignment="0" applyProtection="0"/>
    <xf numFmtId="0" fontId="33" fillId="11" borderId="0" applyNumberFormat="0" applyBorder="0" applyAlignment="0" applyProtection="0"/>
    <xf numFmtId="0" fontId="22" fillId="0" borderId="0"/>
    <xf numFmtId="0" fontId="1"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60" fillId="0" borderId="0"/>
    <xf numFmtId="0" fontId="22" fillId="0" borderId="0"/>
    <xf numFmtId="0" fontId="60" fillId="0" borderId="0"/>
    <xf numFmtId="0" fontId="51" fillId="0" borderId="0"/>
    <xf numFmtId="0" fontId="22" fillId="0" borderId="0"/>
    <xf numFmtId="0" fontId="51"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169"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4" fillId="0" borderId="0">
      <alignment vertical="top"/>
    </xf>
    <xf numFmtId="0" fontId="3" fillId="0" borderId="0"/>
    <xf numFmtId="0" fontId="3" fillId="0" borderId="0"/>
    <xf numFmtId="0" fontId="3" fillId="0" borderId="0"/>
    <xf numFmtId="0" fontId="3" fillId="0" borderId="0"/>
    <xf numFmtId="0" fontId="3" fillId="0" borderId="0"/>
    <xf numFmtId="0" fontId="1" fillId="0" borderId="0"/>
    <xf numFmtId="0" fontId="22" fillId="0" borderId="0"/>
    <xf numFmtId="169" fontId="18" fillId="0" borderId="0"/>
    <xf numFmtId="0" fontId="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4" fillId="0" borderId="0">
      <alignment vertical="top"/>
    </xf>
    <xf numFmtId="0" fontId="4" fillId="0" borderId="0">
      <alignment vertical="top"/>
    </xf>
    <xf numFmtId="0" fontId="4" fillId="0" borderId="0">
      <alignment vertical="top"/>
    </xf>
    <xf numFmtId="0" fontId="22" fillId="0" borderId="0"/>
    <xf numFmtId="0" fontId="3" fillId="0" borderId="0"/>
    <xf numFmtId="0" fontId="22" fillId="0" borderId="0"/>
    <xf numFmtId="0" fontId="22"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20" borderId="10" applyNumberFormat="0" applyFont="0" applyAlignment="0" applyProtection="0"/>
    <xf numFmtId="0" fontId="19" fillId="20" borderId="10" applyNumberFormat="0" applyFont="0" applyAlignment="0" applyProtection="0"/>
    <xf numFmtId="0" fontId="19" fillId="20" borderId="10" applyNumberFormat="0" applyFont="0" applyAlignment="0" applyProtection="0"/>
    <xf numFmtId="0" fontId="31" fillId="18" borderId="16" applyNumberFormat="0" applyAlignment="0" applyProtection="0"/>
    <xf numFmtId="0" fontId="61" fillId="9" borderId="17"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38" fontId="62" fillId="0" borderId="0" applyNumberFormat="0" applyFont="0" applyFill="0" applyBorder="0">
      <alignment horizontal="left" indent="4"/>
      <protection locked="0"/>
    </xf>
    <xf numFmtId="15" fontId="42" fillId="0" borderId="0" applyFont="0" applyFill="0" applyBorder="0" applyAlignment="0" applyProtection="0"/>
    <xf numFmtId="4" fontId="42" fillId="0" borderId="0" applyFont="0" applyFill="0" applyBorder="0" applyAlignment="0" applyProtection="0"/>
    <xf numFmtId="3" fontId="42" fillId="0" borderId="0" applyFont="0" applyFill="0" applyBorder="0" applyAlignment="0" applyProtection="0"/>
    <xf numFmtId="0" fontId="42" fillId="40" borderId="0" applyNumberFormat="0" applyFont="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alignment vertical="top"/>
    </xf>
    <xf numFmtId="37" fontId="64" fillId="0" borderId="0"/>
    <xf numFmtId="0" fontId="65" fillId="0" borderId="0" applyNumberFormat="0" applyFill="0" applyBorder="0" applyAlignment="0" applyProtection="0"/>
    <xf numFmtId="0" fontId="66" fillId="0" borderId="0" applyNumberFormat="0" applyFill="0" applyBorder="0" applyAlignment="0" applyProtection="0"/>
    <xf numFmtId="0" fontId="34" fillId="0" borderId="11"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164" fontId="2" fillId="4" borderId="0" applyFont="0" applyFill="0" applyBorder="0" applyAlignment="0" applyProtection="0">
      <alignment wrapText="1"/>
    </xf>
    <xf numFmtId="0" fontId="3" fillId="0" borderId="0"/>
    <xf numFmtId="0" fontId="3" fillId="0" borderId="0"/>
    <xf numFmtId="0" fontId="1" fillId="0" borderId="0"/>
    <xf numFmtId="44" fontId="1" fillId="0" borderId="0" applyFont="0" applyFill="0" applyBorder="0" applyAlignment="0" applyProtection="0"/>
    <xf numFmtId="0" fontId="3" fillId="0" borderId="0"/>
    <xf numFmtId="0" fontId="3" fillId="0" borderId="0"/>
    <xf numFmtId="0" fontId="3" fillId="0" borderId="0"/>
    <xf numFmtId="0" fontId="22" fillId="0" borderId="0"/>
    <xf numFmtId="169" fontId="18" fillId="0" borderId="0"/>
    <xf numFmtId="0" fontId="3" fillId="0" borderId="0"/>
    <xf numFmtId="44" fontId="22" fillId="0" borderId="0" applyFont="0" applyFill="0" applyBorder="0" applyAlignment="0" applyProtection="0"/>
    <xf numFmtId="0" fontId="3" fillId="0" borderId="0"/>
    <xf numFmtId="37" fontId="2" fillId="2" borderId="0" applyFill="0"/>
    <xf numFmtId="0" fontId="27" fillId="0" borderId="0"/>
    <xf numFmtId="0" fontId="3" fillId="0" borderId="0"/>
    <xf numFmtId="0" fontId="3" fillId="0" borderId="0"/>
    <xf numFmtId="0" fontId="3" fillId="0" borderId="0"/>
    <xf numFmtId="169" fontId="18" fillId="0" borderId="0"/>
    <xf numFmtId="0" fontId="3" fillId="0" borderId="0"/>
    <xf numFmtId="0" fontId="1" fillId="0" borderId="0"/>
    <xf numFmtId="43" fontId="3" fillId="0" borderId="0" applyFont="0" applyFill="0" applyBorder="0" applyAlignment="0" applyProtection="0"/>
    <xf numFmtId="169" fontId="18" fillId="0" borderId="0"/>
  </cellStyleXfs>
  <cellXfs count="1125">
    <xf numFmtId="0" fontId="0" fillId="0" borderId="0" xfId="0"/>
    <xf numFmtId="37" fontId="3" fillId="0" borderId="0" xfId="2" applyFont="1" applyFill="1"/>
    <xf numFmtId="14" fontId="3" fillId="0" borderId="0" xfId="2" applyNumberFormat="1" applyFont="1" applyFill="1"/>
    <xf numFmtId="164" fontId="3" fillId="0" borderId="0" xfId="3" applyNumberFormat="1" applyFont="1" applyFill="1"/>
    <xf numFmtId="0" fontId="4" fillId="0" borderId="0" xfId="4" applyFont="1" applyAlignment="1">
      <alignment horizontal="left"/>
    </xf>
    <xf numFmtId="0" fontId="4" fillId="0" borderId="0" xfId="4" quotePrefix="1" applyFont="1" applyAlignment="1">
      <alignment horizontal="left"/>
    </xf>
    <xf numFmtId="0" fontId="4" fillId="0" borderId="0" xfId="4" applyFont="1"/>
    <xf numFmtId="164" fontId="4" fillId="0" borderId="0" xfId="5" applyNumberFormat="1" applyFont="1"/>
    <xf numFmtId="164" fontId="3" fillId="3" borderId="0" xfId="5" applyNumberFormat="1" applyFont="1" applyFill="1" applyBorder="1"/>
    <xf numFmtId="165" fontId="5" fillId="0" borderId="0" xfId="6" applyNumberFormat="1" applyFont="1" applyFill="1" applyBorder="1"/>
    <xf numFmtId="164" fontId="3" fillId="0" borderId="0" xfId="5" applyNumberFormat="1" applyFont="1" applyBorder="1"/>
    <xf numFmtId="0" fontId="3" fillId="0" borderId="0" xfId="7"/>
    <xf numFmtId="0" fontId="7" fillId="0" borderId="0" xfId="4" applyNumberFormat="1" applyFont="1"/>
    <xf numFmtId="0" fontId="6" fillId="0" borderId="0" xfId="4" applyNumberFormat="1" applyFont="1"/>
    <xf numFmtId="0" fontId="7" fillId="0" borderId="0" xfId="4" applyNumberFormat="1" applyFont="1" applyAlignment="1">
      <alignment horizontal="right"/>
    </xf>
    <xf numFmtId="49" fontId="8" fillId="0" borderId="0" xfId="4" applyNumberFormat="1" applyFont="1" applyAlignment="1">
      <alignment horizontal="right"/>
    </xf>
    <xf numFmtId="0" fontId="8" fillId="0" borderId="0" xfId="4" applyNumberFormat="1" applyFont="1" applyAlignment="1">
      <alignment horizontal="left"/>
    </xf>
    <xf numFmtId="0" fontId="9" fillId="0" borderId="0" xfId="4" applyNumberFormat="1" applyFont="1"/>
    <xf numFmtId="49" fontId="8" fillId="0" borderId="0" xfId="4" applyNumberFormat="1" applyFont="1" applyAlignment="1">
      <alignment horizontal="left"/>
    </xf>
    <xf numFmtId="166" fontId="10" fillId="0" borderId="0" xfId="4" quotePrefix="1" applyNumberFormat="1" applyFont="1" applyAlignment="1">
      <alignment horizontal="left"/>
    </xf>
    <xf numFmtId="0" fontId="4" fillId="0" borderId="0" xfId="4" applyNumberFormat="1" applyFont="1"/>
    <xf numFmtId="164" fontId="11" fillId="0" borderId="1" xfId="5" applyNumberFormat="1" applyFont="1" applyFill="1" applyBorder="1" applyAlignment="1">
      <alignment horizontal="centerContinuous"/>
    </xf>
    <xf numFmtId="0" fontId="11" fillId="0" borderId="1" xfId="4" applyFont="1" applyFill="1" applyBorder="1" applyAlignment="1">
      <alignment horizontal="centerContinuous"/>
    </xf>
    <xf numFmtId="164" fontId="11" fillId="0" borderId="1" xfId="5" quotePrefix="1" applyNumberFormat="1" applyFont="1" applyFill="1" applyBorder="1" applyAlignment="1">
      <alignment horizontal="centerContinuous"/>
    </xf>
    <xf numFmtId="17" fontId="11" fillId="0" borderId="2" xfId="5" applyNumberFormat="1" applyFont="1" applyFill="1" applyBorder="1" applyAlignment="1">
      <alignment horizontal="centerContinuous"/>
    </xf>
    <xf numFmtId="0" fontId="11" fillId="0" borderId="0" xfId="4" applyFont="1" applyBorder="1"/>
    <xf numFmtId="0" fontId="11" fillId="0" borderId="0" xfId="4" applyFont="1"/>
    <xf numFmtId="17" fontId="11" fillId="0" borderId="2" xfId="5" applyNumberFormat="1" applyFont="1" applyBorder="1" applyAlignment="1">
      <alignment horizontal="centerContinuous"/>
    </xf>
    <xf numFmtId="17" fontId="13" fillId="0" borderId="2" xfId="5" applyNumberFormat="1" applyFont="1" applyFill="1" applyBorder="1" applyAlignment="1">
      <alignment horizontal="centerContinuous"/>
    </xf>
    <xf numFmtId="0" fontId="14" fillId="0" borderId="0" xfId="4" applyFont="1"/>
    <xf numFmtId="164" fontId="14" fillId="0" borderId="0" xfId="5" applyNumberFormat="1" applyFont="1"/>
    <xf numFmtId="37" fontId="3" fillId="0" borderId="0" xfId="2" applyFont="1" applyFill="1" applyBorder="1"/>
    <xf numFmtId="164" fontId="4" fillId="0" borderId="1" xfId="5" applyNumberFormat="1" applyFont="1" applyBorder="1"/>
    <xf numFmtId="164" fontId="4" fillId="4" borderId="0" xfId="3" applyNumberFormat="1" applyFont="1" applyFill="1" applyBorder="1"/>
    <xf numFmtId="164" fontId="6" fillId="0" borderId="0" xfId="3" applyNumberFormat="1" applyFont="1"/>
    <xf numFmtId="164" fontId="4" fillId="0" borderId="0" xfId="3" applyNumberFormat="1" applyFont="1"/>
    <xf numFmtId="164" fontId="4" fillId="0" borderId="1" xfId="3" applyNumberFormat="1" applyFont="1" applyBorder="1"/>
    <xf numFmtId="0" fontId="4" fillId="0" borderId="0" xfId="4" quotePrefix="1" applyFont="1"/>
    <xf numFmtId="0" fontId="12" fillId="0" borderId="0" xfId="4" applyFont="1" applyAlignment="1">
      <alignment horizontal="left"/>
    </xf>
    <xf numFmtId="164" fontId="4" fillId="4" borderId="3" xfId="3" applyNumberFormat="1" applyFont="1" applyFill="1" applyBorder="1"/>
    <xf numFmtId="0" fontId="12" fillId="0" borderId="0" xfId="4" applyFont="1"/>
    <xf numFmtId="0" fontId="12" fillId="0" borderId="0" xfId="4" quotePrefix="1" applyFont="1" applyAlignment="1">
      <alignment horizontal="left"/>
    </xf>
    <xf numFmtId="164" fontId="3" fillId="0" borderId="0" xfId="3" applyNumberFormat="1" applyFont="1"/>
    <xf numFmtId="164" fontId="1" fillId="0" borderId="0" xfId="3" applyNumberFormat="1" applyFont="1"/>
    <xf numFmtId="0" fontId="3" fillId="0" borderId="0" xfId="7" applyFont="1"/>
    <xf numFmtId="0" fontId="12" fillId="5" borderId="0" xfId="4" quotePrefix="1" applyFont="1" applyFill="1" applyAlignment="1">
      <alignment horizontal="left"/>
    </xf>
    <xf numFmtId="0" fontId="4" fillId="5" borderId="0" xfId="4" applyFont="1" applyFill="1"/>
    <xf numFmtId="164" fontId="4" fillId="5" borderId="3" xfId="3" applyNumberFormat="1" applyFont="1" applyFill="1" applyBorder="1"/>
    <xf numFmtId="164" fontId="6" fillId="0" borderId="0" xfId="3" applyNumberFormat="1" applyFont="1" applyFill="1"/>
    <xf numFmtId="164" fontId="6" fillId="0" borderId="0" xfId="3" applyNumberFormat="1" applyFont="1" applyFill="1" applyBorder="1"/>
    <xf numFmtId="0" fontId="6" fillId="0" borderId="0" xfId="4" applyNumberFormat="1" applyFont="1" applyFill="1"/>
    <xf numFmtId="0" fontId="3" fillId="0" borderId="0" xfId="8" applyFont="1"/>
    <xf numFmtId="167" fontId="3" fillId="0" borderId="0" xfId="8" applyNumberFormat="1" applyFont="1"/>
    <xf numFmtId="164" fontId="14" fillId="0" borderId="0" xfId="3" applyNumberFormat="1" applyFont="1"/>
    <xf numFmtId="0" fontId="12" fillId="6" borderId="0" xfId="4" applyFont="1" applyFill="1" applyAlignment="1">
      <alignment horizontal="left"/>
    </xf>
    <xf numFmtId="0" fontId="4" fillId="6" borderId="0" xfId="4" applyFont="1" applyFill="1"/>
    <xf numFmtId="167" fontId="4" fillId="6" borderId="3" xfId="3" quotePrefix="1" applyNumberFormat="1" applyFont="1" applyFill="1" applyBorder="1"/>
    <xf numFmtId="164" fontId="5" fillId="0" borderId="0" xfId="3" applyNumberFormat="1" applyFont="1" applyFill="1" applyBorder="1"/>
    <xf numFmtId="164" fontId="4" fillId="4" borderId="4" xfId="3" applyNumberFormat="1" applyFont="1" applyFill="1" applyBorder="1"/>
    <xf numFmtId="164" fontId="3" fillId="0" borderId="0" xfId="5" applyNumberFormat="1" applyFont="1" applyFill="1"/>
    <xf numFmtId="164" fontId="4" fillId="7" borderId="0" xfId="3" applyNumberFormat="1" applyFont="1" applyFill="1" applyBorder="1"/>
    <xf numFmtId="164" fontId="4" fillId="7" borderId="0" xfId="3" applyNumberFormat="1" applyFont="1" applyFill="1"/>
    <xf numFmtId="164" fontId="5" fillId="7" borderId="0" xfId="3" applyNumberFormat="1" applyFont="1" applyFill="1" applyBorder="1"/>
    <xf numFmtId="164" fontId="15" fillId="0" borderId="0" xfId="5" applyNumberFormat="1" applyFont="1" applyFill="1" applyAlignment="1">
      <alignment horizontal="right"/>
    </xf>
    <xf numFmtId="0" fontId="16" fillId="0" borderId="0" xfId="4" applyNumberFormat="1" applyFont="1"/>
    <xf numFmtId="164" fontId="17" fillId="0" borderId="0" xfId="5" applyNumberFormat="1" applyFont="1" applyFill="1"/>
    <xf numFmtId="168" fontId="11" fillId="0" borderId="0" xfId="1" applyNumberFormat="1" applyFont="1" applyFill="1"/>
    <xf numFmtId="1" fontId="13" fillId="0" borderId="0" xfId="17" applyNumberFormat="1" applyFont="1" applyFill="1" applyBorder="1" applyAlignment="1">
      <alignment horizontal="left"/>
    </xf>
    <xf numFmtId="0" fontId="13" fillId="0" borderId="0" xfId="17" applyFont="1" applyBorder="1"/>
    <xf numFmtId="3" fontId="19" fillId="0" borderId="0" xfId="17" applyNumberFormat="1" applyFont="1" applyBorder="1"/>
    <xf numFmtId="0" fontId="19" fillId="0" borderId="0" xfId="17" applyFont="1" applyBorder="1"/>
    <xf numFmtId="37" fontId="13" fillId="0" borderId="0" xfId="17" applyNumberFormat="1" applyFont="1" applyFill="1" applyBorder="1" applyAlignment="1">
      <alignment horizontal="center"/>
    </xf>
    <xf numFmtId="37" fontId="19" fillId="0" borderId="0" xfId="17" applyNumberFormat="1" applyFont="1" applyFill="1" applyBorder="1" applyAlignment="1">
      <alignment horizontal="center"/>
    </xf>
    <xf numFmtId="37" fontId="19" fillId="0" borderId="0" xfId="17" applyNumberFormat="1" applyFont="1" applyFill="1" applyBorder="1"/>
    <xf numFmtId="0" fontId="19" fillId="0" borderId="0" xfId="17" applyFont="1" applyFill="1" applyBorder="1"/>
    <xf numFmtId="0" fontId="13" fillId="0" borderId="0" xfId="17" applyFont="1" applyBorder="1" applyAlignment="1"/>
    <xf numFmtId="3" fontId="13" fillId="0" borderId="0" xfId="0" applyNumberFormat="1" applyFont="1" applyBorder="1" applyAlignment="1">
      <alignment horizontal="center"/>
    </xf>
    <xf numFmtId="37" fontId="13" fillId="0" borderId="0" xfId="0" applyNumberFormat="1" applyFont="1" applyBorder="1" applyAlignment="1">
      <alignment horizontal="center"/>
    </xf>
    <xf numFmtId="3" fontId="13" fillId="0" borderId="0" xfId="17" applyNumberFormat="1" applyFont="1" applyBorder="1" applyAlignment="1">
      <alignment horizontal="center"/>
    </xf>
    <xf numFmtId="1" fontId="19" fillId="0" borderId="0" xfId="17" applyNumberFormat="1" applyFont="1" applyFill="1" applyBorder="1" applyAlignment="1">
      <alignment horizontal="right"/>
    </xf>
    <xf numFmtId="0" fontId="19" fillId="0" borderId="0" xfId="17" applyNumberFormat="1" applyFont="1" applyFill="1" applyBorder="1" applyAlignment="1">
      <alignment horizontal="center"/>
    </xf>
    <xf numFmtId="0" fontId="19" fillId="0" borderId="0" xfId="17" applyNumberFormat="1" applyFont="1" applyBorder="1" applyAlignment="1">
      <alignment horizontal="center"/>
    </xf>
    <xf numFmtId="164" fontId="19" fillId="0" borderId="0" xfId="21" applyNumberFormat="1" applyFont="1" applyBorder="1"/>
    <xf numFmtId="164" fontId="19" fillId="0" borderId="0" xfId="21" applyNumberFormat="1" applyFont="1" applyFill="1" applyBorder="1" applyAlignment="1">
      <alignment horizontal="right"/>
    </xf>
    <xf numFmtId="37" fontId="19" fillId="0" borderId="0" xfId="17" applyNumberFormat="1" applyFont="1" applyFill="1" applyBorder="1" applyAlignment="1">
      <alignment horizontal="right"/>
    </xf>
    <xf numFmtId="164" fontId="19" fillId="0" borderId="0" xfId="21" applyNumberFormat="1" applyFont="1" applyFill="1" applyBorder="1"/>
    <xf numFmtId="164" fontId="13" fillId="0" borderId="0" xfId="21" applyNumberFormat="1" applyFont="1" applyFill="1" applyBorder="1" applyAlignment="1">
      <alignment horizontal="center"/>
    </xf>
    <xf numFmtId="164" fontId="13" fillId="0" borderId="0" xfId="21" applyNumberFormat="1" applyFont="1" applyBorder="1"/>
    <xf numFmtId="164" fontId="13" fillId="0" borderId="0" xfId="21" applyNumberFormat="1" applyFont="1" applyFill="1" applyBorder="1"/>
    <xf numFmtId="164" fontId="19" fillId="0" borderId="0" xfId="3" applyNumberFormat="1" applyFont="1" applyBorder="1"/>
    <xf numFmtId="3" fontId="19" fillId="0" borderId="0" xfId="17" applyNumberFormat="1" applyFont="1" applyFill="1" applyBorder="1"/>
    <xf numFmtId="10" fontId="19" fillId="0" borderId="0" xfId="21" applyNumberFormat="1" applyFont="1" applyFill="1" applyBorder="1"/>
    <xf numFmtId="1" fontId="19" fillId="0" borderId="0" xfId="22" applyNumberFormat="1" applyFont="1" applyFill="1" applyBorder="1" applyAlignment="1">
      <alignment horizontal="right"/>
    </xf>
    <xf numFmtId="169" fontId="19" fillId="0" borderId="0" xfId="22" applyFont="1" applyBorder="1"/>
    <xf numFmtId="1" fontId="13" fillId="0" borderId="0" xfId="22" applyNumberFormat="1" applyFont="1" applyFill="1" applyBorder="1" applyAlignment="1">
      <alignment horizontal="right"/>
    </xf>
    <xf numFmtId="1" fontId="20" fillId="0" borderId="0" xfId="4" quotePrefix="1" applyNumberFormat="1" applyFont="1" applyFill="1" applyBorder="1" applyAlignment="1">
      <alignment horizontal="right"/>
    </xf>
    <xf numFmtId="164" fontId="13" fillId="0" borderId="0" xfId="21" applyNumberFormat="1" applyFont="1" applyFill="1" applyBorder="1" applyAlignment="1">
      <alignment horizontal="right"/>
    </xf>
    <xf numFmtId="1" fontId="13" fillId="0" borderId="0" xfId="17" applyNumberFormat="1" applyFont="1" applyFill="1" applyBorder="1" applyAlignment="1">
      <alignment horizontal="right"/>
    </xf>
    <xf numFmtId="164" fontId="19" fillId="0" borderId="0" xfId="3" applyNumberFormat="1" applyFont="1" applyFill="1" applyBorder="1"/>
    <xf numFmtId="3" fontId="19" fillId="0" borderId="0" xfId="22" applyNumberFormat="1" applyFont="1" applyFill="1" applyBorder="1"/>
    <xf numFmtId="37" fontId="19" fillId="0" borderId="0" xfId="17" quotePrefix="1" applyNumberFormat="1" applyFont="1" applyFill="1" applyBorder="1" applyAlignment="1">
      <alignment horizontal="center"/>
    </xf>
    <xf numFmtId="0" fontId="13" fillId="0" borderId="0" xfId="17" applyFont="1" applyFill="1" applyBorder="1"/>
    <xf numFmtId="169" fontId="13" fillId="0" borderId="0" xfId="22" applyFont="1" applyFill="1" applyBorder="1"/>
    <xf numFmtId="1" fontId="20" fillId="0" borderId="0" xfId="4" applyNumberFormat="1" applyFont="1" applyFill="1" applyBorder="1" applyAlignment="1">
      <alignment horizontal="right"/>
    </xf>
    <xf numFmtId="164" fontId="13" fillId="0" borderId="0" xfId="3" applyNumberFormat="1" applyFont="1" applyFill="1" applyBorder="1"/>
    <xf numFmtId="1" fontId="21" fillId="0" borderId="0" xfId="4" quotePrefix="1" applyNumberFormat="1" applyFont="1" applyFill="1" applyBorder="1" applyAlignment="1">
      <alignment horizontal="right"/>
    </xf>
    <xf numFmtId="10" fontId="13" fillId="0" borderId="0" xfId="17" applyNumberFormat="1" applyFont="1" applyBorder="1"/>
    <xf numFmtId="37" fontId="13" fillId="0" borderId="0" xfId="3" applyNumberFormat="1" applyFont="1" applyBorder="1"/>
    <xf numFmtId="37" fontId="0" fillId="0" borderId="0" xfId="0" applyNumberFormat="1"/>
    <xf numFmtId="37" fontId="4" fillId="0" borderId="0" xfId="4" applyNumberFormat="1" applyFont="1"/>
    <xf numFmtId="0" fontId="0" fillId="0" borderId="0" xfId="0" applyFill="1"/>
    <xf numFmtId="164" fontId="0" fillId="0" borderId="0" xfId="0" applyNumberFormat="1"/>
    <xf numFmtId="0" fontId="44" fillId="0" borderId="0" xfId="0" applyFont="1"/>
    <xf numFmtId="0" fontId="45" fillId="0" borderId="0" xfId="0" applyFont="1"/>
    <xf numFmtId="0" fontId="44" fillId="0" borderId="0" xfId="0" applyFont="1" applyAlignment="1"/>
    <xf numFmtId="0" fontId="44" fillId="0" borderId="0" xfId="0" applyFont="1" applyAlignment="1">
      <alignment horizontal="center"/>
    </xf>
    <xf numFmtId="0" fontId="44" fillId="0" borderId="0" xfId="0" applyNumberFormat="1" applyFont="1"/>
    <xf numFmtId="170" fontId="44" fillId="0" borderId="0" xfId="0" applyNumberFormat="1" applyFont="1" applyAlignment="1"/>
    <xf numFmtId="3" fontId="44" fillId="0" borderId="0" xfId="0" applyNumberFormat="1" applyFont="1" applyAlignment="1"/>
    <xf numFmtId="0" fontId="44" fillId="0" borderId="0" xfId="0" applyNumberFormat="1" applyFont="1" applyAlignment="1"/>
    <xf numFmtId="10" fontId="44" fillId="0" borderId="0" xfId="0" applyNumberFormat="1" applyFont="1"/>
    <xf numFmtId="3" fontId="44" fillId="0" borderId="0" xfId="0" applyNumberFormat="1" applyFont="1"/>
    <xf numFmtId="4" fontId="44" fillId="0" borderId="0" xfId="0" applyNumberFormat="1" applyFont="1"/>
    <xf numFmtId="171" fontId="44" fillId="0" borderId="0" xfId="0" applyNumberFormat="1" applyFont="1"/>
    <xf numFmtId="1" fontId="44" fillId="0" borderId="0" xfId="0" applyNumberFormat="1" applyFont="1" applyAlignment="1"/>
    <xf numFmtId="10" fontId="44" fillId="0" borderId="0" xfId="124" applyNumberFormat="1" applyFont="1" applyAlignment="1"/>
    <xf numFmtId="0" fontId="44" fillId="0" borderId="0" xfId="0" applyNumberFormat="1" applyFont="1" applyAlignment="1">
      <alignment horizontal="right"/>
    </xf>
    <xf numFmtId="0" fontId="44" fillId="0" borderId="0" xfId="0" applyFont="1" applyFill="1" applyAlignment="1"/>
    <xf numFmtId="0" fontId="44" fillId="0" borderId="0" xfId="0" applyNumberFormat="1" applyFont="1" applyAlignment="1">
      <alignment horizontal="center"/>
    </xf>
    <xf numFmtId="172" fontId="44" fillId="0" borderId="0" xfId="0" applyNumberFormat="1" applyFont="1"/>
    <xf numFmtId="173" fontId="44" fillId="0" borderId="0" xfId="0" applyNumberFormat="1" applyFont="1"/>
    <xf numFmtId="0" fontId="44" fillId="0" borderId="0" xfId="0" applyNumberFormat="1" applyFont="1" applyAlignment="1">
      <alignment horizontal="fill"/>
    </xf>
    <xf numFmtId="174" fontId="44" fillId="0" borderId="0" xfId="0" applyNumberFormat="1" applyFont="1"/>
    <xf numFmtId="10" fontId="44" fillId="0" borderId="0" xfId="0" applyNumberFormat="1" applyFont="1" applyFill="1"/>
    <xf numFmtId="9" fontId="44" fillId="0" borderId="0" xfId="0" applyNumberFormat="1" applyFont="1"/>
    <xf numFmtId="164" fontId="44" fillId="0" borderId="0" xfId="21" applyNumberFormat="1" applyFont="1" applyAlignment="1"/>
    <xf numFmtId="164" fontId="44" fillId="0" borderId="0" xfId="0" applyNumberFormat="1" applyFont="1" applyAlignment="1"/>
    <xf numFmtId="43" fontId="44" fillId="0" borderId="0" xfId="0" applyNumberFormat="1" applyFont="1" applyAlignment="1"/>
    <xf numFmtId="3" fontId="46" fillId="0" borderId="0" xfId="0" applyNumberFormat="1" applyFont="1" applyAlignment="1">
      <alignment horizontal="center"/>
    </xf>
    <xf numFmtId="0" fontId="46" fillId="0" borderId="0" xfId="0" applyFont="1" applyAlignment="1">
      <alignment horizontal="center"/>
    </xf>
    <xf numFmtId="170" fontId="44" fillId="0" borderId="0" xfId="0" applyNumberFormat="1" applyFont="1"/>
    <xf numFmtId="9" fontId="44" fillId="0" borderId="0" xfId="1" applyFont="1"/>
    <xf numFmtId="10" fontId="44" fillId="0" borderId="0" xfId="124" applyNumberFormat="1" applyFont="1"/>
    <xf numFmtId="10" fontId="44" fillId="0" borderId="0" xfId="0" applyNumberFormat="1" applyFont="1" applyAlignment="1"/>
    <xf numFmtId="168" fontId="44" fillId="0" borderId="0" xfId="1" applyNumberFormat="1" applyFont="1" applyAlignment="1"/>
    <xf numFmtId="0" fontId="48" fillId="0" borderId="0" xfId="0" applyFont="1" applyAlignment="1"/>
    <xf numFmtId="175" fontId="44" fillId="0" borderId="0" xfId="0" applyNumberFormat="1" applyFont="1" applyAlignment="1"/>
    <xf numFmtId="37" fontId="12" fillId="0" borderId="0" xfId="4" applyNumberFormat="1" applyFont="1"/>
    <xf numFmtId="164" fontId="19" fillId="0" borderId="0" xfId="21" applyNumberFormat="1" applyFont="1" applyBorder="1"/>
    <xf numFmtId="164" fontId="19" fillId="0" borderId="0" xfId="17" applyNumberFormat="1" applyFont="1" applyBorder="1"/>
    <xf numFmtId="0" fontId="3" fillId="0" borderId="0" xfId="17"/>
    <xf numFmtId="0" fontId="20" fillId="0" borderId="0" xfId="4" applyFont="1"/>
    <xf numFmtId="49" fontId="68" fillId="0" borderId="0" xfId="4" applyNumberFormat="1" applyFont="1"/>
    <xf numFmtId="0" fontId="69" fillId="0" borderId="0" xfId="17" applyFont="1" applyBorder="1"/>
    <xf numFmtId="0" fontId="44" fillId="0" borderId="0" xfId="0" applyNumberFormat="1" applyFont="1" applyFill="1"/>
    <xf numFmtId="0" fontId="44" fillId="0" borderId="0" xfId="0" applyNumberFormat="1" applyFont="1" applyFill="1" applyAlignment="1">
      <alignment horizontal="right"/>
    </xf>
    <xf numFmtId="170" fontId="44" fillId="0" borderId="0" xfId="0" applyNumberFormat="1" applyFont="1" applyFill="1" applyAlignment="1"/>
    <xf numFmtId="170" fontId="44" fillId="0" borderId="0" xfId="0" applyNumberFormat="1" applyFont="1" applyFill="1"/>
    <xf numFmtId="9" fontId="44" fillId="0" borderId="0" xfId="1" applyFont="1" applyFill="1"/>
    <xf numFmtId="164" fontId="4" fillId="3" borderId="0" xfId="3" applyNumberFormat="1" applyFont="1" applyFill="1"/>
    <xf numFmtId="0" fontId="70" fillId="0" borderId="0" xfId="4" applyNumberFormat="1" applyFont="1"/>
    <xf numFmtId="0" fontId="4" fillId="0" borderId="0" xfId="4" applyNumberFormat="1" applyFont="1" applyAlignment="1">
      <alignment horizontal="center"/>
    </xf>
    <xf numFmtId="0" fontId="4" fillId="0" borderId="1" xfId="4" applyFont="1" applyBorder="1"/>
    <xf numFmtId="164" fontId="20" fillId="0" borderId="0" xfId="3" applyNumberFormat="1" applyFont="1"/>
    <xf numFmtId="0" fontId="1" fillId="0" borderId="0" xfId="451"/>
    <xf numFmtId="0" fontId="4" fillId="7" borderId="0" xfId="4" applyFont="1" applyFill="1"/>
    <xf numFmtId="37" fontId="3" fillId="7" borderId="0" xfId="2" applyFont="1" applyFill="1" applyBorder="1"/>
    <xf numFmtId="37" fontId="3" fillId="7" borderId="0" xfId="2" applyFont="1" applyFill="1"/>
    <xf numFmtId="0" fontId="6" fillId="0" borderId="0" xfId="4" applyNumberFormat="1" applyFont="1" applyFill="1" applyBorder="1"/>
    <xf numFmtId="0" fontId="7" fillId="0" borderId="0" xfId="4" applyNumberFormat="1" applyFont="1" applyFill="1" applyBorder="1" applyAlignment="1">
      <alignment horizontal="right"/>
    </xf>
    <xf numFmtId="49" fontId="8" fillId="0" borderId="0" xfId="4" applyNumberFormat="1" applyFont="1" applyFill="1" applyBorder="1" applyAlignment="1">
      <alignment horizontal="left"/>
    </xf>
    <xf numFmtId="0" fontId="6" fillId="0" borderId="0" xfId="4" applyNumberFormat="1" applyFont="1" applyFill="1" applyBorder="1" applyAlignment="1">
      <alignment horizontal="centerContinuous"/>
    </xf>
    <xf numFmtId="0" fontId="8" fillId="0" borderId="0" xfId="4" applyNumberFormat="1" applyFont="1" applyFill="1" applyBorder="1" applyAlignment="1">
      <alignment horizontal="left"/>
    </xf>
    <xf numFmtId="0" fontId="0" fillId="0" borderId="0" xfId="0" applyFont="1"/>
    <xf numFmtId="43" fontId="71" fillId="0" borderId="0" xfId="45" applyFont="1"/>
    <xf numFmtId="0" fontId="72" fillId="0" borderId="0" xfId="0" applyFont="1"/>
    <xf numFmtId="0" fontId="73" fillId="0" borderId="0" xfId="0" applyFont="1"/>
    <xf numFmtId="0" fontId="74" fillId="0" borderId="0" xfId="0" applyFont="1"/>
    <xf numFmtId="0" fontId="74" fillId="0" borderId="0" xfId="0" applyFont="1" applyAlignment="1">
      <alignment horizontal="center"/>
    </xf>
    <xf numFmtId="0" fontId="75" fillId="0" borderId="0" xfId="0" applyFont="1" applyAlignment="1">
      <alignment horizontal="center"/>
    </xf>
    <xf numFmtId="10" fontId="73" fillId="0" borderId="0" xfId="119" applyNumberFormat="1" applyFont="1"/>
    <xf numFmtId="0" fontId="73" fillId="0" borderId="0" xfId="0" applyFont="1" applyBorder="1"/>
    <xf numFmtId="49" fontId="75" fillId="0" borderId="0" xfId="0" applyNumberFormat="1" applyFont="1" applyAlignment="1">
      <alignment horizontal="center"/>
    </xf>
    <xf numFmtId="0" fontId="72" fillId="0" borderId="0" xfId="453" quotePrefix="1" applyFont="1" applyFill="1" applyBorder="1" applyAlignment="1">
      <alignment horizontal="center" wrapText="1"/>
    </xf>
    <xf numFmtId="0" fontId="75" fillId="0" borderId="0" xfId="0" quotePrefix="1" applyFont="1" applyAlignment="1">
      <alignment horizontal="center"/>
    </xf>
    <xf numFmtId="1" fontId="74" fillId="0" borderId="0" xfId="2" applyNumberFormat="1" applyFont="1" applyFill="1" applyBorder="1"/>
    <xf numFmtId="37" fontId="74" fillId="0" borderId="0" xfId="2" applyFont="1" applyFill="1"/>
    <xf numFmtId="164" fontId="74" fillId="0" borderId="0" xfId="215" applyNumberFormat="1" applyFont="1" applyFill="1"/>
    <xf numFmtId="164" fontId="0" fillId="0" borderId="0" xfId="0" applyNumberFormat="1" applyFont="1" applyBorder="1"/>
    <xf numFmtId="43" fontId="71" fillId="0" borderId="0" xfId="45" applyFont="1" applyBorder="1"/>
    <xf numFmtId="164" fontId="72" fillId="0" borderId="0" xfId="0" applyNumberFormat="1" applyFont="1" applyBorder="1"/>
    <xf numFmtId="0" fontId="0" fillId="0" borderId="0" xfId="0" applyFont="1" applyBorder="1"/>
    <xf numFmtId="164" fontId="0" fillId="0" borderId="0" xfId="0" applyNumberFormat="1" applyFont="1" applyFill="1" applyBorder="1"/>
    <xf numFmtId="43" fontId="71" fillId="0" borderId="0" xfId="45" applyFont="1" applyFill="1" applyBorder="1"/>
    <xf numFmtId="164" fontId="72" fillId="0" borderId="0" xfId="0" applyNumberFormat="1" applyFont="1" applyFill="1" applyBorder="1"/>
    <xf numFmtId="164" fontId="74" fillId="0" borderId="1" xfId="215" applyNumberFormat="1" applyFont="1" applyFill="1" applyBorder="1"/>
    <xf numFmtId="164" fontId="0" fillId="0" borderId="1" xfId="0" applyNumberFormat="1" applyFont="1" applyBorder="1"/>
    <xf numFmtId="164" fontId="72" fillId="0" borderId="1" xfId="0" applyNumberFormat="1" applyFont="1" applyBorder="1"/>
    <xf numFmtId="177" fontId="74" fillId="0" borderId="0" xfId="452" applyNumberFormat="1" applyFont="1" applyFill="1"/>
    <xf numFmtId="164" fontId="72" fillId="0" borderId="0" xfId="0" applyNumberFormat="1" applyFont="1"/>
    <xf numFmtId="177" fontId="74" fillId="0" borderId="0" xfId="452" applyNumberFormat="1" applyFont="1" applyFill="1" applyBorder="1" applyAlignment="1">
      <alignment horizontal="right"/>
    </xf>
    <xf numFmtId="41" fontId="74" fillId="0" borderId="1" xfId="215" applyNumberFormat="1" applyFont="1" applyFill="1" applyBorder="1"/>
    <xf numFmtId="41" fontId="72" fillId="0" borderId="0" xfId="0" applyNumberFormat="1" applyFont="1"/>
    <xf numFmtId="10" fontId="74" fillId="0" borderId="19" xfId="421" applyNumberFormat="1" applyFont="1" applyFill="1" applyBorder="1"/>
    <xf numFmtId="10" fontId="74" fillId="0" borderId="0" xfId="421" applyNumberFormat="1" applyFont="1" applyFill="1" applyBorder="1"/>
    <xf numFmtId="10" fontId="72" fillId="0" borderId="19" xfId="421" applyNumberFormat="1" applyFont="1" applyFill="1" applyBorder="1"/>
    <xf numFmtId="37" fontId="76" fillId="0" borderId="0" xfId="2" applyFont="1" applyFill="1"/>
    <xf numFmtId="177" fontId="1" fillId="0" borderId="0" xfId="452" applyNumberFormat="1" applyFont="1"/>
    <xf numFmtId="177" fontId="1" fillId="0" borderId="0" xfId="452" applyNumberFormat="1" applyFont="1" applyBorder="1"/>
    <xf numFmtId="10" fontId="1" fillId="0" borderId="19" xfId="421" applyNumberFormat="1" applyFont="1" applyBorder="1"/>
    <xf numFmtId="10" fontId="1" fillId="0" borderId="0" xfId="421" applyNumberFormat="1" applyFont="1" applyBorder="1"/>
    <xf numFmtId="164" fontId="0" fillId="0" borderId="0" xfId="0" applyNumberFormat="1" applyFont="1"/>
    <xf numFmtId="0" fontId="75" fillId="0" borderId="0" xfId="0" applyFont="1" applyFill="1"/>
    <xf numFmtId="0" fontId="3" fillId="0" borderId="0" xfId="307" applyAlignment="1">
      <alignment horizontal="center"/>
    </xf>
    <xf numFmtId="164" fontId="0" fillId="0" borderId="0" xfId="3" applyNumberFormat="1" applyFont="1" applyAlignment="1">
      <alignment horizontal="center"/>
    </xf>
    <xf numFmtId="0" fontId="12" fillId="0" borderId="0" xfId="4" applyNumberFormat="1" applyFont="1" applyAlignment="1">
      <alignment horizontal="right"/>
    </xf>
    <xf numFmtId="173" fontId="12" fillId="41" borderId="0" xfId="4" applyNumberFormat="1" applyFont="1" applyFill="1" applyAlignment="1">
      <alignment horizontal="center"/>
    </xf>
    <xf numFmtId="0" fontId="3" fillId="6" borderId="0" xfId="307" applyFill="1" applyAlignment="1">
      <alignment horizontal="center"/>
    </xf>
    <xf numFmtId="164" fontId="0" fillId="6" borderId="0" xfId="3" applyNumberFormat="1" applyFont="1" applyFill="1" applyAlignment="1">
      <alignment horizontal="center"/>
    </xf>
    <xf numFmtId="164" fontId="3" fillId="6" borderId="0" xfId="3" applyNumberFormat="1" applyFont="1" applyFill="1" applyAlignment="1">
      <alignment horizontal="center"/>
    </xf>
    <xf numFmtId="0" fontId="6" fillId="0" borderId="2" xfId="4" applyNumberFormat="1" applyFont="1" applyBorder="1"/>
    <xf numFmtId="10" fontId="0" fillId="6" borderId="0" xfId="20" applyNumberFormat="1" applyFont="1" applyFill="1"/>
    <xf numFmtId="164" fontId="11" fillId="0" borderId="1" xfId="5" applyNumberFormat="1" applyFont="1" applyFill="1" applyBorder="1" applyAlignment="1"/>
    <xf numFmtId="0" fontId="4" fillId="0" borderId="1" xfId="4" applyNumberFormat="1" applyFont="1" applyBorder="1"/>
    <xf numFmtId="0" fontId="6" fillId="0" borderId="1" xfId="4" applyNumberFormat="1" applyFont="1" applyBorder="1"/>
    <xf numFmtId="164" fontId="11" fillId="0" borderId="0" xfId="5" applyNumberFormat="1" applyFont="1" applyFill="1" applyBorder="1" applyAlignment="1"/>
    <xf numFmtId="17" fontId="11" fillId="0" borderId="0" xfId="5" applyNumberFormat="1" applyFont="1" applyFill="1" applyBorder="1" applyAlignment="1">
      <alignment horizontal="centerContinuous"/>
    </xf>
    <xf numFmtId="44" fontId="3" fillId="0" borderId="0" xfId="452" applyFont="1" applyFill="1"/>
    <xf numFmtId="164" fontId="3" fillId="0" borderId="0" xfId="5" applyNumberFormat="1" applyFont="1" applyFill="1" applyAlignment="1">
      <alignment horizontal="right"/>
    </xf>
    <xf numFmtId="3" fontId="79" fillId="0" borderId="0" xfId="457" applyNumberFormat="1" applyFont="1" applyFill="1" applyBorder="1" applyAlignment="1">
      <alignment horizontal="left"/>
    </xf>
    <xf numFmtId="3" fontId="80" fillId="0" borderId="0" xfId="457" applyNumberFormat="1" applyFont="1" applyFill="1" applyBorder="1"/>
    <xf numFmtId="0" fontId="80" fillId="0" borderId="0" xfId="458" applyFont="1" applyFill="1"/>
    <xf numFmtId="3" fontId="80" fillId="0" borderId="0" xfId="458" applyNumberFormat="1" applyFont="1" applyFill="1"/>
    <xf numFmtId="169" fontId="80" fillId="0" borderId="0" xfId="457" applyFont="1" applyFill="1" applyBorder="1" applyAlignment="1">
      <alignment horizontal="center"/>
    </xf>
    <xf numFmtId="169" fontId="80" fillId="0" borderId="0" xfId="457" applyFont="1" applyFill="1" applyBorder="1"/>
    <xf numFmtId="3" fontId="80" fillId="0" borderId="0" xfId="457" applyNumberFormat="1" applyFont="1" applyFill="1" applyBorder="1" applyAlignment="1">
      <alignment horizontal="center"/>
    </xf>
    <xf numFmtId="3" fontId="79" fillId="42" borderId="0" xfId="457" applyNumberFormat="1" applyFont="1" applyFill="1" applyBorder="1" applyAlignment="1">
      <alignment horizontal="center"/>
    </xf>
    <xf numFmtId="3" fontId="79" fillId="0" borderId="0" xfId="457" applyNumberFormat="1" applyFont="1" applyFill="1" applyBorder="1" applyAlignment="1">
      <alignment horizontal="center"/>
    </xf>
    <xf numFmtId="0" fontId="79" fillId="0" borderId="0" xfId="458" applyFont="1" applyFill="1"/>
    <xf numFmtId="0" fontId="79" fillId="0" borderId="0" xfId="458" applyFont="1" applyFill="1" applyAlignment="1">
      <alignment horizontal="center"/>
    </xf>
    <xf numFmtId="3" fontId="79" fillId="0" borderId="1" xfId="457" applyNumberFormat="1" applyFont="1" applyFill="1" applyBorder="1" applyAlignment="1">
      <alignment horizontal="center"/>
    </xf>
    <xf numFmtId="0" fontId="79" fillId="0" borderId="0" xfId="458" applyFont="1" applyFill="1" applyBorder="1" applyAlignment="1">
      <alignment horizontal="center"/>
    </xf>
    <xf numFmtId="3" fontId="79" fillId="0" borderId="0" xfId="458" applyNumberFormat="1" applyFont="1" applyFill="1" applyAlignment="1">
      <alignment horizontal="center"/>
    </xf>
    <xf numFmtId="169" fontId="79" fillId="0" borderId="0" xfId="457" applyFont="1" applyFill="1" applyBorder="1"/>
    <xf numFmtId="0" fontId="79" fillId="0" borderId="1" xfId="458" applyFont="1" applyFill="1" applyBorder="1" applyAlignment="1">
      <alignment horizontal="center"/>
    </xf>
    <xf numFmtId="0" fontId="79" fillId="0" borderId="1" xfId="458" applyFont="1" applyFill="1" applyBorder="1"/>
    <xf numFmtId="3" fontId="80" fillId="0" borderId="1" xfId="458" applyNumberFormat="1" applyFont="1" applyFill="1" applyBorder="1"/>
    <xf numFmtId="1" fontId="80" fillId="0" borderId="0" xfId="458" applyNumberFormat="1" applyFont="1" applyFill="1" applyBorder="1" applyAlignment="1">
      <alignment horizontal="right"/>
    </xf>
    <xf numFmtId="0" fontId="80" fillId="0" borderId="0" xfId="458" applyFont="1" applyFill="1" applyBorder="1"/>
    <xf numFmtId="164" fontId="80" fillId="0" borderId="0" xfId="45" applyNumberFormat="1" applyFont="1" applyFill="1" applyBorder="1"/>
    <xf numFmtId="164" fontId="80" fillId="0" borderId="0" xfId="45" applyNumberFormat="1" applyFont="1" applyFill="1"/>
    <xf numFmtId="0" fontId="80" fillId="0" borderId="0" xfId="457" applyNumberFormat="1" applyFont="1" applyFill="1" applyBorder="1" applyAlignment="1">
      <alignment horizontal="center"/>
    </xf>
    <xf numFmtId="0" fontId="79" fillId="0" borderId="0" xfId="457" applyNumberFormat="1" applyFont="1" applyFill="1" applyBorder="1" applyAlignment="1">
      <alignment horizontal="center"/>
    </xf>
    <xf numFmtId="164" fontId="79" fillId="0" borderId="0" xfId="45" applyNumberFormat="1" applyFont="1" applyFill="1" applyBorder="1"/>
    <xf numFmtId="0" fontId="81" fillId="0" borderId="0" xfId="458" applyFont="1" applyFill="1"/>
    <xf numFmtId="37" fontId="80" fillId="0" borderId="0" xfId="457" applyNumberFormat="1" applyFont="1" applyFill="1" applyBorder="1"/>
    <xf numFmtId="0" fontId="36" fillId="0" borderId="0" xfId="458" applyFont="1" applyFill="1" applyBorder="1"/>
    <xf numFmtId="164" fontId="80" fillId="0" borderId="0" xfId="458" applyNumberFormat="1" applyFont="1" applyFill="1"/>
    <xf numFmtId="164" fontId="79" fillId="0" borderId="0" xfId="45" applyNumberFormat="1" applyFont="1" applyFill="1"/>
    <xf numFmtId="0" fontId="82" fillId="0" borderId="0" xfId="458" applyFont="1" applyFill="1"/>
    <xf numFmtId="169" fontId="80" fillId="0" borderId="0" xfId="457" quotePrefix="1" applyFont="1" applyFill="1" applyBorder="1"/>
    <xf numFmtId="0" fontId="1" fillId="0" borderId="0" xfId="0" applyFont="1"/>
    <xf numFmtId="0" fontId="74" fillId="43" borderId="0" xfId="0" applyFont="1" applyFill="1"/>
    <xf numFmtId="37" fontId="74" fillId="0" borderId="0" xfId="461" applyFont="1" applyFill="1"/>
    <xf numFmtId="180" fontId="83" fillId="0" borderId="0" xfId="461" applyNumberFormat="1" applyFont="1" applyFill="1" applyBorder="1" applyAlignment="1">
      <alignment horizontal="center" wrapText="1"/>
    </xf>
    <xf numFmtId="37" fontId="74" fillId="0" borderId="0" xfId="461" applyFont="1" applyFill="1" applyBorder="1"/>
    <xf numFmtId="49" fontId="84" fillId="0" borderId="0" xfId="0" applyNumberFormat="1" applyFont="1" applyAlignment="1">
      <alignment horizontal="center"/>
    </xf>
    <xf numFmtId="37" fontId="83" fillId="5" borderId="24" xfId="461" applyFont="1" applyFill="1" applyBorder="1"/>
    <xf numFmtId="37" fontId="74" fillId="0" borderId="0" xfId="461" applyFont="1" applyFill="1" applyAlignment="1">
      <alignment horizontal="left" indent="1"/>
    </xf>
    <xf numFmtId="37" fontId="74" fillId="0" borderId="0" xfId="461" applyFont="1" applyFill="1" applyAlignment="1">
      <alignment horizontal="left" indent="2"/>
    </xf>
    <xf numFmtId="37" fontId="85" fillId="0" borderId="0" xfId="461" applyFont="1" applyFill="1" applyBorder="1" applyAlignment="1">
      <alignment horizontal="right"/>
    </xf>
    <xf numFmtId="37" fontId="74" fillId="0" borderId="0" xfId="461" applyFont="1" applyFill="1" applyAlignment="1"/>
    <xf numFmtId="0" fontId="74" fillId="2" borderId="0" xfId="461" applyNumberFormat="1" applyFont="1"/>
    <xf numFmtId="177" fontId="74" fillId="0" borderId="2" xfId="452" applyNumberFormat="1" applyFont="1" applyFill="1" applyBorder="1" applyAlignment="1">
      <alignment horizontal="right"/>
    </xf>
    <xf numFmtId="0" fontId="3" fillId="0" borderId="0" xfId="460"/>
    <xf numFmtId="0" fontId="74" fillId="0" borderId="0" xfId="258" applyFont="1" applyFill="1"/>
    <xf numFmtId="37" fontId="74" fillId="0" borderId="0" xfId="461" applyFont="1" applyFill="1" applyAlignment="1">
      <alignment horizontal="left" indent="3"/>
    </xf>
    <xf numFmtId="37" fontId="85" fillId="0" borderId="0" xfId="461" applyFont="1" applyFill="1" applyAlignment="1">
      <alignment horizontal="right"/>
    </xf>
    <xf numFmtId="164" fontId="1" fillId="0" borderId="0" xfId="0" applyNumberFormat="1" applyFont="1"/>
    <xf numFmtId="37" fontId="74" fillId="0" borderId="0" xfId="461" applyFont="1" applyFill="1" applyBorder="1" applyAlignment="1">
      <alignment horizontal="right"/>
    </xf>
    <xf numFmtId="37" fontId="74" fillId="0" borderId="0" xfId="461" applyFont="1" applyFill="1" applyAlignment="1">
      <alignment horizontal="left"/>
    </xf>
    <xf numFmtId="0" fontId="74" fillId="0" borderId="0" xfId="460" applyFont="1"/>
    <xf numFmtId="37" fontId="74" fillId="0" borderId="1" xfId="461" applyFont="1" applyFill="1" applyBorder="1"/>
    <xf numFmtId="177" fontId="1" fillId="0" borderId="0" xfId="0" applyNumberFormat="1" applyFont="1" applyBorder="1"/>
    <xf numFmtId="0" fontId="1" fillId="0" borderId="0" xfId="0" applyFont="1" applyBorder="1"/>
    <xf numFmtId="0" fontId="86" fillId="0" borderId="25" xfId="0" applyFont="1" applyBorder="1"/>
    <xf numFmtId="0" fontId="87" fillId="0" borderId="26" xfId="0" applyFont="1" applyBorder="1"/>
    <xf numFmtId="0" fontId="1" fillId="0" borderId="27" xfId="0" applyFont="1" applyBorder="1"/>
    <xf numFmtId="0" fontId="87" fillId="0" borderId="28" xfId="0" applyFont="1" applyBorder="1" applyAlignment="1">
      <alignment horizontal="right"/>
    </xf>
    <xf numFmtId="177" fontId="86" fillId="0" borderId="0" xfId="248" applyNumberFormat="1" applyFont="1" applyBorder="1"/>
    <xf numFmtId="10" fontId="86" fillId="0" borderId="29" xfId="0" applyNumberFormat="1" applyFont="1" applyBorder="1"/>
    <xf numFmtId="0" fontId="86" fillId="0" borderId="0" xfId="0" applyFont="1" applyBorder="1"/>
    <xf numFmtId="10" fontId="87" fillId="0" borderId="0" xfId="124" applyNumberFormat="1" applyFont="1" applyBorder="1"/>
    <xf numFmtId="177" fontId="87" fillId="0" borderId="0" xfId="248" applyNumberFormat="1" applyFont="1" applyBorder="1"/>
    <xf numFmtId="0" fontId="86" fillId="0" borderId="29" xfId="0" applyFont="1" applyBorder="1"/>
    <xf numFmtId="0" fontId="86" fillId="0" borderId="30" xfId="0" applyFont="1" applyBorder="1"/>
    <xf numFmtId="0" fontId="86" fillId="0" borderId="2" xfId="0" applyFont="1" applyBorder="1"/>
    <xf numFmtId="0" fontId="86" fillId="0" borderId="31" xfId="0" applyFont="1" applyBorder="1"/>
    <xf numFmtId="0" fontId="86" fillId="0" borderId="26" xfId="0" applyFont="1" applyBorder="1"/>
    <xf numFmtId="0" fontId="86" fillId="0" borderId="27" xfId="0" applyFont="1" applyBorder="1"/>
    <xf numFmtId="0" fontId="86" fillId="0" borderId="28" xfId="0" applyFont="1" applyBorder="1"/>
    <xf numFmtId="0" fontId="87" fillId="0" borderId="0" xfId="0" applyFont="1" applyBorder="1"/>
    <xf numFmtId="42" fontId="86" fillId="0" borderId="0" xfId="0" applyNumberFormat="1" applyFont="1" applyBorder="1"/>
    <xf numFmtId="177" fontId="86" fillId="0" borderId="29" xfId="0" applyNumberFormat="1" applyFont="1" applyBorder="1"/>
    <xf numFmtId="177" fontId="86" fillId="0" borderId="0" xfId="0" applyNumberFormat="1" applyFont="1" applyBorder="1"/>
    <xf numFmtId="10" fontId="87" fillId="0" borderId="0" xfId="0" applyNumberFormat="1" applyFont="1" applyBorder="1"/>
    <xf numFmtId="10" fontId="87" fillId="0" borderId="29" xfId="124" applyNumberFormat="1" applyFont="1" applyBorder="1"/>
    <xf numFmtId="0" fontId="74" fillId="0" borderId="0" xfId="0" quotePrefix="1" applyFont="1"/>
    <xf numFmtId="0" fontId="74" fillId="43" borderId="0" xfId="0" applyFont="1" applyFill="1" applyAlignment="1">
      <alignment horizontal="left"/>
    </xf>
    <xf numFmtId="0" fontId="72" fillId="0" borderId="0" xfId="0" applyFont="1" applyAlignment="1">
      <alignment horizontal="center"/>
    </xf>
    <xf numFmtId="0" fontId="88" fillId="0" borderId="0" xfId="0" quotePrefix="1" applyFont="1" applyAlignment="1">
      <alignment horizontal="center"/>
    </xf>
    <xf numFmtId="0" fontId="88" fillId="0" borderId="0" xfId="0" applyFont="1" applyAlignment="1">
      <alignment horizontal="center"/>
    </xf>
    <xf numFmtId="164" fontId="74" fillId="0" borderId="0" xfId="215" applyNumberFormat="1" applyFont="1"/>
    <xf numFmtId="0" fontId="3" fillId="0" borderId="0" xfId="0" applyFont="1" applyFill="1"/>
    <xf numFmtId="0" fontId="3" fillId="0" borderId="0" xfId="0" applyFont="1"/>
    <xf numFmtId="164" fontId="74" fillId="0" borderId="0" xfId="215" applyNumberFormat="1" applyFont="1" applyFill="1" applyBorder="1"/>
    <xf numFmtId="0" fontId="3" fillId="0" borderId="0" xfId="0" applyFont="1" applyAlignment="1">
      <alignment horizontal="left"/>
    </xf>
    <xf numFmtId="177" fontId="74" fillId="0" borderId="0" xfId="452" applyNumberFormat="1" applyFont="1"/>
    <xf numFmtId="177" fontId="74" fillId="0" borderId="2" xfId="452" applyNumberFormat="1" applyFont="1" applyBorder="1"/>
    <xf numFmtId="0" fontId="89" fillId="0" borderId="0" xfId="0" applyFont="1" applyFill="1"/>
    <xf numFmtId="0" fontId="90" fillId="0" borderId="0" xfId="462" applyFont="1" applyFill="1"/>
    <xf numFmtId="0" fontId="91" fillId="0" borderId="0" xfId="0" applyFont="1" applyFill="1"/>
    <xf numFmtId="0" fontId="92" fillId="0" borderId="0" xfId="462" applyFont="1" applyFill="1"/>
    <xf numFmtId="0" fontId="90" fillId="6" borderId="0" xfId="462" applyFont="1" applyFill="1"/>
    <xf numFmtId="0" fontId="92" fillId="6" borderId="0" xfId="462" applyFont="1" applyFill="1" applyAlignment="1">
      <alignment horizontal="center" wrapText="1"/>
    </xf>
    <xf numFmtId="0" fontId="92" fillId="6" borderId="0" xfId="462" applyFont="1" applyFill="1" applyAlignment="1">
      <alignment horizontal="center"/>
    </xf>
    <xf numFmtId="17" fontId="92" fillId="44" borderId="0" xfId="462" applyNumberFormat="1" applyFont="1" applyFill="1" applyAlignment="1">
      <alignment horizontal="center"/>
    </xf>
    <xf numFmtId="0" fontId="92" fillId="44" borderId="0" xfId="462" applyFont="1" applyFill="1" applyAlignment="1">
      <alignment horizontal="center" wrapText="1"/>
    </xf>
    <xf numFmtId="17" fontId="92" fillId="45" borderId="0" xfId="462" applyNumberFormat="1" applyFont="1" applyFill="1" applyAlignment="1">
      <alignment horizontal="center"/>
    </xf>
    <xf numFmtId="0" fontId="89" fillId="45" borderId="0" xfId="0" applyFont="1" applyFill="1" applyAlignment="1">
      <alignment horizontal="center"/>
    </xf>
    <xf numFmtId="0" fontId="92" fillId="45" borderId="0" xfId="462" applyFont="1" applyFill="1" applyAlignment="1">
      <alignment horizontal="center" wrapText="1"/>
    </xf>
    <xf numFmtId="0" fontId="93" fillId="0" borderId="0" xfId="462" applyFont="1" applyFill="1" applyAlignment="1">
      <alignment horizontal="center"/>
    </xf>
    <xf numFmtId="0" fontId="94" fillId="0" borderId="0" xfId="462" applyFont="1" applyFill="1" applyAlignment="1">
      <alignment horizontal="left"/>
    </xf>
    <xf numFmtId="0" fontId="92" fillId="0" borderId="0" xfId="462" applyFont="1" applyFill="1" applyAlignment="1">
      <alignment horizontal="left"/>
    </xf>
    <xf numFmtId="43" fontId="90" fillId="0" borderId="0" xfId="25" applyFont="1" applyFill="1" applyAlignment="1">
      <alignment horizontal="center"/>
    </xf>
    <xf numFmtId="164" fontId="90" fillId="0" borderId="0" xfId="25" applyNumberFormat="1" applyFont="1" applyFill="1"/>
    <xf numFmtId="43" fontId="90" fillId="0" borderId="0" xfId="462" applyNumberFormat="1" applyFont="1" applyFill="1"/>
    <xf numFmtId="0" fontId="91" fillId="0" borderId="0" xfId="0" applyFont="1" applyFill="1" applyBorder="1"/>
    <xf numFmtId="0" fontId="91" fillId="0" borderId="0" xfId="0" applyFont="1" applyAlignment="1">
      <alignment horizontal="left"/>
    </xf>
    <xf numFmtId="43" fontId="91" fillId="0" borderId="0" xfId="25" applyFont="1" applyFill="1" applyBorder="1"/>
    <xf numFmtId="164" fontId="91" fillId="0" borderId="0" xfId="0" applyNumberFormat="1" applyFont="1" applyFill="1"/>
    <xf numFmtId="0" fontId="91" fillId="0" borderId="0" xfId="0" applyFont="1" applyFill="1" applyAlignment="1">
      <alignment horizontal="left"/>
    </xf>
    <xf numFmtId="0" fontId="95" fillId="0" borderId="0" xfId="0" applyFont="1" applyFill="1"/>
    <xf numFmtId="0" fontId="92" fillId="0" borderId="19" xfId="462" applyFont="1" applyFill="1" applyBorder="1"/>
    <xf numFmtId="0" fontId="92" fillId="0" borderId="19" xfId="462" applyFont="1" applyFill="1" applyBorder="1" applyAlignment="1">
      <alignment horizontal="right"/>
    </xf>
    <xf numFmtId="43" fontId="92" fillId="0" borderId="19" xfId="25" applyFont="1" applyFill="1" applyBorder="1" applyAlignment="1">
      <alignment horizontal="center"/>
    </xf>
    <xf numFmtId="44" fontId="96" fillId="0" borderId="19" xfId="236" applyFont="1" applyFill="1" applyBorder="1"/>
    <xf numFmtId="164" fontId="92" fillId="0" borderId="19" xfId="25" applyNumberFormat="1" applyFont="1" applyFill="1" applyBorder="1"/>
    <xf numFmtId="0" fontId="94" fillId="0" borderId="0" xfId="462" applyFont="1" applyFill="1" applyAlignment="1">
      <alignment horizontal="center"/>
    </xf>
    <xf numFmtId="43" fontId="90" fillId="0" borderId="0" xfId="25" applyFont="1" applyFill="1"/>
    <xf numFmtId="0" fontId="90" fillId="0" borderId="0" xfId="462" applyFont="1" applyFill="1" applyBorder="1"/>
    <xf numFmtId="0" fontId="92" fillId="0" borderId="0" xfId="462" applyFont="1" applyFill="1" applyBorder="1" applyAlignment="1">
      <alignment horizontal="right"/>
    </xf>
    <xf numFmtId="0" fontId="91" fillId="0" borderId="0" xfId="0" applyFont="1"/>
    <xf numFmtId="164" fontId="89" fillId="0" borderId="0" xfId="0" applyNumberFormat="1" applyFont="1" applyFill="1"/>
    <xf numFmtId="0" fontId="90" fillId="0" borderId="19" xfId="0" applyFont="1" applyFill="1" applyBorder="1" applyAlignment="1">
      <alignment vertical="top"/>
    </xf>
    <xf numFmtId="43" fontId="90" fillId="0" borderId="19" xfId="25" applyFont="1" applyFill="1" applyBorder="1" applyAlignment="1">
      <alignment horizontal="center"/>
    </xf>
    <xf numFmtId="0" fontId="90" fillId="0" borderId="19" xfId="462" applyFont="1" applyFill="1" applyBorder="1"/>
    <xf numFmtId="164" fontId="96" fillId="0" borderId="19" xfId="25" applyNumberFormat="1" applyFont="1" applyFill="1" applyBorder="1"/>
    <xf numFmtId="0" fontId="90" fillId="0" borderId="0" xfId="0" applyFont="1" applyFill="1" applyAlignment="1">
      <alignment vertical="top"/>
    </xf>
    <xf numFmtId="43" fontId="90" fillId="0" borderId="0" xfId="25" applyNumberFormat="1" applyFont="1" applyFill="1"/>
    <xf numFmtId="0" fontId="92" fillId="0" borderId="0" xfId="462" applyFont="1" applyFill="1" applyBorder="1"/>
    <xf numFmtId="0" fontId="97" fillId="0" borderId="0" xfId="0" applyFont="1" applyFill="1" applyBorder="1" applyAlignment="1">
      <alignment vertical="top"/>
    </xf>
    <xf numFmtId="164" fontId="91" fillId="0" borderId="0" xfId="25" applyNumberFormat="1" applyFont="1" applyFill="1"/>
    <xf numFmtId="0" fontId="91" fillId="0" borderId="19" xfId="0" applyFont="1" applyFill="1" applyBorder="1"/>
    <xf numFmtId="164" fontId="90" fillId="0" borderId="19" xfId="25" applyNumberFormat="1" applyFont="1" applyFill="1" applyBorder="1"/>
    <xf numFmtId="44" fontId="91" fillId="0" borderId="0" xfId="0" applyNumberFormat="1" applyFont="1" applyFill="1"/>
    <xf numFmtId="43" fontId="91" fillId="0" borderId="0" xfId="25" applyFont="1" applyFill="1"/>
    <xf numFmtId="44" fontId="96" fillId="0" borderId="0" xfId="236" applyFont="1" applyFill="1" applyBorder="1"/>
    <xf numFmtId="0" fontId="94" fillId="0" borderId="0" xfId="462" applyFont="1" applyFill="1" applyBorder="1" applyAlignment="1">
      <alignment horizontal="center"/>
    </xf>
    <xf numFmtId="0" fontId="95" fillId="0" borderId="0" xfId="462" applyFont="1" applyFill="1"/>
    <xf numFmtId="40" fontId="11" fillId="4" borderId="0" xfId="25" applyNumberFormat="1" applyFont="1" applyFill="1"/>
    <xf numFmtId="38" fontId="11" fillId="4" borderId="0" xfId="25" applyNumberFormat="1" applyFont="1" applyFill="1"/>
    <xf numFmtId="39" fontId="101" fillId="0" borderId="0" xfId="25" applyNumberFormat="1" applyFont="1" applyAlignment="1">
      <alignment horizontal="left"/>
    </xf>
    <xf numFmtId="0" fontId="80" fillId="0" borderId="0" xfId="457" applyNumberFormat="1" applyFont="1" applyFill="1" applyBorder="1" applyAlignment="1">
      <alignment horizontal="right"/>
    </xf>
    <xf numFmtId="0" fontId="3" fillId="46" borderId="0" xfId="67" applyFill="1"/>
    <xf numFmtId="0" fontId="3" fillId="0" borderId="0" xfId="67"/>
    <xf numFmtId="0" fontId="3" fillId="0" borderId="0" xfId="67" applyFont="1"/>
    <xf numFmtId="0" fontId="11" fillId="0" borderId="0" xfId="67" applyFont="1"/>
    <xf numFmtId="0" fontId="3" fillId="0" borderId="0" xfId="67" applyAlignment="1">
      <alignment horizontal="right"/>
    </xf>
    <xf numFmtId="0" fontId="3" fillId="0" borderId="0" xfId="67" applyAlignment="1">
      <alignment horizontal="left"/>
    </xf>
    <xf numFmtId="0" fontId="98" fillId="0" borderId="0" xfId="67" applyFont="1"/>
    <xf numFmtId="0" fontId="103" fillId="0" borderId="0" xfId="67" applyFont="1"/>
    <xf numFmtId="0" fontId="99" fillId="0" borderId="0" xfId="67" applyFont="1" applyAlignment="1">
      <alignment horizontal="right" vertical="top"/>
    </xf>
    <xf numFmtId="0" fontId="102" fillId="0" borderId="0" xfId="67" applyFont="1"/>
    <xf numFmtId="0" fontId="11" fillId="46" borderId="1" xfId="67" applyFont="1" applyFill="1" applyBorder="1" applyAlignment="1">
      <alignment horizontal="centerContinuous"/>
    </xf>
    <xf numFmtId="0" fontId="11" fillId="5" borderId="1" xfId="67" applyFont="1" applyFill="1" applyBorder="1" applyAlignment="1">
      <alignment horizontal="centerContinuous"/>
    </xf>
    <xf numFmtId="0" fontId="3" fillId="5" borderId="1" xfId="67" applyFill="1" applyBorder="1" applyAlignment="1">
      <alignment horizontal="centerContinuous"/>
    </xf>
    <xf numFmtId="0" fontId="11" fillId="0" borderId="0" xfId="67" applyFont="1" applyAlignment="1">
      <alignment horizontal="right"/>
    </xf>
    <xf numFmtId="49" fontId="101" fillId="0" borderId="0" xfId="67" applyNumberFormat="1" applyFont="1" applyAlignment="1">
      <alignment horizontal="left"/>
    </xf>
    <xf numFmtId="0" fontId="3" fillId="0" borderId="0" xfId="67" applyFont="1" applyAlignment="1">
      <alignment horizontal="right"/>
    </xf>
    <xf numFmtId="0" fontId="101" fillId="0" borderId="0" xfId="67" applyFont="1"/>
    <xf numFmtId="0" fontId="3" fillId="0" borderId="0" xfId="67" applyAlignment="1"/>
    <xf numFmtId="0" fontId="101" fillId="0" borderId="0" xfId="67" applyFont="1" applyAlignment="1">
      <alignment horizontal="left"/>
    </xf>
    <xf numFmtId="0" fontId="11" fillId="4" borderId="0" xfId="67" applyFont="1" applyFill="1"/>
    <xf numFmtId="0" fontId="3" fillId="4" borderId="0" xfId="67" applyFill="1"/>
    <xf numFmtId="0" fontId="3" fillId="0" borderId="0" xfId="67" applyAlignment="1">
      <alignment horizontal="left" indent="1"/>
    </xf>
    <xf numFmtId="0" fontId="3" fillId="0" borderId="0" xfId="67" applyNumberFormat="1" applyAlignment="1">
      <alignment horizontal="left"/>
    </xf>
    <xf numFmtId="181" fontId="3" fillId="0" borderId="0" xfId="67" applyNumberFormat="1"/>
    <xf numFmtId="0" fontId="3" fillId="5" borderId="21" xfId="67" applyFont="1" applyFill="1" applyBorder="1" applyAlignment="1">
      <alignment horizontal="centerContinuous"/>
    </xf>
    <xf numFmtId="0" fontId="3" fillId="5" borderId="3" xfId="67" applyFont="1" applyFill="1" applyBorder="1" applyAlignment="1">
      <alignment horizontal="centerContinuous"/>
    </xf>
    <xf numFmtId="0" fontId="3" fillId="5" borderId="23" xfId="67" applyFont="1" applyFill="1" applyBorder="1" applyAlignment="1">
      <alignment horizontal="centerContinuous"/>
    </xf>
    <xf numFmtId="0" fontId="3" fillId="4" borderId="2" xfId="67" applyFill="1" applyBorder="1"/>
    <xf numFmtId="0" fontId="3" fillId="4" borderId="2" xfId="67" applyFill="1" applyBorder="1" applyAlignment="1">
      <alignment horizontal="center"/>
    </xf>
    <xf numFmtId="0" fontId="11" fillId="4" borderId="2" xfId="67" applyFont="1" applyFill="1" applyBorder="1" applyAlignment="1">
      <alignment horizontal="center"/>
    </xf>
    <xf numFmtId="0" fontId="100" fillId="4" borderId="2" xfId="67" applyFont="1" applyFill="1" applyBorder="1"/>
    <xf numFmtId="181" fontId="3" fillId="4" borderId="2" xfId="67" applyNumberFormat="1" applyFill="1" applyBorder="1"/>
    <xf numFmtId="0" fontId="3" fillId="4" borderId="2" xfId="67" applyFill="1" applyBorder="1" applyAlignment="1">
      <alignment horizontal="left"/>
    </xf>
    <xf numFmtId="0" fontId="3" fillId="4" borderId="32" xfId="67" applyFont="1" applyFill="1" applyBorder="1" applyAlignment="1">
      <alignment horizontal="center"/>
    </xf>
    <xf numFmtId="14" fontId="3" fillId="0" borderId="0" xfId="67" applyNumberFormat="1"/>
    <xf numFmtId="40" fontId="11" fillId="0" borderId="0" xfId="67" applyNumberFormat="1" applyFont="1"/>
    <xf numFmtId="0" fontId="3" fillId="0" borderId="0" xfId="67" applyAlignment="1">
      <alignment horizontal="center"/>
    </xf>
    <xf numFmtId="40" fontId="11" fillId="0" borderId="1" xfId="67" applyNumberFormat="1" applyFont="1" applyBorder="1"/>
    <xf numFmtId="0" fontId="3" fillId="0" borderId="22" xfId="67" applyBorder="1"/>
    <xf numFmtId="0" fontId="3" fillId="0" borderId="22" xfId="67" applyBorder="1" applyAlignment="1">
      <alignment horizontal="right"/>
    </xf>
    <xf numFmtId="0" fontId="3" fillId="0" borderId="0" xfId="67" applyBorder="1"/>
    <xf numFmtId="0" fontId="3" fillId="0" borderId="0" xfId="67" applyNumberFormat="1"/>
    <xf numFmtId="40" fontId="3" fillId="0" borderId="0" xfId="25" applyNumberFormat="1" applyBorder="1"/>
    <xf numFmtId="40" fontId="11" fillId="0" borderId="1" xfId="25" applyNumberFormat="1" applyFont="1" applyBorder="1"/>
    <xf numFmtId="0" fontId="75" fillId="0" borderId="0" xfId="0" applyFont="1"/>
    <xf numFmtId="0" fontId="34" fillId="0" borderId="26" xfId="0" applyFont="1" applyBorder="1"/>
    <xf numFmtId="0" fontId="34" fillId="0" borderId="27" xfId="0" applyFont="1" applyBorder="1"/>
    <xf numFmtId="0" fontId="34" fillId="0" borderId="28" xfId="0" applyFont="1" applyBorder="1"/>
    <xf numFmtId="0" fontId="34" fillId="0" borderId="29" xfId="0" applyFont="1" applyBorder="1" applyAlignment="1">
      <alignment horizontal="center"/>
    </xf>
    <xf numFmtId="0" fontId="0" fillId="0" borderId="28" xfId="0" applyFont="1" applyBorder="1"/>
    <xf numFmtId="3" fontId="0" fillId="0" borderId="0" xfId="0" applyNumberFormat="1" applyFont="1" applyBorder="1"/>
    <xf numFmtId="10" fontId="22" fillId="0" borderId="29" xfId="119" applyNumberFormat="1" applyFont="1" applyBorder="1"/>
    <xf numFmtId="3" fontId="0" fillId="0" borderId="29" xfId="0" applyNumberFormat="1" applyFont="1" applyBorder="1"/>
    <xf numFmtId="0" fontId="0" fillId="0" borderId="29" xfId="0" applyFont="1" applyBorder="1"/>
    <xf numFmtId="3" fontId="34" fillId="0" borderId="0" xfId="0" applyNumberFormat="1" applyFont="1" applyBorder="1"/>
    <xf numFmtId="3" fontId="34" fillId="0" borderId="29" xfId="0" applyNumberFormat="1" applyFont="1" applyBorder="1"/>
    <xf numFmtId="10" fontId="106" fillId="0" borderId="0" xfId="465" applyNumberFormat="1" applyFont="1" applyBorder="1"/>
    <xf numFmtId="0" fontId="0" fillId="0" borderId="30" xfId="0" applyFont="1" applyBorder="1"/>
    <xf numFmtId="0" fontId="0" fillId="0" borderId="2" xfId="0" applyFont="1" applyBorder="1"/>
    <xf numFmtId="0" fontId="0" fillId="0" borderId="31" xfId="0" applyFont="1" applyBorder="1"/>
    <xf numFmtId="0" fontId="34" fillId="0" borderId="0" xfId="0" applyFont="1" applyBorder="1"/>
    <xf numFmtId="0" fontId="34" fillId="0" borderId="29" xfId="0" applyFont="1" applyBorder="1"/>
    <xf numFmtId="0" fontId="107" fillId="0" borderId="25" xfId="0" applyFont="1" applyBorder="1"/>
    <xf numFmtId="3" fontId="0" fillId="0" borderId="1" xfId="0" applyNumberFormat="1" applyFont="1" applyBorder="1"/>
    <xf numFmtId="0" fontId="34" fillId="0" borderId="1" xfId="0" applyFont="1" applyBorder="1" applyAlignment="1">
      <alignment horizontal="center"/>
    </xf>
    <xf numFmtId="9" fontId="0" fillId="0" borderId="0" xfId="1" applyFont="1" applyBorder="1"/>
    <xf numFmtId="9" fontId="0" fillId="0" borderId="1" xfId="1" applyFont="1" applyBorder="1"/>
    <xf numFmtId="3" fontId="0" fillId="0" borderId="1" xfId="0" applyNumberFormat="1" applyFont="1" applyFill="1" applyBorder="1"/>
    <xf numFmtId="0" fontId="0" fillId="0" borderId="28" xfId="0" applyBorder="1"/>
    <xf numFmtId="2" fontId="0" fillId="0" borderId="0" xfId="0" applyNumberFormat="1" applyFont="1" applyBorder="1"/>
    <xf numFmtId="2" fontId="0" fillId="0" borderId="1" xfId="0" applyNumberFormat="1" applyFont="1" applyFill="1" applyBorder="1"/>
    <xf numFmtId="4" fontId="34" fillId="0" borderId="0" xfId="0" applyNumberFormat="1" applyFont="1" applyBorder="1"/>
    <xf numFmtId="164" fontId="19" fillId="0" borderId="0" xfId="21" applyNumberFormat="1" applyFont="1" applyFill="1" applyBorder="1" applyAlignment="1">
      <alignment horizontal="center"/>
    </xf>
    <xf numFmtId="169" fontId="108" fillId="0" borderId="0" xfId="466" applyFont="1" applyBorder="1"/>
    <xf numFmtId="169" fontId="109" fillId="0" borderId="0" xfId="466" applyFont="1" applyBorder="1"/>
    <xf numFmtId="169" fontId="109" fillId="0" borderId="0" xfId="466" applyFont="1" applyFill="1" applyBorder="1"/>
    <xf numFmtId="3" fontId="109" fillId="0" borderId="0" xfId="466" applyNumberFormat="1" applyFont="1" applyBorder="1"/>
    <xf numFmtId="182" fontId="108" fillId="0" borderId="0" xfId="466" applyNumberFormat="1" applyFont="1" applyBorder="1" applyAlignment="1">
      <alignment horizontal="left"/>
    </xf>
    <xf numFmtId="169" fontId="108" fillId="0" borderId="0" xfId="466" applyFont="1" applyBorder="1" applyAlignment="1">
      <alignment horizontal="center"/>
    </xf>
    <xf numFmtId="3" fontId="108" fillId="0" borderId="0" xfId="466" applyNumberFormat="1" applyFont="1" applyBorder="1"/>
    <xf numFmtId="169" fontId="110" fillId="0" borderId="0" xfId="466" applyFont="1" applyBorder="1" applyAlignment="1">
      <alignment horizontal="center"/>
    </xf>
    <xf numFmtId="3" fontId="110" fillId="0" borderId="0" xfId="466" applyNumberFormat="1" applyFont="1" applyBorder="1" applyAlignment="1">
      <alignment horizontal="center"/>
    </xf>
    <xf numFmtId="14" fontId="108" fillId="0" borderId="0" xfId="466" applyNumberFormat="1" applyFont="1" applyBorder="1" applyAlignment="1">
      <alignment horizontal="center"/>
    </xf>
    <xf numFmtId="14" fontId="108" fillId="0" borderId="0" xfId="466" quotePrefix="1" applyNumberFormat="1" applyFont="1" applyBorder="1" applyAlignment="1">
      <alignment horizontal="center"/>
    </xf>
    <xf numFmtId="3" fontId="109" fillId="0" borderId="0" xfId="466" applyNumberFormat="1" applyFont="1" applyBorder="1" applyAlignment="1">
      <alignment horizontal="center"/>
    </xf>
    <xf numFmtId="169" fontId="111" fillId="0" borderId="0" xfId="466" applyFont="1" applyBorder="1"/>
    <xf numFmtId="164" fontId="109" fillId="0" borderId="0" xfId="45" applyNumberFormat="1" applyFont="1" applyBorder="1"/>
    <xf numFmtId="3" fontId="109" fillId="0" borderId="0" xfId="466" applyNumberFormat="1" applyFont="1" applyFill="1" applyBorder="1"/>
    <xf numFmtId="169" fontId="108" fillId="0" borderId="19" xfId="466" applyFont="1" applyBorder="1"/>
    <xf numFmtId="164" fontId="108" fillId="0" borderId="19" xfId="45" applyNumberFormat="1" applyFont="1" applyBorder="1"/>
    <xf numFmtId="169" fontId="108" fillId="0" borderId="0" xfId="466" applyFont="1" applyFill="1" applyBorder="1"/>
    <xf numFmtId="10" fontId="108" fillId="0" borderId="0" xfId="466" applyNumberFormat="1" applyFont="1" applyBorder="1"/>
    <xf numFmtId="169" fontId="109" fillId="0" borderId="19" xfId="466" applyFont="1" applyBorder="1"/>
    <xf numFmtId="3" fontId="108" fillId="0" borderId="0" xfId="466" applyNumberFormat="1" applyFont="1" applyFill="1" applyBorder="1"/>
    <xf numFmtId="43" fontId="109" fillId="0" borderId="0" xfId="45" applyFont="1" applyBorder="1"/>
    <xf numFmtId="10" fontId="109" fillId="0" borderId="0" xfId="466" applyNumberFormat="1" applyFont="1" applyBorder="1"/>
    <xf numFmtId="169" fontId="112" fillId="0" borderId="0" xfId="466" applyFont="1"/>
    <xf numFmtId="169" fontId="112" fillId="0" borderId="0" xfId="466" applyFont="1" applyAlignment="1">
      <alignment horizontal="center"/>
    </xf>
    <xf numFmtId="3" fontId="113" fillId="0" borderId="0" xfId="466" applyNumberFormat="1" applyFont="1" applyAlignment="1">
      <alignment horizontal="left"/>
    </xf>
    <xf numFmtId="3" fontId="112" fillId="0" borderId="0" xfId="466" applyNumberFormat="1" applyFont="1" applyAlignment="1">
      <alignment horizontal="centerContinuous"/>
    </xf>
    <xf numFmtId="3" fontId="112" fillId="0" borderId="0" xfId="466" applyNumberFormat="1" applyFont="1" applyAlignment="1">
      <alignment horizontal="center"/>
    </xf>
    <xf numFmtId="3" fontId="112" fillId="0" borderId="0" xfId="466" applyNumberFormat="1" applyFont="1"/>
    <xf numFmtId="14" fontId="114" fillId="0" borderId="0" xfId="466" applyNumberFormat="1" applyFont="1"/>
    <xf numFmtId="3" fontId="112" fillId="0" borderId="0" xfId="466" applyNumberFormat="1" applyFont="1" applyAlignment="1">
      <alignment horizontal="left"/>
    </xf>
    <xf numFmtId="182" fontId="113" fillId="0" borderId="0" xfId="466" quotePrefix="1" applyNumberFormat="1" applyFont="1" applyAlignment="1">
      <alignment horizontal="left"/>
    </xf>
    <xf numFmtId="43" fontId="112" fillId="0" borderId="0" xfId="45" applyFont="1" applyAlignment="1">
      <alignment horizontal="center"/>
    </xf>
    <xf numFmtId="169" fontId="112" fillId="0" borderId="0" xfId="466" applyFont="1" applyFill="1" applyAlignment="1">
      <alignment horizontal="center"/>
    </xf>
    <xf numFmtId="1" fontId="112" fillId="0" borderId="0" xfId="466" applyNumberFormat="1" applyFont="1"/>
    <xf numFmtId="3" fontId="113" fillId="0" borderId="0" xfId="466" applyNumberFormat="1" applyFont="1" applyAlignment="1">
      <alignment horizontal="center"/>
    </xf>
    <xf numFmtId="3" fontId="113" fillId="0" borderId="0" xfId="466" applyNumberFormat="1" applyFont="1" applyAlignment="1"/>
    <xf numFmtId="3" fontId="113" fillId="0" borderId="0" xfId="466" applyNumberFormat="1" applyFont="1" applyAlignment="1">
      <alignment horizontal="centerContinuous"/>
    </xf>
    <xf numFmtId="3" fontId="115" fillId="0" borderId="0" xfId="466" applyNumberFormat="1" applyFont="1" applyAlignment="1">
      <alignment horizontal="center"/>
    </xf>
    <xf numFmtId="169" fontId="113" fillId="0" borderId="0" xfId="466" applyFont="1" applyBorder="1"/>
    <xf numFmtId="169" fontId="113" fillId="0" borderId="0" xfId="466" applyFont="1" applyAlignment="1">
      <alignment horizontal="center"/>
    </xf>
    <xf numFmtId="3" fontId="115" fillId="0" borderId="0" xfId="466" applyNumberFormat="1" applyFont="1" applyAlignment="1"/>
    <xf numFmtId="14" fontId="115" fillId="0" borderId="0" xfId="466" quotePrefix="1" applyNumberFormat="1" applyFont="1" applyAlignment="1">
      <alignment horizontal="center"/>
    </xf>
    <xf numFmtId="183" fontId="115" fillId="0" borderId="0" xfId="466" applyNumberFormat="1" applyFont="1" applyAlignment="1">
      <alignment horizontal="center"/>
    </xf>
    <xf numFmtId="181" fontId="115" fillId="0" borderId="0" xfId="466" applyNumberFormat="1" applyFont="1" applyAlignment="1">
      <alignment horizontal="center"/>
    </xf>
    <xf numFmtId="14" fontId="115" fillId="0" borderId="0" xfId="466" applyNumberFormat="1" applyFont="1" applyAlignment="1">
      <alignment horizontal="center"/>
    </xf>
    <xf numFmtId="169" fontId="112" fillId="0" borderId="0" xfId="466" applyFont="1" applyBorder="1"/>
    <xf numFmtId="1" fontId="112" fillId="0" borderId="0" xfId="466" applyNumberFormat="1" applyFont="1" applyAlignment="1">
      <alignment horizontal="center"/>
    </xf>
    <xf numFmtId="4" fontId="112" fillId="0" borderId="0" xfId="466" applyNumberFormat="1" applyFont="1"/>
    <xf numFmtId="3" fontId="115" fillId="0" borderId="0" xfId="466" applyNumberFormat="1" applyFont="1" applyAlignment="1">
      <alignment horizontal="left"/>
    </xf>
    <xf numFmtId="0" fontId="112" fillId="0" borderId="0" xfId="467" applyFont="1" applyFill="1" applyAlignment="1">
      <alignment horizontal="center"/>
    </xf>
    <xf numFmtId="49" fontId="116" fillId="0" borderId="0" xfId="467" applyNumberFormat="1" applyFont="1" applyAlignment="1">
      <alignment horizontal="left"/>
    </xf>
    <xf numFmtId="0" fontId="112" fillId="0" borderId="0" xfId="467" applyNumberFormat="1" applyFont="1" applyAlignment="1">
      <alignment horizontal="center"/>
    </xf>
    <xf numFmtId="9" fontId="112" fillId="0" borderId="0" xfId="466" applyNumberFormat="1" applyFont="1" applyAlignment="1">
      <alignment horizontal="center"/>
    </xf>
    <xf numFmtId="164" fontId="112" fillId="0" borderId="0" xfId="45" applyNumberFormat="1" applyFont="1" applyBorder="1" applyAlignment="1">
      <alignment horizontal="right"/>
    </xf>
    <xf numFmtId="164" fontId="112" fillId="0" borderId="0" xfId="45" applyNumberFormat="1" applyFont="1"/>
    <xf numFmtId="49" fontId="112" fillId="0" borderId="0" xfId="467" applyNumberFormat="1" applyFont="1" applyAlignment="1">
      <alignment horizontal="left"/>
    </xf>
    <xf numFmtId="164" fontId="112" fillId="0" borderId="0" xfId="45" applyNumberFormat="1" applyFont="1" applyBorder="1"/>
    <xf numFmtId="3" fontId="112" fillId="0" borderId="0" xfId="466" applyNumberFormat="1" applyFont="1" applyBorder="1"/>
    <xf numFmtId="4" fontId="112" fillId="0" borderId="0" xfId="466" applyNumberFormat="1" applyFont="1" applyBorder="1"/>
    <xf numFmtId="169" fontId="113" fillId="0" borderId="0" xfId="466" applyFont="1"/>
    <xf numFmtId="3" fontId="113" fillId="0" borderId="0" xfId="467" applyNumberFormat="1" applyFont="1" applyFill="1" applyBorder="1" applyAlignment="1">
      <alignment horizontal="center"/>
    </xf>
    <xf numFmtId="49" fontId="113" fillId="0" borderId="0" xfId="467" applyNumberFormat="1" applyFont="1" applyAlignment="1">
      <alignment horizontal="left"/>
    </xf>
    <xf numFmtId="184" fontId="113" fillId="0" borderId="0" xfId="467" applyNumberFormat="1" applyFont="1" applyAlignment="1">
      <alignment horizontal="center"/>
    </xf>
    <xf numFmtId="9" fontId="113" fillId="0" borderId="0" xfId="466" applyNumberFormat="1" applyFont="1" applyAlignment="1">
      <alignment horizontal="center"/>
    </xf>
    <xf numFmtId="1" fontId="113" fillId="0" borderId="0" xfId="466" applyNumberFormat="1" applyFont="1" applyAlignment="1">
      <alignment horizontal="center"/>
    </xf>
    <xf numFmtId="3" fontId="113" fillId="0" borderId="0" xfId="466" applyNumberFormat="1" applyFont="1"/>
    <xf numFmtId="164" fontId="113" fillId="0" borderId="19" xfId="45" applyNumberFormat="1" applyFont="1" applyBorder="1" applyAlignment="1">
      <alignment horizontal="right"/>
    </xf>
    <xf numFmtId="164" fontId="113" fillId="0" borderId="19" xfId="45" applyNumberFormat="1" applyFont="1" applyBorder="1"/>
    <xf numFmtId="4" fontId="113" fillId="0" borderId="0" xfId="466" applyNumberFormat="1" applyFont="1"/>
    <xf numFmtId="164" fontId="113" fillId="0" borderId="0" xfId="45" applyNumberFormat="1" applyFont="1" applyBorder="1" applyAlignment="1">
      <alignment horizontal="right"/>
    </xf>
    <xf numFmtId="164" fontId="113" fillId="0" borderId="0" xfId="45" applyNumberFormat="1" applyFont="1"/>
    <xf numFmtId="49" fontId="115" fillId="0" borderId="0" xfId="467" applyNumberFormat="1" applyFont="1" applyAlignment="1">
      <alignment horizontal="left"/>
    </xf>
    <xf numFmtId="0" fontId="112" fillId="0" borderId="0" xfId="467" applyFont="1" applyAlignment="1">
      <alignment horizontal="center"/>
    </xf>
    <xf numFmtId="0" fontId="113" fillId="0" borderId="0" xfId="467" applyFont="1" applyAlignment="1">
      <alignment horizontal="center"/>
    </xf>
    <xf numFmtId="0" fontId="113" fillId="0" borderId="0" xfId="467" applyNumberFormat="1" applyFont="1" applyAlignment="1">
      <alignment horizontal="center"/>
    </xf>
    <xf numFmtId="3" fontId="113" fillId="0" borderId="0" xfId="466" applyNumberFormat="1" applyFont="1" applyBorder="1"/>
    <xf numFmtId="4" fontId="113" fillId="0" borderId="0" xfId="466" applyNumberFormat="1" applyFont="1" applyBorder="1"/>
    <xf numFmtId="164" fontId="113" fillId="0" borderId="0" xfId="45" applyNumberFormat="1" applyFont="1" applyBorder="1"/>
    <xf numFmtId="49" fontId="113" fillId="45" borderId="19" xfId="467" applyNumberFormat="1" applyFont="1" applyFill="1" applyBorder="1" applyAlignment="1">
      <alignment horizontal="left"/>
    </xf>
    <xf numFmtId="0" fontId="113" fillId="45" borderId="19" xfId="467" applyNumberFormat="1" applyFont="1" applyFill="1" applyBorder="1" applyAlignment="1">
      <alignment horizontal="center"/>
    </xf>
    <xf numFmtId="3" fontId="113" fillId="45" borderId="19" xfId="466" applyNumberFormat="1" applyFont="1" applyFill="1" applyBorder="1" applyAlignment="1">
      <alignment horizontal="center"/>
    </xf>
    <xf numFmtId="9" fontId="113" fillId="45" borderId="19" xfId="466" applyNumberFormat="1" applyFont="1" applyFill="1" applyBorder="1" applyAlignment="1">
      <alignment horizontal="center"/>
    </xf>
    <xf numFmtId="1" fontId="113" fillId="45" borderId="19" xfId="466" applyNumberFormat="1" applyFont="1" applyFill="1" applyBorder="1" applyAlignment="1">
      <alignment horizontal="center"/>
    </xf>
    <xf numFmtId="3" fontId="113" fillId="45" borderId="19" xfId="466" applyNumberFormat="1" applyFont="1" applyFill="1" applyBorder="1"/>
    <xf numFmtId="164" fontId="113" fillId="45" borderId="19" xfId="45" applyNumberFormat="1" applyFont="1" applyFill="1" applyBorder="1" applyAlignment="1">
      <alignment horizontal="right"/>
    </xf>
    <xf numFmtId="164" fontId="113" fillId="45" borderId="19" xfId="45" applyNumberFormat="1" applyFont="1" applyFill="1" applyBorder="1"/>
    <xf numFmtId="0" fontId="109" fillId="0" borderId="0" xfId="468" applyFont="1" applyAlignment="1">
      <alignment horizontal="center"/>
    </xf>
    <xf numFmtId="3" fontId="112" fillId="8" borderId="0" xfId="466" applyNumberFormat="1" applyFont="1" applyFill="1" applyAlignment="1">
      <alignment horizontal="center"/>
    </xf>
    <xf numFmtId="3" fontId="112" fillId="0" borderId="0" xfId="466" applyNumberFormat="1" applyFont="1" applyFill="1" applyAlignment="1">
      <alignment horizontal="center"/>
    </xf>
    <xf numFmtId="0" fontId="112" fillId="0" borderId="0" xfId="467" applyFont="1" applyBorder="1" applyAlignment="1">
      <alignment horizontal="center"/>
    </xf>
    <xf numFmtId="0" fontId="112" fillId="0" borderId="0" xfId="467" applyFont="1" applyBorder="1"/>
    <xf numFmtId="0" fontId="112" fillId="0" borderId="0" xfId="467" applyNumberFormat="1" applyFont="1" applyBorder="1" applyAlignment="1">
      <alignment horizontal="center"/>
    </xf>
    <xf numFmtId="3" fontId="112" fillId="0" borderId="0" xfId="466" applyNumberFormat="1" applyFont="1" applyBorder="1" applyAlignment="1">
      <alignment horizontal="center"/>
    </xf>
    <xf numFmtId="9" fontId="112" fillId="0" borderId="0" xfId="466" applyNumberFormat="1" applyFont="1" applyBorder="1" applyAlignment="1">
      <alignment horizontal="center"/>
    </xf>
    <xf numFmtId="1" fontId="112" fillId="0" borderId="0" xfId="466" applyNumberFormat="1" applyFont="1" applyBorder="1" applyAlignment="1">
      <alignment horizontal="center"/>
    </xf>
    <xf numFmtId="3" fontId="113" fillId="0" borderId="0" xfId="466" applyNumberFormat="1" applyFont="1" applyBorder="1" applyAlignment="1">
      <alignment horizontal="center"/>
    </xf>
    <xf numFmtId="3" fontId="113" fillId="0" borderId="0" xfId="466" applyNumberFormat="1" applyFont="1" applyBorder="1" applyAlignment="1">
      <alignment horizontal="left"/>
    </xf>
    <xf numFmtId="1" fontId="113" fillId="0" borderId="0" xfId="466" applyNumberFormat="1" applyFont="1" applyBorder="1"/>
    <xf numFmtId="9" fontId="113" fillId="0" borderId="0" xfId="466" applyNumberFormat="1" applyFont="1" applyBorder="1" applyAlignment="1">
      <alignment horizontal="center"/>
    </xf>
    <xf numFmtId="1" fontId="113" fillId="0" borderId="0" xfId="466" applyNumberFormat="1" applyFont="1" applyBorder="1" applyAlignment="1">
      <alignment horizontal="center"/>
    </xf>
    <xf numFmtId="169" fontId="113" fillId="0" borderId="0" xfId="466" applyFont="1" applyBorder="1" applyAlignment="1">
      <alignment horizontal="center"/>
    </xf>
    <xf numFmtId="1" fontId="113" fillId="0" borderId="0" xfId="466" applyNumberFormat="1" applyFont="1"/>
    <xf numFmtId="49" fontId="112" fillId="0" borderId="0" xfId="467" applyNumberFormat="1" applyFont="1" applyBorder="1" applyAlignment="1">
      <alignment horizontal="left"/>
    </xf>
    <xf numFmtId="3" fontId="113" fillId="0" borderId="0" xfId="466" applyNumberFormat="1" applyFont="1" applyBorder="1" applyAlignment="1"/>
    <xf numFmtId="0" fontId="113" fillId="0" borderId="0" xfId="466" applyNumberFormat="1" applyFont="1" applyBorder="1" applyAlignment="1">
      <alignment horizontal="center"/>
    </xf>
    <xf numFmtId="169" fontId="112" fillId="0" borderId="0" xfId="466" applyFont="1" applyBorder="1" applyAlignment="1">
      <alignment horizontal="center"/>
    </xf>
    <xf numFmtId="3" fontId="112" fillId="0" borderId="0" xfId="466" applyNumberFormat="1" applyFont="1" applyBorder="1" applyAlignment="1"/>
    <xf numFmtId="1" fontId="112" fillId="0" borderId="0" xfId="466" applyNumberFormat="1" applyFont="1" applyBorder="1"/>
    <xf numFmtId="0" fontId="112" fillId="0" borderId="0" xfId="466" applyNumberFormat="1" applyFont="1" applyBorder="1" applyAlignment="1">
      <alignment horizontal="center"/>
    </xf>
    <xf numFmtId="1" fontId="113" fillId="45" borderId="19" xfId="466" applyNumberFormat="1" applyFont="1" applyFill="1" applyBorder="1"/>
    <xf numFmtId="169" fontId="112" fillId="0" borderId="0" xfId="466" applyFont="1" applyFill="1" applyBorder="1"/>
    <xf numFmtId="169" fontId="112" fillId="0" borderId="0" xfId="466" applyFont="1" applyFill="1" applyBorder="1" applyAlignment="1">
      <alignment horizontal="center"/>
    </xf>
    <xf numFmtId="3" fontId="112" fillId="0" borderId="0" xfId="466" applyNumberFormat="1" applyFont="1" applyFill="1"/>
    <xf numFmtId="0" fontId="112" fillId="0" borderId="0" xfId="467" applyNumberFormat="1" applyFont="1" applyFill="1" applyAlignment="1">
      <alignment horizontal="center"/>
    </xf>
    <xf numFmtId="9" fontId="112" fillId="0" borderId="0" xfId="466" applyNumberFormat="1" applyFont="1" applyFill="1" applyAlignment="1">
      <alignment horizontal="center"/>
    </xf>
    <xf numFmtId="1" fontId="112" fillId="0" borderId="0" xfId="466" applyNumberFormat="1" applyFont="1" applyFill="1" applyAlignment="1">
      <alignment horizontal="center"/>
    </xf>
    <xf numFmtId="164" fontId="112" fillId="0" borderId="0" xfId="45" applyNumberFormat="1" applyFont="1" applyFill="1" applyBorder="1" applyAlignment="1">
      <alignment horizontal="right"/>
    </xf>
    <xf numFmtId="164" fontId="112" fillId="0" borderId="0" xfId="45" applyNumberFormat="1" applyFont="1" applyFill="1"/>
    <xf numFmtId="4" fontId="112" fillId="0" borderId="0" xfId="466" applyNumberFormat="1" applyFont="1" applyFill="1"/>
    <xf numFmtId="169" fontId="112" fillId="0" borderId="0" xfId="466" applyFont="1" applyFill="1"/>
    <xf numFmtId="3" fontId="112" fillId="45" borderId="19" xfId="466" applyNumberFormat="1" applyFont="1" applyFill="1" applyBorder="1"/>
    <xf numFmtId="9" fontId="112" fillId="45" borderId="19" xfId="466" applyNumberFormat="1" applyFont="1" applyFill="1" applyBorder="1" applyAlignment="1">
      <alignment horizontal="center"/>
    </xf>
    <xf numFmtId="3" fontId="112" fillId="45" borderId="19" xfId="466" applyNumberFormat="1" applyFont="1" applyFill="1" applyBorder="1" applyAlignment="1">
      <alignment horizontal="center"/>
    </xf>
    <xf numFmtId="164" fontId="112" fillId="45" borderId="19" xfId="45" applyNumberFormat="1" applyFont="1" applyFill="1" applyBorder="1"/>
    <xf numFmtId="3" fontId="112" fillId="0" borderId="0" xfId="466" applyNumberFormat="1" applyFont="1" applyAlignment="1"/>
    <xf numFmtId="49" fontId="113" fillId="0" borderId="0" xfId="467" applyNumberFormat="1" applyFont="1" applyBorder="1" applyAlignment="1">
      <alignment horizontal="left"/>
    </xf>
    <xf numFmtId="0" fontId="113" fillId="0" borderId="0" xfId="467" applyNumberFormat="1" applyFont="1" applyBorder="1" applyAlignment="1">
      <alignment horizontal="center"/>
    </xf>
    <xf numFmtId="3" fontId="113" fillId="47" borderId="19" xfId="466" applyNumberFormat="1" applyFont="1" applyFill="1" applyBorder="1"/>
    <xf numFmtId="3" fontId="112" fillId="47" borderId="19" xfId="466" applyNumberFormat="1" applyFont="1" applyFill="1" applyBorder="1"/>
    <xf numFmtId="9" fontId="112" fillId="47" borderId="19" xfId="466" applyNumberFormat="1" applyFont="1" applyFill="1" applyBorder="1" applyAlignment="1">
      <alignment horizontal="center"/>
    </xf>
    <xf numFmtId="3" fontId="112" fillId="47" borderId="19" xfId="466" applyNumberFormat="1" applyFont="1" applyFill="1" applyBorder="1" applyAlignment="1">
      <alignment horizontal="center"/>
    </xf>
    <xf numFmtId="164" fontId="113" fillId="47" borderId="19" xfId="45" applyNumberFormat="1" applyFont="1" applyFill="1" applyBorder="1"/>
    <xf numFmtId="164" fontId="112" fillId="47" borderId="19" xfId="45" applyNumberFormat="1" applyFont="1" applyFill="1" applyBorder="1"/>
    <xf numFmtId="3" fontId="112" fillId="0" borderId="0" xfId="467" applyNumberFormat="1" applyFont="1" applyBorder="1" applyAlignment="1">
      <alignment horizontal="right"/>
    </xf>
    <xf numFmtId="3" fontId="112" fillId="0" borderId="0" xfId="466" quotePrefix="1" applyNumberFormat="1" applyFont="1"/>
    <xf numFmtId="0" fontId="117" fillId="0" borderId="0" xfId="467" applyFont="1" applyAlignment="1">
      <alignment horizontal="center"/>
    </xf>
    <xf numFmtId="49" fontId="117" fillId="0" borderId="0" xfId="467" applyNumberFormat="1" applyFont="1" applyAlignment="1">
      <alignment horizontal="left"/>
    </xf>
    <xf numFmtId="0" fontId="117" fillId="0" borderId="0" xfId="467" applyNumberFormat="1" applyFont="1" applyAlignment="1">
      <alignment horizontal="center"/>
    </xf>
    <xf numFmtId="3" fontId="117" fillId="0" borderId="0" xfId="466" applyNumberFormat="1" applyFont="1" applyAlignment="1">
      <alignment horizontal="center"/>
    </xf>
    <xf numFmtId="9" fontId="117" fillId="0" borderId="0" xfId="466" applyNumberFormat="1" applyFont="1" applyAlignment="1">
      <alignment horizontal="center"/>
    </xf>
    <xf numFmtId="1" fontId="117" fillId="0" borderId="0" xfId="466" applyNumberFormat="1" applyFont="1" applyAlignment="1">
      <alignment horizontal="center"/>
    </xf>
    <xf numFmtId="3" fontId="117" fillId="0" borderId="0" xfId="466" applyNumberFormat="1" applyFont="1"/>
    <xf numFmtId="3" fontId="117" fillId="0" borderId="0" xfId="467" applyNumberFormat="1" applyFont="1" applyBorder="1" applyAlignment="1">
      <alignment horizontal="right"/>
    </xf>
    <xf numFmtId="4" fontId="117" fillId="0" borderId="0" xfId="466" applyNumberFormat="1" applyFont="1"/>
    <xf numFmtId="169" fontId="117" fillId="0" borderId="0" xfId="466" applyFont="1"/>
    <xf numFmtId="3" fontId="117" fillId="0" borderId="0" xfId="466" applyNumberFormat="1" applyFont="1" applyAlignment="1"/>
    <xf numFmtId="4" fontId="117" fillId="0" borderId="0" xfId="466" applyNumberFormat="1" applyFont="1" applyAlignment="1"/>
    <xf numFmtId="0" fontId="6" fillId="0" borderId="0" xfId="4" applyNumberFormat="1" applyFont="1" applyAlignment="1">
      <alignment horizontal="centerContinuous"/>
    </xf>
    <xf numFmtId="49" fontId="119" fillId="0" borderId="0" xfId="4" applyNumberFormat="1" applyFont="1"/>
    <xf numFmtId="0" fontId="12" fillId="3" borderId="1" xfId="4" applyNumberFormat="1" applyFont="1" applyFill="1" applyBorder="1" applyAlignment="1">
      <alignment horizontal="centerContinuous"/>
    </xf>
    <xf numFmtId="170" fontId="44" fillId="0" borderId="0" xfId="0" applyNumberFormat="1" applyFont="1" applyBorder="1" applyAlignment="1"/>
    <xf numFmtId="164" fontId="13" fillId="0" borderId="0" xfId="17" applyNumberFormat="1" applyFont="1" applyFill="1" applyBorder="1"/>
    <xf numFmtId="0" fontId="44" fillId="0" borderId="25" xfId="0" applyFont="1" applyBorder="1" applyAlignment="1"/>
    <xf numFmtId="0" fontId="44" fillId="0" borderId="26" xfId="0" applyFont="1" applyBorder="1" applyAlignment="1">
      <alignment horizontal="right"/>
    </xf>
    <xf numFmtId="170" fontId="44" fillId="0" borderId="27" xfId="0" applyNumberFormat="1" applyFont="1" applyBorder="1" applyAlignment="1"/>
    <xf numFmtId="0" fontId="44" fillId="0" borderId="28" xfId="0" applyFont="1" applyBorder="1" applyAlignment="1"/>
    <xf numFmtId="0" fontId="44" fillId="0" borderId="0" xfId="0" applyFont="1" applyBorder="1" applyAlignment="1">
      <alignment horizontal="right"/>
    </xf>
    <xf numFmtId="5" fontId="44" fillId="0" borderId="29" xfId="0" applyNumberFormat="1" applyFont="1" applyBorder="1" applyAlignment="1"/>
    <xf numFmtId="0" fontId="44" fillId="0" borderId="0" xfId="0" applyFont="1" applyBorder="1" applyAlignment="1"/>
    <xf numFmtId="170" fontId="44" fillId="0" borderId="34" xfId="124" applyNumberFormat="1" applyFont="1" applyBorder="1"/>
    <xf numFmtId="0" fontId="48" fillId="0" borderId="0" xfId="0" applyFont="1" applyBorder="1" applyAlignment="1"/>
    <xf numFmtId="3" fontId="44" fillId="0" borderId="29" xfId="0" applyNumberFormat="1" applyFont="1" applyBorder="1"/>
    <xf numFmtId="170" fontId="44" fillId="0" borderId="29" xfId="0" applyNumberFormat="1" applyFont="1" applyBorder="1"/>
    <xf numFmtId="3" fontId="44" fillId="0" borderId="29" xfId="0" applyNumberFormat="1" applyFont="1" applyBorder="1" applyAlignment="1"/>
    <xf numFmtId="3" fontId="47" fillId="0" borderId="29" xfId="0" applyNumberFormat="1" applyFont="1" applyBorder="1" applyAlignment="1"/>
    <xf numFmtId="170" fontId="44" fillId="0" borderId="29" xfId="0" applyNumberFormat="1" applyFont="1" applyBorder="1" applyAlignment="1"/>
    <xf numFmtId="0" fontId="44" fillId="0" borderId="30" xfId="0" applyFont="1" applyBorder="1" applyAlignment="1"/>
    <xf numFmtId="0" fontId="44" fillId="0" borderId="2" xfId="0" applyFont="1" applyBorder="1" applyAlignment="1"/>
    <xf numFmtId="10" fontId="47" fillId="0" borderId="31" xfId="0" applyNumberFormat="1" applyFont="1" applyBorder="1" applyAlignment="1"/>
    <xf numFmtId="43" fontId="44" fillId="0" borderId="0" xfId="21" applyFont="1" applyAlignment="1"/>
    <xf numFmtId="0" fontId="75" fillId="45" borderId="35" xfId="0" applyFont="1" applyFill="1" applyBorder="1"/>
    <xf numFmtId="0" fontId="75" fillId="45" borderId="36" xfId="0" applyFont="1" applyFill="1" applyBorder="1"/>
    <xf numFmtId="0" fontId="75" fillId="0" borderId="37" xfId="0" applyFont="1" applyBorder="1" applyAlignment="1">
      <alignment horizontal="center" wrapText="1"/>
    </xf>
    <xf numFmtId="0" fontId="75" fillId="0" borderId="38" xfId="0" applyFont="1" applyBorder="1" applyAlignment="1">
      <alignment horizontal="center" wrapText="1"/>
    </xf>
    <xf numFmtId="0" fontId="75" fillId="0" borderId="1" xfId="0" applyFont="1" applyBorder="1" applyAlignment="1">
      <alignment horizontal="center"/>
    </xf>
    <xf numFmtId="0" fontId="75" fillId="0" borderId="1" xfId="0" applyFont="1" applyBorder="1" applyAlignment="1">
      <alignment horizontal="center" wrapText="1"/>
    </xf>
    <xf numFmtId="0" fontId="75" fillId="0" borderId="1" xfId="0" applyFont="1" applyFill="1" applyBorder="1" applyAlignment="1">
      <alignment horizontal="center" wrapText="1"/>
    </xf>
    <xf numFmtId="0" fontId="75" fillId="0" borderId="0" xfId="0" applyFont="1" applyAlignment="1">
      <alignment horizontal="left"/>
    </xf>
    <xf numFmtId="43" fontId="0" fillId="0" borderId="35" xfId="0" applyNumberFormat="1" applyBorder="1"/>
    <xf numFmtId="43" fontId="0" fillId="0" borderId="36" xfId="0" applyNumberFormat="1" applyBorder="1"/>
    <xf numFmtId="14" fontId="0" fillId="0" borderId="0" xfId="0" applyNumberFormat="1"/>
    <xf numFmtId="0" fontId="0" fillId="0" borderId="0" xfId="0" applyAlignment="1">
      <alignment horizontal="left" indent="1"/>
    </xf>
    <xf numFmtId="177" fontId="0" fillId="0" borderId="36" xfId="452" applyNumberFormat="1" applyFont="1" applyBorder="1"/>
    <xf numFmtId="10" fontId="0" fillId="0" borderId="0" xfId="1" applyNumberFormat="1" applyFont="1"/>
    <xf numFmtId="43" fontId="0" fillId="0" borderId="0" xfId="0" applyNumberFormat="1"/>
    <xf numFmtId="177" fontId="0" fillId="0" borderId="0" xfId="452" applyNumberFormat="1" applyFont="1"/>
    <xf numFmtId="44" fontId="0" fillId="0" borderId="0" xfId="452" applyFont="1"/>
    <xf numFmtId="0" fontId="0" fillId="0" borderId="0" xfId="0" applyAlignment="1">
      <alignment horizontal="center"/>
    </xf>
    <xf numFmtId="0" fontId="75" fillId="45" borderId="3" xfId="0" applyFont="1" applyFill="1" applyBorder="1" applyAlignment="1">
      <alignment horizontal="right" indent="1"/>
    </xf>
    <xf numFmtId="43" fontId="75" fillId="45" borderId="21" xfId="0" applyNumberFormat="1" applyFont="1" applyFill="1" applyBorder="1"/>
    <xf numFmtId="177" fontId="75" fillId="45" borderId="23" xfId="452" applyNumberFormat="1" applyFont="1" applyFill="1" applyBorder="1"/>
    <xf numFmtId="43" fontId="75" fillId="48" borderId="3" xfId="0" applyNumberFormat="1" applyFont="1" applyFill="1" applyBorder="1"/>
    <xf numFmtId="43" fontId="75" fillId="48" borderId="19" xfId="0" applyNumberFormat="1" applyFont="1" applyFill="1" applyBorder="1"/>
    <xf numFmtId="0" fontId="0" fillId="0" borderId="0" xfId="0" applyAlignment="1">
      <alignment horizontal="right"/>
    </xf>
    <xf numFmtId="177" fontId="0" fillId="0" borderId="1" xfId="452" applyNumberFormat="1" applyFont="1" applyBorder="1"/>
    <xf numFmtId="177" fontId="0" fillId="0" borderId="0" xfId="0" applyNumberFormat="1"/>
    <xf numFmtId="37" fontId="122" fillId="0" borderId="0" xfId="17" applyNumberFormat="1" applyFont="1" applyFill="1" applyBorder="1" applyAlignment="1">
      <alignment horizontal="center"/>
    </xf>
    <xf numFmtId="164" fontId="122" fillId="0" borderId="0" xfId="3" applyNumberFormat="1" applyFont="1" applyFill="1" applyBorder="1" applyAlignment="1">
      <alignment horizontal="center"/>
    </xf>
    <xf numFmtId="0" fontId="123" fillId="0" borderId="0" xfId="0" applyFont="1"/>
    <xf numFmtId="0" fontId="95" fillId="0" borderId="0" xfId="463" applyFont="1" applyBorder="1"/>
    <xf numFmtId="0" fontId="95" fillId="0" borderId="29" xfId="463" applyFont="1" applyBorder="1"/>
    <xf numFmtId="0" fontId="95" fillId="0" borderId="28" xfId="463" applyFont="1" applyBorder="1"/>
    <xf numFmtId="0" fontId="96" fillId="46" borderId="1" xfId="463" applyFont="1" applyFill="1" applyBorder="1" applyAlignment="1">
      <alignment horizontal="centerContinuous"/>
    </xf>
    <xf numFmtId="0" fontId="96" fillId="5" borderId="1" xfId="463" applyFont="1" applyFill="1" applyBorder="1" applyAlignment="1">
      <alignment horizontal="centerContinuous"/>
    </xf>
    <xf numFmtId="0" fontId="95" fillId="5" borderId="1" xfId="463" applyFont="1" applyFill="1" applyBorder="1" applyAlignment="1">
      <alignment horizontal="centerContinuous"/>
    </xf>
    <xf numFmtId="0" fontId="96" fillId="5" borderId="33" xfId="463" applyFont="1" applyFill="1" applyBorder="1" applyAlignment="1">
      <alignment horizontal="centerContinuous"/>
    </xf>
    <xf numFmtId="0" fontId="96" fillId="0" borderId="28" xfId="463" applyFont="1" applyBorder="1"/>
    <xf numFmtId="0" fontId="96" fillId="0" borderId="0" xfId="463" applyFont="1" applyBorder="1"/>
    <xf numFmtId="0" fontId="96" fillId="0" borderId="0" xfId="463" applyFont="1" applyBorder="1" applyAlignment="1">
      <alignment horizontal="right"/>
    </xf>
    <xf numFmtId="49" fontId="124" fillId="0" borderId="0" xfId="463" applyNumberFormat="1" applyFont="1" applyBorder="1" applyAlignment="1">
      <alignment horizontal="left"/>
    </xf>
    <xf numFmtId="0" fontId="95" fillId="0" borderId="0" xfId="463" applyFont="1" applyBorder="1" applyAlignment="1">
      <alignment horizontal="right"/>
    </xf>
    <xf numFmtId="0" fontId="96" fillId="0" borderId="29" xfId="463" applyFont="1" applyBorder="1"/>
    <xf numFmtId="0" fontId="96" fillId="4" borderId="28" xfId="463" applyFont="1" applyFill="1" applyBorder="1"/>
    <xf numFmtId="0" fontId="95" fillId="4" borderId="0" xfId="463" applyFont="1" applyFill="1" applyBorder="1"/>
    <xf numFmtId="40" fontId="96" fillId="4" borderId="0" xfId="25" applyNumberFormat="1" applyFont="1" applyFill="1" applyBorder="1"/>
    <xf numFmtId="0" fontId="95" fillId="0" borderId="29" xfId="463" applyFont="1" applyBorder="1" applyAlignment="1">
      <alignment horizontal="left" indent="1"/>
    </xf>
    <xf numFmtId="38" fontId="96" fillId="4" borderId="0" xfId="25" applyNumberFormat="1" applyFont="1" applyFill="1" applyBorder="1"/>
    <xf numFmtId="0" fontId="95" fillId="0" borderId="0" xfId="463" applyNumberFormat="1" applyFont="1" applyBorder="1" applyAlignment="1">
      <alignment horizontal="left"/>
    </xf>
    <xf numFmtId="0" fontId="95" fillId="4" borderId="30" xfId="463" applyFont="1" applyFill="1" applyBorder="1"/>
    <xf numFmtId="0" fontId="95" fillId="4" borderId="2" xfId="463" applyFont="1" applyFill="1" applyBorder="1" applyAlignment="1">
      <alignment horizontal="center"/>
    </xf>
    <xf numFmtId="0" fontId="96" fillId="4" borderId="2" xfId="463" applyFont="1" applyFill="1" applyBorder="1" applyAlignment="1">
      <alignment horizontal="center"/>
    </xf>
    <xf numFmtId="0" fontId="125" fillId="4" borderId="2" xfId="463" applyFont="1" applyFill="1" applyBorder="1"/>
    <xf numFmtId="0" fontId="95" fillId="4" borderId="2" xfId="463" applyFont="1" applyFill="1" applyBorder="1"/>
    <xf numFmtId="0" fontId="95" fillId="4" borderId="31" xfId="463" applyFont="1" applyFill="1" applyBorder="1"/>
    <xf numFmtId="0" fontId="95" fillId="4" borderId="28" xfId="463" applyFont="1" applyFill="1" applyBorder="1"/>
    <xf numFmtId="0" fontId="95" fillId="4" borderId="0" xfId="463" applyFont="1" applyFill="1" applyBorder="1" applyAlignment="1">
      <alignment horizontal="center"/>
    </xf>
    <xf numFmtId="0" fontId="96" fillId="4" borderId="0" xfId="463" applyFont="1" applyFill="1" applyBorder="1" applyAlignment="1">
      <alignment horizontal="center"/>
    </xf>
    <xf numFmtId="0" fontId="125" fillId="4" borderId="0" xfId="463" applyFont="1" applyFill="1" applyBorder="1"/>
    <xf numFmtId="0" fontId="95" fillId="4" borderId="29" xfId="463" applyFont="1" applyFill="1" applyBorder="1"/>
    <xf numFmtId="14" fontId="95" fillId="0" borderId="0" xfId="463" applyNumberFormat="1" applyFont="1" applyBorder="1"/>
    <xf numFmtId="40" fontId="96" fillId="0" borderId="0" xfId="463" applyNumberFormat="1" applyFont="1" applyBorder="1"/>
    <xf numFmtId="0" fontId="95" fillId="0" borderId="0" xfId="463" applyFont="1" applyBorder="1" applyAlignment="1">
      <alignment horizontal="center"/>
    </xf>
    <xf numFmtId="0" fontId="95" fillId="0" borderId="0" xfId="463" applyFont="1" applyBorder="1" applyAlignment="1">
      <alignment horizontal="left"/>
    </xf>
    <xf numFmtId="0" fontId="95" fillId="0" borderId="29" xfId="463" applyFont="1" applyBorder="1" applyAlignment="1">
      <alignment horizontal="left"/>
    </xf>
    <xf numFmtId="40" fontId="96" fillId="0" borderId="1" xfId="463" applyNumberFormat="1" applyFont="1" applyBorder="1"/>
    <xf numFmtId="0" fontId="95" fillId="0" borderId="0" xfId="464" applyFont="1" applyFill="1" applyBorder="1"/>
    <xf numFmtId="0" fontId="96" fillId="0" borderId="0" xfId="464" applyFont="1" applyFill="1" applyBorder="1" applyAlignment="1">
      <alignment horizontal="centerContinuous"/>
    </xf>
    <xf numFmtId="0" fontId="95" fillId="0" borderId="0" xfId="464" applyFont="1" applyFill="1" applyBorder="1" applyAlignment="1">
      <alignment horizontal="centerContinuous"/>
    </xf>
    <xf numFmtId="0" fontId="96" fillId="0" borderId="0" xfId="464" applyFont="1" applyFill="1" applyBorder="1"/>
    <xf numFmtId="0" fontId="96" fillId="0" borderId="0" xfId="464" applyFont="1" applyFill="1" applyBorder="1" applyAlignment="1">
      <alignment horizontal="right"/>
    </xf>
    <xf numFmtId="49" fontId="124" fillId="0" borderId="0" xfId="464" applyNumberFormat="1" applyFont="1" applyFill="1" applyBorder="1" applyAlignment="1">
      <alignment horizontal="left"/>
    </xf>
    <xf numFmtId="0" fontId="95" fillId="0" borderId="0" xfId="464" applyFont="1" applyFill="1" applyBorder="1" applyAlignment="1">
      <alignment horizontal="right"/>
    </xf>
    <xf numFmtId="40" fontId="96" fillId="0" borderId="0" xfId="25" applyNumberFormat="1" applyFont="1" applyFill="1" applyBorder="1"/>
    <xf numFmtId="0" fontId="95" fillId="0" borderId="0" xfId="464" applyFont="1" applyFill="1" applyBorder="1" applyAlignment="1">
      <alignment horizontal="left" indent="1"/>
    </xf>
    <xf numFmtId="38" fontId="96" fillId="0" borderId="0" xfId="25" applyNumberFormat="1" applyFont="1" applyFill="1" applyBorder="1"/>
    <xf numFmtId="0" fontId="95" fillId="0" borderId="0" xfId="464" applyNumberFormat="1" applyFont="1" applyFill="1" applyBorder="1" applyAlignment="1">
      <alignment horizontal="left"/>
    </xf>
    <xf numFmtId="0" fontId="95" fillId="0" borderId="0" xfId="464" applyFont="1" applyFill="1" applyBorder="1" applyAlignment="1">
      <alignment horizontal="center"/>
    </xf>
    <xf numFmtId="0" fontId="96" fillId="0" borderId="0" xfId="464" applyFont="1" applyFill="1" applyBorder="1" applyAlignment="1">
      <alignment horizontal="center"/>
    </xf>
    <xf numFmtId="0" fontId="125" fillId="0" borderId="0" xfId="464" applyFont="1" applyFill="1" applyBorder="1"/>
    <xf numFmtId="14" fontId="95" fillId="0" borderId="0" xfId="464" applyNumberFormat="1" applyFont="1" applyFill="1" applyBorder="1"/>
    <xf numFmtId="40" fontId="96" fillId="0" borderId="0" xfId="464" applyNumberFormat="1" applyFont="1" applyFill="1" applyBorder="1"/>
    <xf numFmtId="0" fontId="95" fillId="0" borderId="0" xfId="464" applyFont="1" applyFill="1" applyBorder="1" applyAlignment="1">
      <alignment horizontal="left"/>
    </xf>
    <xf numFmtId="177" fontId="0" fillId="0" borderId="0" xfId="452" applyNumberFormat="1" applyFont="1" applyBorder="1"/>
    <xf numFmtId="0" fontId="89" fillId="0" borderId="0" xfId="0" applyFont="1" applyBorder="1"/>
    <xf numFmtId="0" fontId="91" fillId="0" borderId="0" xfId="0" applyFont="1" applyBorder="1"/>
    <xf numFmtId="0" fontId="91" fillId="0" borderId="25" xfId="0" applyFont="1" applyBorder="1"/>
    <xf numFmtId="0" fontId="91" fillId="0" borderId="26" xfId="0" applyFont="1" applyBorder="1"/>
    <xf numFmtId="0" fontId="91" fillId="0" borderId="27" xfId="0" applyFont="1" applyBorder="1"/>
    <xf numFmtId="0" fontId="126" fillId="0" borderId="0" xfId="463" applyFont="1" applyBorder="1"/>
    <xf numFmtId="0" fontId="95" fillId="0" borderId="0" xfId="458" applyFont="1" applyBorder="1"/>
    <xf numFmtId="0" fontId="96" fillId="0" borderId="0" xfId="458" applyFont="1" applyBorder="1" applyAlignment="1">
      <alignment horizontal="center"/>
    </xf>
    <xf numFmtId="3" fontId="96" fillId="0" borderId="0" xfId="458" applyNumberFormat="1" applyFont="1" applyBorder="1" applyAlignment="1">
      <alignment horizontal="center"/>
    </xf>
    <xf numFmtId="0" fontId="96" fillId="0" borderId="0" xfId="458" applyNumberFormat="1" applyFont="1" applyBorder="1" applyAlignment="1">
      <alignment horizontal="center"/>
    </xf>
    <xf numFmtId="0" fontId="127" fillId="0" borderId="0" xfId="463" applyFont="1" applyBorder="1"/>
    <xf numFmtId="0" fontId="90" fillId="0" borderId="0" xfId="458" applyFont="1" applyBorder="1"/>
    <xf numFmtId="3" fontId="95" fillId="0" borderId="0" xfId="458" applyNumberFormat="1" applyFont="1" applyBorder="1"/>
    <xf numFmtId="0" fontId="92" fillId="0" borderId="0" xfId="458" applyFont="1" applyBorder="1"/>
    <xf numFmtId="164" fontId="95" fillId="0" borderId="0" xfId="21" applyNumberFormat="1" applyFont="1" applyBorder="1" applyAlignment="1">
      <alignment horizontal="right"/>
    </xf>
    <xf numFmtId="164" fontId="96" fillId="0" borderId="0" xfId="21" applyNumberFormat="1" applyFont="1" applyBorder="1" applyAlignment="1">
      <alignment horizontal="center"/>
    </xf>
    <xf numFmtId="164" fontId="95" fillId="0" borderId="0" xfId="21" applyNumberFormat="1" applyFont="1" applyBorder="1"/>
    <xf numFmtId="3" fontId="128" fillId="0" borderId="0" xfId="88" applyNumberFormat="1" applyFont="1" applyBorder="1"/>
    <xf numFmtId="164" fontId="95" fillId="0" borderId="0" xfId="88" applyNumberFormat="1" applyFont="1" applyBorder="1"/>
    <xf numFmtId="0" fontId="95" fillId="0" borderId="0" xfId="458" applyFont="1" applyBorder="1" applyAlignment="1">
      <alignment horizontal="left"/>
    </xf>
    <xf numFmtId="164" fontId="128" fillId="0" borderId="0" xfId="88" applyNumberFormat="1" applyFont="1" applyBorder="1" applyAlignment="1">
      <alignment horizontal="left"/>
    </xf>
    <xf numFmtId="164" fontId="96" fillId="0" borderId="0" xfId="88" applyNumberFormat="1" applyFont="1" applyBorder="1"/>
    <xf numFmtId="164" fontId="96" fillId="0" borderId="1" xfId="21" applyNumberFormat="1" applyFont="1" applyBorder="1"/>
    <xf numFmtId="164" fontId="95" fillId="0" borderId="1" xfId="21" applyNumberFormat="1" applyFont="1" applyBorder="1" applyAlignment="1">
      <alignment horizontal="right"/>
    </xf>
    <xf numFmtId="0" fontId="95" fillId="0" borderId="0" xfId="458" applyFont="1" applyBorder="1" applyAlignment="1">
      <alignment horizontal="right"/>
    </xf>
    <xf numFmtId="164" fontId="96" fillId="0" borderId="0" xfId="21" applyNumberFormat="1" applyFont="1" applyBorder="1"/>
    <xf numFmtId="0" fontId="96" fillId="0" borderId="0" xfId="458" applyFont="1" applyBorder="1" applyAlignment="1">
      <alignment horizontal="right"/>
    </xf>
    <xf numFmtId="164" fontId="96" fillId="0" borderId="28" xfId="88" applyNumberFormat="1" applyFont="1" applyBorder="1"/>
    <xf numFmtId="164" fontId="91" fillId="0" borderId="0" xfId="0" applyNumberFormat="1" applyFont="1" applyBorder="1"/>
    <xf numFmtId="0" fontId="128" fillId="0" borderId="0" xfId="0" applyFont="1" applyBorder="1"/>
    <xf numFmtId="0" fontId="91" fillId="0" borderId="29" xfId="0" applyFont="1" applyBorder="1"/>
    <xf numFmtId="164" fontId="90" fillId="0" borderId="0" xfId="88" applyNumberFormat="1" applyFont="1" applyBorder="1"/>
    <xf numFmtId="164" fontId="90" fillId="0" borderId="0" xfId="88" applyNumberFormat="1" applyFont="1" applyFill="1" applyBorder="1"/>
    <xf numFmtId="3" fontId="90" fillId="0" borderId="0" xfId="88" applyNumberFormat="1" applyFont="1" applyBorder="1"/>
    <xf numFmtId="0" fontId="128" fillId="0" borderId="30" xfId="0" applyFont="1" applyBorder="1"/>
    <xf numFmtId="0" fontId="91" fillId="0" borderId="2" xfId="0" applyFont="1" applyBorder="1"/>
    <xf numFmtId="0" fontId="91" fillId="0" borderId="31" xfId="0" applyFont="1" applyBorder="1"/>
    <xf numFmtId="3" fontId="92" fillId="0" borderId="0" xfId="458" applyNumberFormat="1" applyFont="1" applyBorder="1"/>
    <xf numFmtId="3" fontId="90" fillId="0" borderId="0" xfId="458" applyNumberFormat="1" applyFont="1" applyBorder="1"/>
    <xf numFmtId="0" fontId="90" fillId="0" borderId="0" xfId="458" applyFont="1" applyBorder="1" applyAlignment="1">
      <alignment horizontal="right"/>
    </xf>
    <xf numFmtId="37" fontId="90" fillId="0" borderId="0" xfId="458" applyNumberFormat="1" applyFont="1" applyFill="1" applyBorder="1"/>
    <xf numFmtId="3" fontId="129" fillId="0" borderId="0" xfId="458" applyNumberFormat="1" applyFont="1" applyBorder="1"/>
    <xf numFmtId="3" fontId="90" fillId="0" borderId="0" xfId="458" quotePrefix="1" applyNumberFormat="1" applyFont="1" applyBorder="1"/>
    <xf numFmtId="0" fontId="126" fillId="0" borderId="0" xfId="464" applyFont="1" applyFill="1" applyBorder="1"/>
    <xf numFmtId="3" fontId="95" fillId="0" borderId="0" xfId="17" applyNumberFormat="1" applyFont="1" applyBorder="1" applyAlignment="1">
      <alignment horizontal="right"/>
    </xf>
    <xf numFmtId="0" fontId="127" fillId="0" borderId="0" xfId="464" applyFont="1" applyFill="1" applyBorder="1"/>
    <xf numFmtId="37" fontId="92" fillId="0" borderId="0" xfId="458" applyNumberFormat="1" applyFont="1" applyBorder="1"/>
    <xf numFmtId="177" fontId="92" fillId="0" borderId="0" xfId="459" applyNumberFormat="1" applyFont="1" applyFill="1" applyBorder="1"/>
    <xf numFmtId="3" fontId="92" fillId="0" borderId="0" xfId="458" quotePrefix="1" applyNumberFormat="1" applyFont="1" applyFill="1" applyBorder="1"/>
    <xf numFmtId="37" fontId="90" fillId="0" borderId="0" xfId="458" applyNumberFormat="1" applyFont="1" applyBorder="1"/>
    <xf numFmtId="0" fontId="92" fillId="0" borderId="0" xfId="458" applyFont="1" applyBorder="1" applyAlignment="1">
      <alignment horizontal="left"/>
    </xf>
    <xf numFmtId="0" fontId="91" fillId="6" borderId="0" xfId="0" applyFont="1" applyFill="1" applyBorder="1"/>
    <xf numFmtId="0" fontId="96" fillId="0" borderId="0" xfId="458" applyFont="1" applyFill="1" applyBorder="1"/>
    <xf numFmtId="0" fontId="95" fillId="0" borderId="0" xfId="458" applyFont="1" applyFill="1" applyBorder="1"/>
    <xf numFmtId="3" fontId="95" fillId="0" borderId="0" xfId="458" applyNumberFormat="1" applyFont="1" applyFill="1" applyBorder="1"/>
    <xf numFmtId="164" fontId="95" fillId="0" borderId="0" xfId="88" applyNumberFormat="1" applyFont="1" applyFill="1" applyBorder="1"/>
    <xf numFmtId="3" fontId="96" fillId="0" borderId="0" xfId="458" applyNumberFormat="1" applyFont="1" applyFill="1" applyBorder="1"/>
    <xf numFmtId="171" fontId="95" fillId="0" borderId="0" xfId="458" applyNumberFormat="1" applyFont="1" applyFill="1" applyBorder="1"/>
    <xf numFmtId="164" fontId="128" fillId="0" borderId="0" xfId="88" applyNumberFormat="1" applyFont="1" applyFill="1" applyBorder="1" applyAlignment="1">
      <alignment horizontal="left"/>
    </xf>
    <xf numFmtId="0" fontId="128" fillId="0" borderId="0" xfId="0" applyFont="1" applyFill="1" applyBorder="1"/>
    <xf numFmtId="3" fontId="96" fillId="0" borderId="0" xfId="458" quotePrefix="1" applyNumberFormat="1" applyFont="1" applyFill="1" applyBorder="1"/>
    <xf numFmtId="0" fontId="129" fillId="0" borderId="0" xfId="458" applyFont="1" applyFill="1" applyBorder="1"/>
    <xf numFmtId="164" fontId="95" fillId="0" borderId="0" xfId="88" quotePrefix="1" applyNumberFormat="1" applyFont="1" applyFill="1" applyBorder="1"/>
    <xf numFmtId="0" fontId="95" fillId="0" borderId="0" xfId="458" applyFont="1" applyFill="1" applyBorder="1" applyAlignment="1">
      <alignment horizontal="left"/>
    </xf>
    <xf numFmtId="164" fontId="96" fillId="0" borderId="0" xfId="88" applyNumberFormat="1" applyFont="1" applyFill="1" applyBorder="1"/>
    <xf numFmtId="9" fontId="95" fillId="0" borderId="0" xfId="119" applyFont="1" applyFill="1" applyBorder="1"/>
    <xf numFmtId="43" fontId="95" fillId="0" borderId="0" xfId="88" applyFont="1" applyFill="1" applyBorder="1"/>
    <xf numFmtId="0" fontId="95" fillId="0" borderId="0" xfId="458" applyFont="1" applyFill="1" applyBorder="1" applyAlignment="1">
      <alignment horizontal="right"/>
    </xf>
    <xf numFmtId="164" fontId="96" fillId="0" borderId="0" xfId="88" quotePrefix="1" applyNumberFormat="1" applyFont="1" applyFill="1" applyBorder="1"/>
    <xf numFmtId="0" fontId="96" fillId="0" borderId="0" xfId="458" applyFont="1" applyFill="1" applyBorder="1" applyAlignment="1">
      <alignment horizontal="left"/>
    </xf>
    <xf numFmtId="0" fontId="95" fillId="23" borderId="0" xfId="458" applyFont="1" applyFill="1" applyBorder="1"/>
    <xf numFmtId="0" fontId="96" fillId="23" borderId="0" xfId="458" applyFont="1" applyFill="1" applyBorder="1"/>
    <xf numFmtId="3" fontId="95" fillId="23" borderId="0" xfId="458" applyNumberFormat="1" applyFont="1" applyFill="1" applyBorder="1"/>
    <xf numFmtId="0" fontId="89" fillId="0" borderId="0" xfId="0" applyFont="1" applyBorder="1" applyAlignment="1">
      <alignment horizontal="center"/>
    </xf>
    <xf numFmtId="3" fontId="91" fillId="0" borderId="0" xfId="0" applyNumberFormat="1" applyFont="1" applyBorder="1"/>
    <xf numFmtId="3" fontId="89" fillId="0" borderId="0" xfId="0" applyNumberFormat="1" applyFont="1" applyBorder="1"/>
    <xf numFmtId="37" fontId="91" fillId="0" borderId="0" xfId="0" applyNumberFormat="1" applyFont="1" applyBorder="1"/>
    <xf numFmtId="37" fontId="89" fillId="0" borderId="0" xfId="0" applyNumberFormat="1" applyFont="1" applyBorder="1"/>
    <xf numFmtId="0" fontId="89" fillId="0" borderId="0" xfId="0" applyFont="1" applyFill="1" applyBorder="1"/>
    <xf numFmtId="3" fontId="91" fillId="0" borderId="0" xfId="0" applyNumberFormat="1" applyFont="1" applyFill="1" applyBorder="1"/>
    <xf numFmtId="0" fontId="92" fillId="0" borderId="0" xfId="458" applyFont="1" applyFill="1" applyBorder="1" applyAlignment="1">
      <alignment horizontal="center"/>
    </xf>
    <xf numFmtId="0" fontId="96" fillId="0" borderId="0" xfId="458" applyFont="1" applyFill="1" applyBorder="1" applyAlignment="1">
      <alignment horizontal="center"/>
    </xf>
    <xf numFmtId="0" fontId="91" fillId="0" borderId="0" xfId="0" applyFont="1" applyFill="1" applyBorder="1" applyAlignment="1">
      <alignment horizontal="center"/>
    </xf>
    <xf numFmtId="164" fontId="90" fillId="0" borderId="0" xfId="0" applyNumberFormat="1" applyFont="1" applyFill="1" applyBorder="1"/>
    <xf numFmtId="43" fontId="91" fillId="0" borderId="0" xfId="0" applyNumberFormat="1" applyFont="1" applyFill="1" applyBorder="1"/>
    <xf numFmtId="37" fontId="95" fillId="0" borderId="0" xfId="458" applyNumberFormat="1" applyFont="1" applyBorder="1"/>
    <xf numFmtId="0" fontId="90" fillId="0" borderId="0" xfId="0" applyFont="1" applyFill="1" applyBorder="1"/>
    <xf numFmtId="3" fontId="90" fillId="0" borderId="0" xfId="0" applyNumberFormat="1" applyFont="1" applyFill="1" applyBorder="1"/>
    <xf numFmtId="179" fontId="95" fillId="0" borderId="0" xfId="119" applyNumberFormat="1" applyFont="1" applyFill="1" applyBorder="1"/>
    <xf numFmtId="41" fontId="92" fillId="0" borderId="0" xfId="458" applyNumberFormat="1" applyFont="1" applyBorder="1" applyAlignment="1">
      <alignment horizontal="center"/>
    </xf>
    <xf numFmtId="3" fontId="92" fillId="0" borderId="0" xfId="458" applyNumberFormat="1" applyFont="1" applyFill="1" applyBorder="1" applyAlignment="1">
      <alignment horizontal="right"/>
    </xf>
    <xf numFmtId="164" fontId="96" fillId="0" borderId="0" xfId="458" applyNumberFormat="1" applyFont="1" applyFill="1" applyBorder="1"/>
    <xf numFmtId="3" fontId="96" fillId="0" borderId="0" xfId="458" applyNumberFormat="1" applyFont="1" applyBorder="1"/>
    <xf numFmtId="0" fontId="92" fillId="0" borderId="0" xfId="0" applyFont="1" applyFill="1" applyBorder="1"/>
    <xf numFmtId="37" fontId="95" fillId="0" borderId="0" xfId="458" applyNumberFormat="1" applyFont="1" applyFill="1" applyBorder="1"/>
    <xf numFmtId="37" fontId="96" fillId="0" borderId="0" xfId="458" applyNumberFormat="1" applyFont="1" applyFill="1" applyBorder="1"/>
    <xf numFmtId="37" fontId="92" fillId="0" borderId="0" xfId="0" applyNumberFormat="1" applyFont="1" applyFill="1" applyBorder="1"/>
    <xf numFmtId="0" fontId="96" fillId="0" borderId="0" xfId="458" applyFont="1" applyBorder="1"/>
    <xf numFmtId="5" fontId="96" fillId="0" borderId="0" xfId="458" applyNumberFormat="1" applyFont="1" applyBorder="1"/>
    <xf numFmtId="170" fontId="96" fillId="0" borderId="0" xfId="458" applyNumberFormat="1" applyFont="1" applyFill="1" applyBorder="1"/>
    <xf numFmtId="37" fontId="91" fillId="0" borderId="0" xfId="0" applyNumberFormat="1" applyFont="1" applyFill="1" applyBorder="1"/>
    <xf numFmtId="37" fontId="89" fillId="0" borderId="0" xfId="0" applyNumberFormat="1" applyFont="1" applyFill="1" applyBorder="1"/>
    <xf numFmtId="3" fontId="91" fillId="0" borderId="0" xfId="0" applyNumberFormat="1" applyFont="1" applyFill="1" applyBorder="1" applyAlignment="1">
      <alignment horizontal="center"/>
    </xf>
    <xf numFmtId="10" fontId="90" fillId="0" borderId="0" xfId="119" applyNumberFormat="1" applyFont="1" applyBorder="1"/>
    <xf numFmtId="3" fontId="90" fillId="0" borderId="0" xfId="119" applyNumberFormat="1" applyFont="1" applyFill="1" applyBorder="1"/>
    <xf numFmtId="37" fontId="92" fillId="0" borderId="0" xfId="458" applyNumberFormat="1" applyFont="1" applyFill="1" applyBorder="1"/>
    <xf numFmtId="3" fontId="92" fillId="0" borderId="0" xfId="458" applyNumberFormat="1" applyFont="1" applyFill="1" applyBorder="1"/>
    <xf numFmtId="3" fontId="90" fillId="0" borderId="0" xfId="458" quotePrefix="1" applyNumberFormat="1" applyFont="1" applyFill="1" applyBorder="1"/>
    <xf numFmtId="10" fontId="89" fillId="0" borderId="0" xfId="0" applyNumberFormat="1" applyFont="1" applyFill="1" applyBorder="1"/>
    <xf numFmtId="10" fontId="96" fillId="0" borderId="0" xfId="458" applyNumberFormat="1" applyFont="1" applyFill="1" applyBorder="1"/>
    <xf numFmtId="10" fontId="89" fillId="0" borderId="0" xfId="0" applyNumberFormat="1" applyFont="1" applyBorder="1"/>
    <xf numFmtId="0" fontId="92" fillId="0" borderId="0" xfId="458" applyFont="1" applyFill="1" applyBorder="1"/>
    <xf numFmtId="164" fontId="91" fillId="0" borderId="0" xfId="215" applyNumberFormat="1" applyFont="1" applyBorder="1"/>
    <xf numFmtId="0" fontId="96" fillId="0" borderId="0" xfId="0" applyFont="1" applyFill="1" applyBorder="1" applyAlignment="1">
      <alignment horizontal="left"/>
    </xf>
    <xf numFmtId="5" fontId="89" fillId="0" borderId="0" xfId="0" applyNumberFormat="1" applyFont="1" applyBorder="1"/>
    <xf numFmtId="177" fontId="89" fillId="0" borderId="0" xfId="452" applyNumberFormat="1" applyFont="1" applyBorder="1"/>
    <xf numFmtId="177" fontId="95" fillId="0" borderId="0" xfId="452" applyNumberFormat="1" applyFont="1" applyBorder="1"/>
    <xf numFmtId="0" fontId="95" fillId="0" borderId="0" xfId="0" applyFont="1" applyFill="1" applyBorder="1"/>
    <xf numFmtId="177" fontId="91" fillId="0" borderId="0" xfId="452" applyNumberFormat="1" applyFont="1" applyBorder="1"/>
    <xf numFmtId="0" fontId="89" fillId="0" borderId="0" xfId="0" applyFont="1" applyFill="1" applyBorder="1" applyAlignment="1">
      <alignment horizontal="left"/>
    </xf>
    <xf numFmtId="0" fontId="96" fillId="0" borderId="0" xfId="17" applyFont="1" applyBorder="1"/>
    <xf numFmtId="3" fontId="96" fillId="0" borderId="0" xfId="458" applyNumberFormat="1" applyFont="1" applyFill="1" applyBorder="1" applyAlignment="1">
      <alignment horizontal="center"/>
    </xf>
    <xf numFmtId="0" fontId="96" fillId="0" borderId="0" xfId="17" applyFont="1" applyFill="1" applyBorder="1"/>
    <xf numFmtId="3" fontId="92" fillId="0" borderId="0" xfId="458" applyNumberFormat="1" applyFont="1" applyFill="1" applyBorder="1" applyAlignment="1">
      <alignment horizontal="center"/>
    </xf>
    <xf numFmtId="0" fontId="96" fillId="0" borderId="0" xfId="458" applyNumberFormat="1" applyFont="1" applyFill="1" applyBorder="1" applyAlignment="1">
      <alignment horizontal="center"/>
    </xf>
    <xf numFmtId="0" fontId="89" fillId="0" borderId="0" xfId="0" applyNumberFormat="1" applyFont="1" applyBorder="1" applyAlignment="1">
      <alignment horizontal="center"/>
    </xf>
    <xf numFmtId="3" fontId="89" fillId="0" borderId="0" xfId="0" applyNumberFormat="1" applyFont="1" applyBorder="1" applyAlignment="1">
      <alignment horizontal="center"/>
    </xf>
    <xf numFmtId="3" fontId="90" fillId="0" borderId="0" xfId="45" applyNumberFormat="1" applyFont="1" applyFill="1" applyBorder="1"/>
    <xf numFmtId="3" fontId="90" fillId="0" borderId="0" xfId="458" applyNumberFormat="1" applyFont="1" applyFill="1" applyBorder="1"/>
    <xf numFmtId="0" fontId="95" fillId="0" borderId="0" xfId="17" applyFont="1" applyBorder="1"/>
    <xf numFmtId="3" fontId="90" fillId="0" borderId="0" xfId="45" applyNumberFormat="1" applyFont="1" applyBorder="1"/>
    <xf numFmtId="3" fontId="95" fillId="0" borderId="0" xfId="17" applyNumberFormat="1" applyFont="1" applyBorder="1"/>
    <xf numFmtId="3" fontId="96" fillId="0" borderId="0" xfId="45" applyNumberFormat="1" applyFont="1" applyBorder="1"/>
    <xf numFmtId="3" fontId="95" fillId="0" borderId="0" xfId="17" applyNumberFormat="1" applyFont="1" applyFill="1" applyBorder="1"/>
    <xf numFmtId="3" fontId="95" fillId="0" borderId="0" xfId="45" applyNumberFormat="1" applyFont="1" applyBorder="1"/>
    <xf numFmtId="37" fontId="90" fillId="0" borderId="0" xfId="45" applyNumberFormat="1" applyFont="1" applyFill="1" applyBorder="1"/>
    <xf numFmtId="37" fontId="90" fillId="0" borderId="0" xfId="45" applyNumberFormat="1" applyFont="1" applyBorder="1"/>
    <xf numFmtId="37" fontId="96" fillId="0" borderId="0" xfId="45" applyNumberFormat="1" applyFont="1" applyBorder="1"/>
    <xf numFmtId="3" fontId="130" fillId="0" borderId="0" xfId="17" applyNumberFormat="1" applyFont="1" applyBorder="1"/>
    <xf numFmtId="0" fontId="90" fillId="23" borderId="0" xfId="458" applyFont="1" applyFill="1" applyBorder="1"/>
    <xf numFmtId="3" fontId="90" fillId="23" borderId="0" xfId="458" applyNumberFormat="1" applyFont="1" applyFill="1" applyBorder="1"/>
    <xf numFmtId="3" fontId="95" fillId="0" borderId="0" xfId="458" applyNumberFormat="1" applyFont="1" applyFill="1" applyBorder="1" applyAlignment="1">
      <alignment horizontal="right"/>
    </xf>
    <xf numFmtId="178" fontId="90" fillId="0" borderId="0" xfId="458" applyNumberFormat="1" applyFont="1" applyFill="1" applyBorder="1"/>
    <xf numFmtId="10" fontId="90" fillId="0" borderId="0" xfId="458" applyNumberFormat="1" applyFont="1" applyFill="1" applyBorder="1"/>
    <xf numFmtId="0" fontId="90" fillId="0" borderId="0" xfId="458" applyFont="1" applyFill="1" applyBorder="1"/>
    <xf numFmtId="10" fontId="92" fillId="0" borderId="0" xfId="119" applyNumberFormat="1" applyFont="1" applyFill="1" applyBorder="1"/>
    <xf numFmtId="164" fontId="92" fillId="0" borderId="0" xfId="45" applyNumberFormat="1" applyFont="1" applyFill="1" applyBorder="1"/>
    <xf numFmtId="164" fontId="92" fillId="0" borderId="0" xfId="458" applyNumberFormat="1" applyFont="1" applyFill="1" applyBorder="1"/>
    <xf numFmtId="164" fontId="90" fillId="0" borderId="0" xfId="458" applyNumberFormat="1" applyFont="1" applyFill="1" applyBorder="1" applyAlignment="1">
      <alignment horizontal="center"/>
    </xf>
    <xf numFmtId="164" fontId="90" fillId="0" borderId="0" xfId="458" applyNumberFormat="1" applyFont="1" applyFill="1" applyBorder="1"/>
    <xf numFmtId="164" fontId="92" fillId="0" borderId="0" xfId="88" applyNumberFormat="1" applyFont="1" applyFill="1" applyBorder="1"/>
    <xf numFmtId="10" fontId="96" fillId="0" borderId="0" xfId="17" applyNumberFormat="1" applyFont="1" applyBorder="1"/>
    <xf numFmtId="0" fontId="95" fillId="23" borderId="0" xfId="17" applyFont="1" applyFill="1" applyBorder="1"/>
    <xf numFmtId="3" fontId="95" fillId="23" borderId="0" xfId="17" applyNumberFormat="1" applyFont="1" applyFill="1" applyBorder="1"/>
    <xf numFmtId="0" fontId="95" fillId="0" borderId="0" xfId="17" applyFont="1" applyFill="1" applyBorder="1"/>
    <xf numFmtId="0" fontId="89" fillId="0" borderId="0" xfId="0" applyFont="1"/>
    <xf numFmtId="0" fontId="89" fillId="0" borderId="0" xfId="0" applyFont="1" applyAlignment="1">
      <alignment horizontal="center"/>
    </xf>
    <xf numFmtId="170" fontId="89" fillId="0" borderId="0" xfId="0" applyNumberFormat="1" applyFont="1"/>
    <xf numFmtId="37" fontId="129" fillId="0" borderId="0" xfId="17" applyNumberFormat="1" applyFont="1" applyFill="1" applyBorder="1" applyAlignment="1">
      <alignment horizontal="left"/>
    </xf>
    <xf numFmtId="0" fontId="91" fillId="6" borderId="0" xfId="0" applyFont="1" applyFill="1"/>
    <xf numFmtId="3" fontId="91" fillId="0" borderId="0" xfId="0" applyNumberFormat="1" applyFont="1"/>
    <xf numFmtId="3" fontId="89" fillId="0" borderId="0" xfId="0" applyNumberFormat="1" applyFont="1"/>
    <xf numFmtId="175" fontId="91" fillId="0" borderId="0" xfId="0" applyNumberFormat="1" applyFont="1"/>
    <xf numFmtId="175" fontId="89" fillId="0" borderId="0" xfId="0" applyNumberFormat="1" applyFont="1"/>
    <xf numFmtId="177" fontId="0" fillId="0" borderId="1" xfId="452" applyNumberFormat="1" applyFont="1" applyFill="1" applyBorder="1"/>
    <xf numFmtId="0" fontId="75" fillId="50" borderId="0" xfId="0" applyFont="1" applyFill="1" applyAlignment="1">
      <alignment horizontal="center"/>
    </xf>
    <xf numFmtId="0" fontId="0" fillId="0" borderId="39" xfId="0" applyBorder="1"/>
    <xf numFmtId="177" fontId="0" fillId="0" borderId="22" xfId="452" applyNumberFormat="1" applyFont="1" applyBorder="1"/>
    <xf numFmtId="0" fontId="0" fillId="0" borderId="35" xfId="0" applyBorder="1"/>
    <xf numFmtId="0" fontId="0" fillId="0" borderId="37" xfId="0" applyBorder="1"/>
    <xf numFmtId="177" fontId="75" fillId="0" borderId="2" xfId="452" applyNumberFormat="1" applyFont="1" applyBorder="1"/>
    <xf numFmtId="9" fontId="75" fillId="0" borderId="2" xfId="1" applyFont="1" applyBorder="1"/>
    <xf numFmtId="0" fontId="75" fillId="0" borderId="0" xfId="0" applyFont="1" applyFill="1" applyAlignment="1">
      <alignment horizontal="center"/>
    </xf>
    <xf numFmtId="0" fontId="75" fillId="50" borderId="1" xfId="0" applyFont="1" applyFill="1" applyBorder="1" applyAlignment="1">
      <alignment horizontal="center"/>
    </xf>
    <xf numFmtId="0" fontId="131" fillId="6" borderId="40" xfId="0" applyFont="1" applyFill="1" applyBorder="1" applyAlignment="1">
      <alignment horizontal="center"/>
    </xf>
    <xf numFmtId="164" fontId="75" fillId="6" borderId="21" xfId="216" applyNumberFormat="1" applyFont="1" applyFill="1" applyBorder="1" applyAlignment="1">
      <alignment horizontal="center"/>
    </xf>
    <xf numFmtId="164" fontId="75" fillId="6" borderId="20" xfId="216" applyNumberFormat="1" applyFont="1" applyFill="1" applyBorder="1" applyAlignment="1">
      <alignment horizontal="center" wrapText="1"/>
    </xf>
    <xf numFmtId="0" fontId="3" fillId="6" borderId="0" xfId="110" applyFont="1" applyFill="1" applyAlignment="1">
      <alignment horizontal="left"/>
    </xf>
    <xf numFmtId="164" fontId="1" fillId="6" borderId="0" xfId="469" applyNumberFormat="1" applyFont="1" applyFill="1"/>
    <xf numFmtId="178" fontId="6" fillId="0" borderId="0" xfId="1" applyNumberFormat="1" applyFont="1"/>
    <xf numFmtId="0" fontId="132" fillId="6" borderId="0" xfId="110" applyFont="1" applyFill="1" applyAlignment="1">
      <alignment horizontal="left"/>
    </xf>
    <xf numFmtId="164" fontId="123" fillId="6" borderId="0" xfId="469" applyNumberFormat="1" applyFont="1" applyFill="1"/>
    <xf numFmtId="10" fontId="123" fillId="6" borderId="0" xfId="20" applyNumberFormat="1" applyFont="1" applyFill="1"/>
    <xf numFmtId="178" fontId="7" fillId="0" borderId="0" xfId="1" applyNumberFormat="1" applyFont="1"/>
    <xf numFmtId="164" fontId="11" fillId="0" borderId="0" xfId="5" applyNumberFormat="1" applyFont="1" applyFill="1" applyBorder="1"/>
    <xf numFmtId="164" fontId="3" fillId="0" borderId="0" xfId="5" applyNumberFormat="1" applyFont="1" applyFill="1" applyBorder="1"/>
    <xf numFmtId="164" fontId="11" fillId="0" borderId="0" xfId="5" applyNumberFormat="1" applyFont="1" applyFill="1" applyAlignment="1">
      <alignment horizontal="right"/>
    </xf>
    <xf numFmtId="9" fontId="3" fillId="0" borderId="0" xfId="1" applyFont="1" applyFill="1"/>
    <xf numFmtId="177" fontId="3" fillId="0" borderId="0" xfId="452" applyNumberFormat="1" applyFont="1" applyFill="1"/>
    <xf numFmtId="177" fontId="3" fillId="0" borderId="0" xfId="452" applyNumberFormat="1" applyFont="1" applyFill="1" applyBorder="1"/>
    <xf numFmtId="177" fontId="4" fillId="0" borderId="0" xfId="452" applyNumberFormat="1" applyFont="1" applyFill="1" applyBorder="1"/>
    <xf numFmtId="177" fontId="4" fillId="0" borderId="0" xfId="452" applyNumberFormat="1" applyFont="1"/>
    <xf numFmtId="177" fontId="17" fillId="0" borderId="0" xfId="452" applyNumberFormat="1" applyFont="1" applyFill="1"/>
    <xf numFmtId="177" fontId="11" fillId="0" borderId="19" xfId="452" applyNumberFormat="1" applyFont="1" applyFill="1" applyBorder="1"/>
    <xf numFmtId="177" fontId="11" fillId="0" borderId="0" xfId="452" applyNumberFormat="1" applyFont="1" applyFill="1"/>
    <xf numFmtId="0" fontId="129" fillId="0" borderId="0" xfId="0" applyFont="1" applyBorder="1"/>
    <xf numFmtId="0" fontId="129" fillId="0" borderId="0" xfId="458" applyFont="1" applyBorder="1"/>
    <xf numFmtId="0" fontId="0" fillId="0" borderId="1" xfId="0" applyFont="1" applyBorder="1" applyAlignment="1">
      <alignment horizontal="center"/>
    </xf>
    <xf numFmtId="0" fontId="0" fillId="0" borderId="1" xfId="0" applyFont="1" applyFill="1" applyBorder="1" applyAlignment="1">
      <alignment horizontal="center"/>
    </xf>
    <xf numFmtId="43" fontId="0" fillId="0" borderId="0" xfId="21" applyFont="1"/>
    <xf numFmtId="43" fontId="0" fillId="0" borderId="0" xfId="0" applyNumberFormat="1" applyFont="1" applyBorder="1" applyAlignment="1">
      <alignment horizontal="center"/>
    </xf>
    <xf numFmtId="43" fontId="0" fillId="0" borderId="0" xfId="0" applyNumberFormat="1" applyFont="1"/>
    <xf numFmtId="43" fontId="0" fillId="0" borderId="0" xfId="21" applyFont="1" applyAlignment="1">
      <alignment horizontal="center"/>
    </xf>
    <xf numFmtId="0" fontId="0" fillId="0" borderId="0" xfId="0" applyFont="1" applyAlignment="1">
      <alignment horizontal="left" indent="1"/>
    </xf>
    <xf numFmtId="164" fontId="0" fillId="0" borderId="0" xfId="21" applyNumberFormat="1" applyFont="1"/>
    <xf numFmtId="0" fontId="0" fillId="8" borderId="0" xfId="0" applyFont="1" applyFill="1" applyAlignment="1">
      <alignment horizontal="center"/>
    </xf>
    <xf numFmtId="0" fontId="74" fillId="52" borderId="0" xfId="0" applyFont="1" applyFill="1" applyAlignment="1">
      <alignment horizontal="right"/>
    </xf>
    <xf numFmtId="0" fontId="134" fillId="0" borderId="0" xfId="0" applyFont="1" applyFill="1"/>
    <xf numFmtId="0" fontId="134" fillId="0" borderId="0" xfId="0" applyFont="1" applyFill="1" applyAlignment="1">
      <alignment horizontal="center"/>
    </xf>
    <xf numFmtId="43" fontId="75" fillId="0" borderId="0" xfId="0" applyNumberFormat="1" applyFont="1"/>
    <xf numFmtId="0" fontId="75" fillId="0" borderId="0" xfId="0" applyFont="1" applyAlignment="1">
      <alignment horizontal="left" indent="1"/>
    </xf>
    <xf numFmtId="41" fontId="0" fillId="0" borderId="0" xfId="21" applyNumberFormat="1" applyFont="1"/>
    <xf numFmtId="0" fontId="75" fillId="51" borderId="1" xfId="0" applyFont="1" applyFill="1" applyBorder="1"/>
    <xf numFmtId="0" fontId="0" fillId="51" borderId="1" xfId="0" applyFont="1" applyFill="1" applyBorder="1" applyAlignment="1">
      <alignment horizontal="center"/>
    </xf>
    <xf numFmtId="0" fontId="0" fillId="0" borderId="0" xfId="0" applyFont="1" applyAlignment="1">
      <alignment horizontal="left"/>
    </xf>
    <xf numFmtId="44" fontId="0" fillId="0" borderId="0" xfId="452" applyFont="1" applyFill="1"/>
    <xf numFmtId="185" fontId="0" fillId="0" borderId="0" xfId="452" applyNumberFormat="1" applyFont="1" applyFill="1"/>
    <xf numFmtId="186" fontId="0" fillId="0" borderId="0" xfId="21" applyNumberFormat="1" applyFont="1"/>
    <xf numFmtId="44" fontId="0" fillId="0" borderId="1" xfId="452" applyFont="1" applyFill="1" applyBorder="1"/>
    <xf numFmtId="185" fontId="0" fillId="0" borderId="1" xfId="452" applyNumberFormat="1" applyFont="1" applyFill="1" applyBorder="1"/>
    <xf numFmtId="186" fontId="0" fillId="0" borderId="0" xfId="21" applyNumberFormat="1" applyFont="1" applyBorder="1"/>
    <xf numFmtId="187" fontId="0" fillId="0" borderId="0" xfId="452" applyNumberFormat="1" applyFont="1" applyFill="1"/>
    <xf numFmtId="10" fontId="0" fillId="0" borderId="0" xfId="0" applyNumberFormat="1" applyFont="1"/>
    <xf numFmtId="186" fontId="0" fillId="0" borderId="1" xfId="21" applyNumberFormat="1" applyFont="1" applyBorder="1"/>
    <xf numFmtId="187" fontId="0" fillId="0" borderId="0" xfId="0" applyNumberFormat="1" applyFont="1"/>
    <xf numFmtId="173" fontId="0" fillId="0" borderId="0" xfId="0" applyNumberFormat="1" applyFont="1"/>
    <xf numFmtId="186" fontId="0" fillId="0" borderId="0" xfId="0" applyNumberFormat="1" applyFont="1"/>
    <xf numFmtId="0" fontId="0" fillId="51" borderId="1" xfId="0" applyFont="1" applyFill="1" applyBorder="1"/>
    <xf numFmtId="44" fontId="0" fillId="0" borderId="0" xfId="0" applyNumberFormat="1" applyFont="1"/>
    <xf numFmtId="188" fontId="0" fillId="0" borderId="0" xfId="0" applyNumberFormat="1" applyFont="1"/>
    <xf numFmtId="42" fontId="75" fillId="0" borderId="0" xfId="0" applyNumberFormat="1" applyFont="1"/>
    <xf numFmtId="39" fontId="90" fillId="0" borderId="0" xfId="25" applyNumberFormat="1" applyFont="1" applyFill="1"/>
    <xf numFmtId="0" fontId="89" fillId="0" borderId="0" xfId="0" applyFont="1" applyFill="1" applyAlignment="1">
      <alignment horizontal="center"/>
    </xf>
    <xf numFmtId="3" fontId="90" fillId="0" borderId="0" xfId="462" applyNumberFormat="1" applyFont="1" applyFill="1"/>
    <xf numFmtId="2" fontId="90" fillId="0" borderId="0" xfId="25" applyNumberFormat="1" applyFont="1" applyFill="1"/>
    <xf numFmtId="4" fontId="90" fillId="0" borderId="0" xfId="25" applyNumberFormat="1" applyFont="1" applyFill="1"/>
    <xf numFmtId="164" fontId="92" fillId="0" borderId="0" xfId="462" applyNumberFormat="1" applyFont="1" applyFill="1"/>
    <xf numFmtId="0" fontId="0" fillId="0" borderId="0" xfId="0" applyFont="1" applyFill="1" applyBorder="1"/>
    <xf numFmtId="0" fontId="75" fillId="0" borderId="0" xfId="0" applyFont="1" applyFill="1" applyBorder="1"/>
    <xf numFmtId="0" fontId="0" fillId="0" borderId="0" xfId="0" applyFont="1" applyFill="1" applyBorder="1" applyAlignment="1">
      <alignment horizontal="center"/>
    </xf>
    <xf numFmtId="42" fontId="0" fillId="0" borderId="0" xfId="452" applyNumberFormat="1" applyFont="1" applyFill="1" applyBorder="1"/>
    <xf numFmtId="10" fontId="0" fillId="0" borderId="0" xfId="0" applyNumberFormat="1" applyFont="1" applyFill="1" applyBorder="1" applyAlignment="1">
      <alignment horizontal="right"/>
    </xf>
    <xf numFmtId="44" fontId="90" fillId="0" borderId="0" xfId="462" applyNumberFormat="1" applyFont="1" applyFill="1"/>
    <xf numFmtId="42" fontId="96" fillId="0" borderId="19" xfId="25" applyNumberFormat="1" applyFont="1" applyFill="1" applyBorder="1"/>
    <xf numFmtId="42" fontId="92" fillId="0" borderId="0" xfId="462" applyNumberFormat="1" applyFont="1" applyFill="1"/>
    <xf numFmtId="42" fontId="92" fillId="0" borderId="19" xfId="25" applyNumberFormat="1" applyFont="1" applyFill="1" applyBorder="1"/>
    <xf numFmtId="0" fontId="91" fillId="0" borderId="25" xfId="0" applyFont="1" applyFill="1" applyBorder="1"/>
    <xf numFmtId="0" fontId="91" fillId="0" borderId="26" xfId="0" applyFont="1" applyFill="1" applyBorder="1"/>
    <xf numFmtId="0" fontId="91" fillId="0" borderId="27" xfId="0" applyFont="1" applyFill="1" applyBorder="1"/>
    <xf numFmtId="0" fontId="91" fillId="0" borderId="28" xfId="0" applyFont="1" applyFill="1" applyBorder="1" applyAlignment="1">
      <alignment horizontal="right"/>
    </xf>
    <xf numFmtId="3" fontId="91" fillId="0" borderId="29" xfId="0" applyNumberFormat="1" applyFont="1" applyFill="1" applyBorder="1"/>
    <xf numFmtId="0" fontId="91" fillId="0" borderId="30" xfId="0" applyFont="1" applyFill="1" applyBorder="1" applyAlignment="1">
      <alignment horizontal="right"/>
    </xf>
    <xf numFmtId="0" fontId="91" fillId="0" borderId="2" xfId="0" applyFont="1" applyFill="1" applyBorder="1"/>
    <xf numFmtId="10" fontId="91" fillId="0" borderId="31" xfId="0" applyNumberFormat="1" applyFont="1" applyFill="1" applyBorder="1"/>
    <xf numFmtId="2" fontId="90" fillId="0" borderId="0" xfId="462" applyNumberFormat="1" applyFont="1" applyFill="1"/>
    <xf numFmtId="0" fontId="0" fillId="0" borderId="22" xfId="0" applyBorder="1"/>
    <xf numFmtId="0" fontId="0" fillId="0" borderId="41" xfId="0" applyBorder="1"/>
    <xf numFmtId="0" fontId="0" fillId="0" borderId="0" xfId="0" applyBorder="1"/>
    <xf numFmtId="0" fontId="0" fillId="0" borderId="36" xfId="0" applyBorder="1"/>
    <xf numFmtId="0" fontId="75" fillId="24" borderId="35" xfId="0" applyFont="1" applyFill="1" applyBorder="1" applyAlignment="1">
      <alignment horizontal="center"/>
    </xf>
    <xf numFmtId="0" fontId="75" fillId="0" borderId="35" xfId="0" applyFont="1" applyBorder="1"/>
    <xf numFmtId="17" fontId="75" fillId="0" borderId="1" xfId="0" applyNumberFormat="1" applyFont="1" applyBorder="1" applyAlignment="1">
      <alignment horizontal="center"/>
    </xf>
    <xf numFmtId="0" fontId="75" fillId="0" borderId="38" xfId="0" applyFont="1" applyBorder="1" applyAlignment="1">
      <alignment horizontal="center"/>
    </xf>
    <xf numFmtId="8" fontId="0" fillId="0" borderId="0" xfId="0" applyNumberFormat="1"/>
    <xf numFmtId="43" fontId="0" fillId="0" borderId="0" xfId="21" applyFont="1" applyBorder="1"/>
    <xf numFmtId="43" fontId="75" fillId="0" borderId="36" xfId="21" applyFont="1" applyFill="1" applyBorder="1"/>
    <xf numFmtId="43" fontId="75" fillId="0" borderId="38" xfId="21" applyFont="1" applyFill="1" applyBorder="1"/>
    <xf numFmtId="43" fontId="75" fillId="0" borderId="36" xfId="0" applyNumberFormat="1" applyFont="1" applyBorder="1"/>
    <xf numFmtId="44" fontId="0" fillId="0" borderId="0" xfId="452" applyFont="1" applyBorder="1"/>
    <xf numFmtId="44" fontId="75" fillId="0" borderId="36" xfId="0" applyNumberFormat="1" applyFont="1" applyBorder="1"/>
    <xf numFmtId="44" fontId="75" fillId="0" borderId="38" xfId="0" applyNumberFormat="1" applyFont="1" applyBorder="1"/>
    <xf numFmtId="0" fontId="75" fillId="0" borderId="37" xfId="0" applyFont="1" applyBorder="1"/>
    <xf numFmtId="0" fontId="0" fillId="0" borderId="1" xfId="0" applyBorder="1"/>
    <xf numFmtId="0" fontId="0" fillId="0" borderId="38" xfId="0" applyBorder="1"/>
    <xf numFmtId="0" fontId="75" fillId="50" borderId="35" xfId="0" applyFont="1" applyFill="1" applyBorder="1" applyAlignment="1">
      <alignment horizontal="center"/>
    </xf>
    <xf numFmtId="164" fontId="0" fillId="0" borderId="0" xfId="21" applyNumberFormat="1" applyFont="1" applyBorder="1"/>
    <xf numFmtId="44" fontId="0" fillId="0" borderId="0" xfId="0" applyNumberFormat="1"/>
    <xf numFmtId="44" fontId="0" fillId="0" borderId="0" xfId="452" applyFont="1" applyFill="1" applyBorder="1"/>
    <xf numFmtId="44" fontId="0" fillId="0" borderId="0" xfId="0" applyNumberFormat="1" applyBorder="1"/>
    <xf numFmtId="44" fontId="75" fillId="0" borderId="1" xfId="0" applyNumberFormat="1" applyFont="1" applyBorder="1"/>
    <xf numFmtId="0" fontId="75" fillId="0" borderId="0" xfId="0" applyFont="1" applyFill="1" applyBorder="1" applyAlignment="1">
      <alignment horizontal="right"/>
    </xf>
    <xf numFmtId="0" fontId="84" fillId="0" borderId="0" xfId="0" applyFont="1" applyAlignment="1">
      <alignment horizontal="right"/>
    </xf>
    <xf numFmtId="43" fontId="0" fillId="0" borderId="0" xfId="0" applyNumberFormat="1" applyAlignment="1">
      <alignment horizontal="center"/>
    </xf>
    <xf numFmtId="44" fontId="0" fillId="0" borderId="0" xfId="0" applyNumberFormat="1" applyAlignment="1">
      <alignment horizontal="center"/>
    </xf>
    <xf numFmtId="164" fontId="0" fillId="0" borderId="1" xfId="21" applyNumberFormat="1" applyFont="1" applyFill="1" applyBorder="1"/>
    <xf numFmtId="17" fontId="92" fillId="24" borderId="0" xfId="462" applyNumberFormat="1" applyFont="1" applyFill="1" applyAlignment="1">
      <alignment horizontal="center"/>
    </xf>
    <xf numFmtId="0" fontId="89" fillId="24" borderId="0" xfId="0" applyFont="1" applyFill="1" applyAlignment="1">
      <alignment horizontal="center"/>
    </xf>
    <xf numFmtId="0" fontId="92" fillId="24" borderId="0" xfId="462" applyFont="1" applyFill="1" applyAlignment="1">
      <alignment horizontal="center" wrapText="1"/>
    </xf>
    <xf numFmtId="0" fontId="91" fillId="53" borderId="0" xfId="0" applyFont="1" applyFill="1"/>
    <xf numFmtId="0" fontId="89" fillId="53" borderId="0" xfId="0" applyFont="1" applyFill="1" applyAlignment="1">
      <alignment horizontal="center"/>
    </xf>
    <xf numFmtId="0" fontId="92" fillId="53" borderId="0" xfId="462" applyFont="1" applyFill="1" applyAlignment="1">
      <alignment horizontal="center"/>
    </xf>
    <xf numFmtId="44" fontId="90" fillId="0" borderId="0" xfId="452" applyFont="1" applyFill="1"/>
    <xf numFmtId="42" fontId="90" fillId="0" borderId="0" xfId="462" applyNumberFormat="1" applyFont="1" applyFill="1"/>
    <xf numFmtId="169" fontId="79" fillId="0" borderId="0" xfId="457" applyFont="1" applyFill="1" applyBorder="1" applyAlignment="1"/>
    <xf numFmtId="14" fontId="89" fillId="0" borderId="0" xfId="0" applyNumberFormat="1" applyFont="1" applyFill="1" applyBorder="1" applyAlignment="1">
      <alignment horizontal="center"/>
    </xf>
    <xf numFmtId="0" fontId="89" fillId="0" borderId="1" xfId="0" applyFont="1" applyFill="1" applyBorder="1"/>
    <xf numFmtId="0" fontId="89" fillId="0" borderId="1" xfId="0" applyFont="1" applyFill="1" applyBorder="1" applyAlignment="1">
      <alignment horizontal="center"/>
    </xf>
    <xf numFmtId="0" fontId="89" fillId="0" borderId="0" xfId="0" applyFont="1" applyFill="1" applyBorder="1" applyAlignment="1">
      <alignment horizontal="center"/>
    </xf>
    <xf numFmtId="2" fontId="91" fillId="0" borderId="0" xfId="0" applyNumberFormat="1" applyFont="1" applyFill="1"/>
    <xf numFmtId="177" fontId="91" fillId="0" borderId="0" xfId="452" applyNumberFormat="1" applyFont="1" applyFill="1"/>
    <xf numFmtId="2" fontId="89" fillId="0" borderId="0" xfId="0" applyNumberFormat="1" applyFont="1" applyFill="1" applyBorder="1"/>
    <xf numFmtId="170" fontId="91" fillId="0" borderId="0" xfId="0" applyNumberFormat="1" applyFont="1" applyFill="1"/>
    <xf numFmtId="170" fontId="89" fillId="0" borderId="0" xfId="0" applyNumberFormat="1" applyFont="1" applyFill="1"/>
    <xf numFmtId="0" fontId="11" fillId="0" borderId="0" xfId="454" applyFont="1" applyBorder="1"/>
    <xf numFmtId="0" fontId="11" fillId="0" borderId="0" xfId="454" applyFont="1" applyFill="1" applyBorder="1" applyAlignment="1">
      <alignment horizontal="left"/>
    </xf>
    <xf numFmtId="4" fontId="3" fillId="0" borderId="0" xfId="454" applyNumberFormat="1" applyFont="1" applyFill="1" applyBorder="1" applyAlignment="1">
      <alignment horizontal="right"/>
    </xf>
    <xf numFmtId="10" fontId="11" fillId="0" borderId="0" xfId="454" applyNumberFormat="1" applyFont="1" applyFill="1" applyBorder="1" applyAlignment="1">
      <alignment horizontal="right"/>
    </xf>
    <xf numFmtId="4" fontId="11" fillId="0" borderId="0" xfId="454" applyNumberFormat="1" applyFont="1" applyFill="1" applyBorder="1" applyAlignment="1">
      <alignment horizontal="left"/>
    </xf>
    <xf numFmtId="0" fontId="77" fillId="0" borderId="0" xfId="0" applyFont="1" applyFill="1" applyBorder="1"/>
    <xf numFmtId="0" fontId="77" fillId="0" borderId="0" xfId="0" applyFont="1" applyBorder="1"/>
    <xf numFmtId="0" fontId="3" fillId="0" borderId="0" xfId="455" applyFont="1" applyBorder="1"/>
    <xf numFmtId="0" fontId="3" fillId="0" borderId="0" xfId="455" applyFont="1" applyFill="1" applyBorder="1" applyAlignment="1">
      <alignment horizontal="left"/>
    </xf>
    <xf numFmtId="0" fontId="11" fillId="0" borderId="0" xfId="455" applyFont="1" applyBorder="1"/>
    <xf numFmtId="4" fontId="3" fillId="0" borderId="0" xfId="455" applyNumberFormat="1" applyFont="1" applyFill="1" applyBorder="1" applyAlignment="1">
      <alignment horizontal="right"/>
    </xf>
    <xf numFmtId="0" fontId="11" fillId="0" borderId="0" xfId="455" applyFont="1" applyFill="1" applyBorder="1" applyAlignment="1">
      <alignment horizontal="left"/>
    </xf>
    <xf numFmtId="0" fontId="77" fillId="0" borderId="0" xfId="455" applyFont="1" applyFill="1" applyBorder="1" applyAlignment="1">
      <alignment horizontal="left"/>
    </xf>
    <xf numFmtId="2" fontId="3" fillId="0" borderId="0" xfId="455" applyNumberFormat="1" applyFont="1" applyFill="1" applyBorder="1" applyAlignment="1">
      <alignment horizontal="right"/>
    </xf>
    <xf numFmtId="171" fontId="3" fillId="0" borderId="0" xfId="455" applyNumberFormat="1" applyFont="1" applyFill="1" applyBorder="1" applyAlignment="1">
      <alignment horizontal="right"/>
    </xf>
    <xf numFmtId="0" fontId="3" fillId="0" borderId="0" xfId="455" applyNumberFormat="1" applyFont="1" applyFill="1" applyBorder="1" applyAlignment="1">
      <alignment horizontal="right"/>
    </xf>
    <xf numFmtId="4" fontId="77" fillId="0" borderId="0" xfId="0" applyNumberFormat="1" applyFont="1" applyBorder="1"/>
    <xf numFmtId="4" fontId="11" fillId="47" borderId="0" xfId="454" applyNumberFormat="1" applyFont="1" applyFill="1" applyBorder="1" applyAlignment="1">
      <alignment horizontal="right"/>
    </xf>
    <xf numFmtId="10" fontId="11" fillId="47" borderId="0" xfId="454" applyNumberFormat="1" applyFont="1" applyFill="1" applyBorder="1" applyAlignment="1">
      <alignment horizontal="right"/>
    </xf>
    <xf numFmtId="2" fontId="77" fillId="0" borderId="0" xfId="0" applyNumberFormat="1" applyFont="1" applyBorder="1"/>
    <xf numFmtId="44" fontId="77" fillId="0" borderId="0" xfId="0" applyNumberFormat="1" applyFont="1" applyBorder="1"/>
    <xf numFmtId="4" fontId="11" fillId="0" borderId="0" xfId="455" applyNumberFormat="1" applyFont="1" applyFill="1" applyBorder="1" applyAlignment="1">
      <alignment horizontal="center"/>
    </xf>
    <xf numFmtId="0" fontId="78" fillId="0" borderId="0" xfId="0" applyFont="1" applyFill="1" applyBorder="1" applyAlignment="1">
      <alignment horizontal="center"/>
    </xf>
    <xf numFmtId="0" fontId="3" fillId="48" borderId="1" xfId="455" applyFont="1" applyFill="1" applyBorder="1"/>
    <xf numFmtId="0" fontId="3" fillId="48" borderId="1" xfId="455" applyFont="1" applyFill="1" applyBorder="1" applyAlignment="1">
      <alignment horizontal="left"/>
    </xf>
    <xf numFmtId="4" fontId="11" fillId="48" borderId="1" xfId="455" applyNumberFormat="1" applyFont="1" applyFill="1" applyBorder="1" applyAlignment="1">
      <alignment horizontal="center" wrapText="1"/>
    </xf>
    <xf numFmtId="0" fontId="77" fillId="48" borderId="1" xfId="0" applyFont="1" applyFill="1" applyBorder="1"/>
    <xf numFmtId="0" fontId="78" fillId="48" borderId="1" xfId="0" applyFont="1" applyFill="1" applyBorder="1" applyAlignment="1">
      <alignment horizontal="center" wrapText="1"/>
    </xf>
    <xf numFmtId="43" fontId="90" fillId="0" borderId="0" xfId="21" applyFont="1" applyFill="1"/>
    <xf numFmtId="43" fontId="90" fillId="0" borderId="0" xfId="21" applyNumberFormat="1" applyFont="1" applyFill="1"/>
    <xf numFmtId="10" fontId="89" fillId="54" borderId="0" xfId="0" applyNumberFormat="1" applyFont="1" applyFill="1" applyAlignment="1">
      <alignment horizontal="center"/>
    </xf>
    <xf numFmtId="0" fontId="89" fillId="54" borderId="0" xfId="0" applyFont="1" applyFill="1" applyAlignment="1">
      <alignment horizontal="center"/>
    </xf>
    <xf numFmtId="0" fontId="89" fillId="0" borderId="0" xfId="0" applyFont="1" applyFill="1" applyAlignment="1">
      <alignment horizontal="right"/>
    </xf>
    <xf numFmtId="44" fontId="89" fillId="0" borderId="19" xfId="452" applyFont="1" applyFill="1" applyBorder="1"/>
    <xf numFmtId="177" fontId="89" fillId="0" borderId="19" xfId="452" applyNumberFormat="1" applyFont="1" applyFill="1" applyBorder="1"/>
    <xf numFmtId="177" fontId="89" fillId="0" borderId="0" xfId="452" applyNumberFormat="1" applyFont="1" applyFill="1"/>
    <xf numFmtId="177" fontId="96" fillId="0" borderId="19" xfId="452" applyNumberFormat="1" applyFont="1" applyFill="1" applyBorder="1"/>
    <xf numFmtId="177" fontId="92" fillId="0" borderId="19" xfId="452" applyNumberFormat="1" applyFont="1" applyFill="1" applyBorder="1"/>
    <xf numFmtId="43" fontId="89" fillId="0" borderId="19" xfId="0" applyNumberFormat="1" applyFont="1" applyFill="1" applyBorder="1"/>
    <xf numFmtId="0" fontId="92" fillId="6" borderId="0" xfId="458" applyFont="1" applyFill="1" applyBorder="1" applyAlignment="1">
      <alignment horizontal="left"/>
    </xf>
    <xf numFmtId="0" fontId="96" fillId="6" borderId="0" xfId="458" applyFont="1" applyFill="1" applyBorder="1" applyAlignment="1">
      <alignment horizontal="center"/>
    </xf>
    <xf numFmtId="3" fontId="96" fillId="6" borderId="0" xfId="458" applyNumberFormat="1" applyFont="1" applyFill="1" applyBorder="1" applyAlignment="1">
      <alignment horizontal="center"/>
    </xf>
    <xf numFmtId="0" fontId="92" fillId="0" borderId="0" xfId="458" applyFont="1" applyFill="1" applyBorder="1" applyAlignment="1">
      <alignment horizontal="left"/>
    </xf>
    <xf numFmtId="164" fontId="95" fillId="51" borderId="0" xfId="88" quotePrefix="1" applyNumberFormat="1" applyFont="1" applyFill="1" applyBorder="1"/>
    <xf numFmtId="0" fontId="95" fillId="51" borderId="0" xfId="458" applyFont="1" applyFill="1" applyBorder="1" applyAlignment="1">
      <alignment horizontal="left"/>
    </xf>
    <xf numFmtId="164" fontId="96" fillId="51" borderId="0" xfId="88" applyNumberFormat="1" applyFont="1" applyFill="1" applyBorder="1"/>
    <xf numFmtId="9" fontId="95" fillId="51" borderId="0" xfId="119" applyFont="1" applyFill="1" applyBorder="1"/>
    <xf numFmtId="164" fontId="95" fillId="51" borderId="0" xfId="88" applyNumberFormat="1" applyFont="1" applyFill="1" applyBorder="1"/>
    <xf numFmtId="0" fontId="89" fillId="51" borderId="0" xfId="0" applyFont="1" applyFill="1" applyBorder="1"/>
    <xf numFmtId="0" fontId="91" fillId="51" borderId="0" xfId="0" applyFont="1" applyFill="1" applyBorder="1"/>
    <xf numFmtId="0" fontId="96" fillId="51" borderId="0" xfId="458" applyFont="1" applyFill="1" applyBorder="1" applyAlignment="1">
      <alignment horizontal="left"/>
    </xf>
    <xf numFmtId="170" fontId="36" fillId="0" borderId="0" xfId="0" applyNumberFormat="1" applyFont="1" applyFill="1" applyBorder="1"/>
    <xf numFmtId="37" fontId="21" fillId="0" borderId="0" xfId="0" applyNumberFormat="1" applyFont="1" applyFill="1" applyBorder="1"/>
    <xf numFmtId="0" fontId="36" fillId="0" borderId="0" xfId="0" applyFont="1" applyBorder="1"/>
    <xf numFmtId="0" fontId="133" fillId="0" borderId="0" xfId="0" applyFont="1" applyBorder="1"/>
    <xf numFmtId="37" fontId="36" fillId="0" borderId="0" xfId="0" applyNumberFormat="1" applyFont="1" applyBorder="1"/>
    <xf numFmtId="37" fontId="36" fillId="0" borderId="0" xfId="0" applyNumberFormat="1" applyFont="1" applyFill="1" applyBorder="1"/>
    <xf numFmtId="0" fontId="36" fillId="0" borderId="0" xfId="0" applyFont="1" applyFill="1" applyBorder="1"/>
    <xf numFmtId="169" fontId="79" fillId="0" borderId="0" xfId="470" applyFont="1" applyFill="1" applyBorder="1"/>
    <xf numFmtId="169" fontId="79" fillId="0" borderId="0" xfId="470" applyFont="1" applyFill="1" applyBorder="1" applyAlignment="1">
      <alignment horizontal="center"/>
    </xf>
    <xf numFmtId="3" fontId="79" fillId="0" borderId="0" xfId="470" applyNumberFormat="1" applyFont="1" applyFill="1" applyBorder="1" applyAlignment="1">
      <alignment horizontal="center"/>
    </xf>
    <xf numFmtId="0" fontId="36" fillId="0" borderId="0" xfId="0" applyFont="1" applyFill="1" applyBorder="1" applyAlignment="1">
      <alignment horizontal="center"/>
    </xf>
    <xf numFmtId="37" fontId="36" fillId="0" borderId="0" xfId="0" applyNumberFormat="1" applyFont="1" applyBorder="1" applyAlignment="1">
      <alignment horizontal="center"/>
    </xf>
    <xf numFmtId="1" fontId="19" fillId="0" borderId="0" xfId="0" applyNumberFormat="1" applyFont="1" applyFill="1" applyBorder="1" applyAlignment="1">
      <alignment horizontal="right"/>
    </xf>
    <xf numFmtId="0" fontId="20" fillId="0" borderId="0" xfId="0" applyFont="1" applyBorder="1"/>
    <xf numFmtId="164" fontId="20" fillId="0" borderId="0" xfId="45" applyNumberFormat="1" applyFont="1" applyFill="1" applyBorder="1"/>
    <xf numFmtId="164" fontId="20" fillId="0" borderId="0" xfId="45" applyNumberFormat="1" applyFont="1" applyBorder="1"/>
    <xf numFmtId="4" fontId="36" fillId="0" borderId="0" xfId="0" applyNumberFormat="1" applyFont="1" applyFill="1" applyBorder="1" applyAlignment="1">
      <alignment horizontal="right"/>
    </xf>
    <xf numFmtId="37" fontId="36" fillId="0" borderId="0" xfId="0" quotePrefix="1" applyNumberFormat="1" applyFont="1" applyFill="1" applyBorder="1"/>
    <xf numFmtId="175" fontId="36" fillId="0" borderId="0" xfId="0" applyNumberFormat="1" applyFont="1" applyFill="1" applyBorder="1"/>
    <xf numFmtId="3" fontId="36" fillId="0" borderId="0" xfId="0" applyNumberFormat="1" applyFont="1" applyFill="1" applyBorder="1"/>
    <xf numFmtId="3" fontId="133" fillId="0" borderId="0" xfId="0" applyNumberFormat="1" applyFont="1" applyFill="1" applyBorder="1"/>
    <xf numFmtId="0" fontId="21" fillId="0" borderId="0" xfId="0" applyFont="1" applyBorder="1"/>
    <xf numFmtId="37" fontId="133" fillId="0" borderId="0" xfId="0" applyNumberFormat="1" applyFont="1" applyBorder="1"/>
    <xf numFmtId="37" fontId="133" fillId="0" borderId="0" xfId="0" applyNumberFormat="1" applyFont="1" applyFill="1" applyBorder="1"/>
    <xf numFmtId="0" fontId="133" fillId="0" borderId="0" xfId="0" applyFont="1" applyFill="1" applyBorder="1"/>
    <xf numFmtId="37" fontId="20" fillId="0" borderId="0" xfId="0" applyNumberFormat="1" applyFont="1" applyFill="1" applyBorder="1"/>
    <xf numFmtId="37" fontId="20" fillId="0" borderId="0" xfId="0" applyNumberFormat="1" applyFont="1" applyBorder="1"/>
    <xf numFmtId="37" fontId="21" fillId="0" borderId="0" xfId="0" applyNumberFormat="1" applyFont="1" applyBorder="1"/>
    <xf numFmtId="169" fontId="13" fillId="0" borderId="0" xfId="470" applyFont="1" applyFill="1" applyBorder="1"/>
    <xf numFmtId="169" fontId="19" fillId="0" borderId="0" xfId="470" applyFont="1" applyFill="1" applyBorder="1"/>
    <xf numFmtId="164" fontId="36" fillId="0" borderId="0" xfId="0" applyNumberFormat="1" applyFont="1" applyFill="1" applyBorder="1"/>
    <xf numFmtId="1" fontId="20" fillId="0" borderId="0" xfId="0" applyNumberFormat="1" applyFont="1" applyBorder="1"/>
    <xf numFmtId="170" fontId="133" fillId="0" borderId="0" xfId="0" applyNumberFormat="1" applyFont="1" applyFill="1" applyBorder="1"/>
    <xf numFmtId="5" fontId="133" fillId="0" borderId="0" xfId="0" applyNumberFormat="1" applyFont="1" applyFill="1" applyBorder="1"/>
    <xf numFmtId="10" fontId="20" fillId="0" borderId="0" xfId="0" applyNumberFormat="1" applyFont="1" applyBorder="1"/>
    <xf numFmtId="164" fontId="20" fillId="0" borderId="1" xfId="45" applyNumberFormat="1" applyFont="1" applyFill="1" applyBorder="1"/>
    <xf numFmtId="164" fontId="20" fillId="0" borderId="1" xfId="45" applyNumberFormat="1" applyFont="1" applyBorder="1"/>
    <xf numFmtId="37" fontId="20" fillId="0" borderId="1" xfId="0" applyNumberFormat="1" applyFont="1" applyFill="1" applyBorder="1"/>
    <xf numFmtId="37" fontId="20" fillId="0" borderId="1" xfId="0" applyNumberFormat="1" applyFont="1" applyBorder="1"/>
    <xf numFmtId="164" fontId="19" fillId="0" borderId="1" xfId="21" applyNumberFormat="1" applyFont="1" applyBorder="1"/>
    <xf numFmtId="164" fontId="19" fillId="0" borderId="1" xfId="21" applyNumberFormat="1" applyFont="1" applyFill="1" applyBorder="1" applyAlignment="1">
      <alignment horizontal="right"/>
    </xf>
    <xf numFmtId="37" fontId="122" fillId="0" borderId="1" xfId="17" applyNumberFormat="1" applyFont="1" applyFill="1" applyBorder="1" applyAlignment="1">
      <alignment horizontal="center"/>
    </xf>
    <xf numFmtId="164" fontId="13" fillId="0" borderId="1" xfId="21" applyNumberFormat="1" applyFont="1" applyFill="1" applyBorder="1" applyAlignment="1">
      <alignment horizontal="center"/>
    </xf>
    <xf numFmtId="37" fontId="19" fillId="0" borderId="1" xfId="17" applyNumberFormat="1" applyFont="1" applyFill="1" applyBorder="1" applyAlignment="1">
      <alignment horizontal="right"/>
    </xf>
    <xf numFmtId="164" fontId="19" fillId="0" borderId="1" xfId="21" applyNumberFormat="1" applyFont="1" applyFill="1" applyBorder="1"/>
    <xf numFmtId="37" fontId="19" fillId="0" borderId="1" xfId="17" applyNumberFormat="1" applyFont="1" applyFill="1" applyBorder="1" applyAlignment="1">
      <alignment horizontal="center"/>
    </xf>
    <xf numFmtId="164" fontId="13" fillId="0" borderId="1" xfId="21" applyNumberFormat="1" applyFont="1" applyFill="1" applyBorder="1" applyAlignment="1">
      <alignment horizontal="right"/>
    </xf>
    <xf numFmtId="37" fontId="19" fillId="0" borderId="1" xfId="17" quotePrefix="1" applyNumberFormat="1" applyFont="1" applyFill="1" applyBorder="1" applyAlignment="1">
      <alignment horizontal="center"/>
    </xf>
    <xf numFmtId="164" fontId="19" fillId="0" borderId="1" xfId="21" applyNumberFormat="1" applyFont="1" applyFill="1" applyBorder="1" applyAlignment="1">
      <alignment horizontal="center"/>
    </xf>
    <xf numFmtId="37" fontId="129" fillId="0" borderId="1" xfId="17" applyNumberFormat="1" applyFont="1" applyFill="1" applyBorder="1" applyAlignment="1">
      <alignment horizontal="left"/>
    </xf>
    <xf numFmtId="0" fontId="13" fillId="0" borderId="1" xfId="17" applyNumberFormat="1" applyFont="1" applyBorder="1" applyAlignment="1">
      <alignment horizontal="center"/>
    </xf>
    <xf numFmtId="37" fontId="13" fillId="0" borderId="1" xfId="17" applyNumberFormat="1" applyFont="1" applyFill="1" applyBorder="1" applyAlignment="1">
      <alignment horizontal="center"/>
    </xf>
    <xf numFmtId="0" fontId="19" fillId="0" borderId="1" xfId="17" applyNumberFormat="1" applyFont="1" applyFill="1" applyBorder="1" applyAlignment="1">
      <alignment horizontal="center"/>
    </xf>
    <xf numFmtId="3" fontId="13" fillId="0" borderId="1" xfId="0" applyNumberFormat="1" applyFont="1" applyBorder="1" applyAlignment="1">
      <alignment horizontal="center"/>
    </xf>
    <xf numFmtId="0" fontId="13" fillId="0" borderId="1" xfId="17" applyNumberFormat="1" applyFont="1" applyFill="1" applyBorder="1" applyAlignment="1">
      <alignment horizontal="center"/>
    </xf>
    <xf numFmtId="0" fontId="74" fillId="0" borderId="0" xfId="0" applyFont="1" applyFill="1" applyAlignment="1">
      <alignment horizontal="right"/>
    </xf>
    <xf numFmtId="0" fontId="92" fillId="0" borderId="0" xfId="462" applyFont="1" applyFill="1" applyAlignment="1">
      <alignment horizontal="center"/>
    </xf>
    <xf numFmtId="43" fontId="92" fillId="0" borderId="0" xfId="25" applyFont="1" applyFill="1" applyAlignment="1">
      <alignment horizontal="center"/>
    </xf>
    <xf numFmtId="169" fontId="79" fillId="0" borderId="0" xfId="457" applyFont="1" applyFill="1" applyBorder="1" applyAlignment="1">
      <alignment horizontal="left"/>
    </xf>
    <xf numFmtId="169" fontId="79" fillId="0" borderId="0" xfId="457" applyFont="1" applyFill="1" applyBorder="1" applyAlignment="1"/>
    <xf numFmtId="0" fontId="0" fillId="51" borderId="0" xfId="0" applyFont="1" applyFill="1" applyAlignment="1">
      <alignment horizontal="center"/>
    </xf>
    <xf numFmtId="0" fontId="0" fillId="0" borderId="0" xfId="0" applyFont="1" applyAlignment="1">
      <alignment horizontal="left"/>
    </xf>
    <xf numFmtId="0" fontId="75" fillId="51" borderId="1" xfId="0" applyFont="1" applyFill="1" applyBorder="1" applyAlignment="1">
      <alignment horizontal="center"/>
    </xf>
    <xf numFmtId="0" fontId="84" fillId="0" borderId="0" xfId="0" applyFont="1" applyAlignment="1">
      <alignment horizontal="center"/>
    </xf>
    <xf numFmtId="0" fontId="75" fillId="48" borderId="0" xfId="0" applyFont="1" applyFill="1" applyAlignment="1">
      <alignment horizontal="center"/>
    </xf>
    <xf numFmtId="0" fontId="75" fillId="49" borderId="0" xfId="0" applyFont="1" applyFill="1" applyAlignment="1">
      <alignment horizontal="center"/>
    </xf>
    <xf numFmtId="0" fontId="120" fillId="6" borderId="1" xfId="0" applyFont="1" applyFill="1" applyBorder="1" applyAlignment="1">
      <alignment horizontal="center"/>
    </xf>
    <xf numFmtId="0" fontId="75" fillId="45" borderId="35" xfId="0" applyFont="1" applyFill="1" applyBorder="1" applyAlignment="1">
      <alignment horizontal="center"/>
    </xf>
    <xf numFmtId="0" fontId="75" fillId="45" borderId="36" xfId="0" applyFont="1" applyFill="1" applyBorder="1" applyAlignment="1">
      <alignment horizontal="center"/>
    </xf>
    <xf numFmtId="0" fontId="74" fillId="0" borderId="0" xfId="310" applyFont="1" applyAlignment="1">
      <alignment horizontal="left" wrapText="1"/>
    </xf>
  </cellXfs>
  <cellStyles count="471">
    <cellStyle name="20% - Accent1 2" xfId="26"/>
    <cellStyle name="20% - Accent1 2 2" xfId="145"/>
    <cellStyle name="20% - Accent1 3" xfId="146"/>
    <cellStyle name="20% - Accent1 3 2" xfId="147"/>
    <cellStyle name="20% - Accent2 2" xfId="148"/>
    <cellStyle name="20% - Accent2 3" xfId="149"/>
    <cellStyle name="20% - Accent3 2" xfId="150"/>
    <cellStyle name="20% - Accent3 3" xfId="151"/>
    <cellStyle name="20% - Accent4 2" xfId="27"/>
    <cellStyle name="20% - Accent4 2 2" xfId="152"/>
    <cellStyle name="20% - Accent4 3" xfId="153"/>
    <cellStyle name="20% - Accent4 3 2" xfId="154"/>
    <cellStyle name="20% - Accent5 2" xfId="155"/>
    <cellStyle name="20% - Accent5 3" xfId="156"/>
    <cellStyle name="20% - Accent6 2" xfId="157"/>
    <cellStyle name="20% - Accent6 3" xfId="158"/>
    <cellStyle name="40% - Accent1 2" xfId="28"/>
    <cellStyle name="40% - Accent1 3" xfId="159"/>
    <cellStyle name="40% - Accent1 3 2" xfId="160"/>
    <cellStyle name="40% - Accent2 2" xfId="161"/>
    <cellStyle name="40% - Accent2 3" xfId="162"/>
    <cellStyle name="40% - Accent3 2" xfId="163"/>
    <cellStyle name="40% - Accent3 3" xfId="164"/>
    <cellStyle name="40% - Accent4 2" xfId="29"/>
    <cellStyle name="40% - Accent4 3" xfId="165"/>
    <cellStyle name="40% - Accent4 3 2" xfId="166"/>
    <cellStyle name="40% - Accent5 2" xfId="30"/>
    <cellStyle name="40% - Accent5 3" xfId="167"/>
    <cellStyle name="40% - Accent6 2" xfId="31"/>
    <cellStyle name="40% - Accent6 3" xfId="168"/>
    <cellStyle name="40% - Accent6 3 2" xfId="169"/>
    <cellStyle name="60% - Accent1 2" xfId="32"/>
    <cellStyle name="60% - Accent1 2 2" xfId="170"/>
    <cellStyle name="60% - Accent1 3" xfId="171"/>
    <cellStyle name="60% - Accent1 3 2" xfId="172"/>
    <cellStyle name="60% - Accent2 2" xfId="33"/>
    <cellStyle name="60% - Accent2 3" xfId="173"/>
    <cellStyle name="60% - Accent3 2" xfId="34"/>
    <cellStyle name="60% - Accent3 3" xfId="174"/>
    <cellStyle name="60% - Accent3 3 2" xfId="175"/>
    <cellStyle name="60% - Accent4 2" xfId="35"/>
    <cellStyle name="60% - Accent4 3" xfId="176"/>
    <cellStyle name="60% - Accent4 3 2" xfId="177"/>
    <cellStyle name="60% - Accent5 2" xfId="36"/>
    <cellStyle name="60% - Accent5 2 2" xfId="178"/>
    <cellStyle name="60% - Accent5 3" xfId="179"/>
    <cellStyle name="60% - Accent6 2" xfId="180"/>
    <cellStyle name="60% - Accent6 3" xfId="181"/>
    <cellStyle name="Accent1 2" xfId="37"/>
    <cellStyle name="Accent1 2 2" xfId="182"/>
    <cellStyle name="Accent1 3" xfId="183"/>
    <cellStyle name="Accent1 3 2" xfId="184"/>
    <cellStyle name="Accent2 2" xfId="38"/>
    <cellStyle name="Accent2 3" xfId="185"/>
    <cellStyle name="Accent3 2" xfId="39"/>
    <cellStyle name="Accent3 2 2" xfId="186"/>
    <cellStyle name="Accent3 3" xfId="187"/>
    <cellStyle name="Accent4 2" xfId="188"/>
    <cellStyle name="Accent4 3" xfId="189"/>
    <cellStyle name="Accent5 2" xfId="190"/>
    <cellStyle name="Accent5 3" xfId="191"/>
    <cellStyle name="Accent6 2" xfId="40"/>
    <cellStyle name="Accent6 2 2" xfId="192"/>
    <cellStyle name="Accent6 3" xfId="193"/>
    <cellStyle name="Accounting" xfId="9"/>
    <cellStyle name="Accounting 2" xfId="194"/>
    <cellStyle name="Accounting 3" xfId="195"/>
    <cellStyle name="Accounting_2011-11" xfId="196"/>
    <cellStyle name="Bad 2" xfId="41"/>
    <cellStyle name="Bad 3" xfId="197"/>
    <cellStyle name="Budget" xfId="42"/>
    <cellStyle name="Budget 2" xfId="198"/>
    <cellStyle name="Budget 3" xfId="199"/>
    <cellStyle name="Budget_2011-11" xfId="200"/>
    <cellStyle name="Calculation 2" xfId="43"/>
    <cellStyle name="Calculation 2 2" xfId="201"/>
    <cellStyle name="Calculation 3" xfId="202"/>
    <cellStyle name="Calculation 3 2" xfId="203"/>
    <cellStyle name="Check Cell 2" xfId="204"/>
    <cellStyle name="Check Cell 3" xfId="205"/>
    <cellStyle name="combo" xfId="206"/>
    <cellStyle name="Comma" xfId="21" builtinId="3"/>
    <cellStyle name="Comma 10" xfId="25"/>
    <cellStyle name="Comma 11" xfId="44"/>
    <cellStyle name="Comma 12" xfId="45"/>
    <cellStyle name="Comma 12 2" xfId="208"/>
    <cellStyle name="Comma 12 3" xfId="209"/>
    <cellStyle name="Comma 12 4" xfId="207"/>
    <cellStyle name="Comma 13" xfId="46"/>
    <cellStyle name="Comma 13 2" xfId="210"/>
    <cellStyle name="Comma 14" xfId="47"/>
    <cellStyle name="Comma 15" xfId="48"/>
    <cellStyle name="Comma 15 2" xfId="211"/>
    <cellStyle name="Comma 16" xfId="88"/>
    <cellStyle name="Comma 17" xfId="125"/>
    <cellStyle name="Comma 17 2" xfId="212"/>
    <cellStyle name="Comma 18" xfId="213"/>
    <cellStyle name="Comma 18 2" xfId="214"/>
    <cellStyle name="Comma 19" xfId="215"/>
    <cellStyle name="Comma 2" xfId="3"/>
    <cellStyle name="Comma 2 2" xfId="49"/>
    <cellStyle name="Comma 2 2 2" xfId="216"/>
    <cellStyle name="Comma 2 3" xfId="50"/>
    <cellStyle name="Comma 2 4" xfId="217"/>
    <cellStyle name="Comma 2 4 2" xfId="469"/>
    <cellStyle name="Comma 2 6" xfId="218"/>
    <cellStyle name="Comma 2 6 2" xfId="219"/>
    <cellStyle name="Comma 20" xfId="220"/>
    <cellStyle name="Comma 3" xfId="5"/>
    <cellStyle name="Comma 3 2" xfId="10"/>
    <cellStyle name="Comma 3 2 2" xfId="89"/>
    <cellStyle name="Comma 3 3" xfId="90"/>
    <cellStyle name="Comma 3 4" xfId="221"/>
    <cellStyle name="Comma 4" xfId="11"/>
    <cellStyle name="Comma 4 2" xfId="91"/>
    <cellStyle name="Comma 4 2 2" xfId="222"/>
    <cellStyle name="Comma 4 2 3" xfId="223"/>
    <cellStyle name="Comma 4 3" xfId="92"/>
    <cellStyle name="Comma 4 3 2" xfId="224"/>
    <cellStyle name="Comma 4 3 3" xfId="225"/>
    <cellStyle name="Comma 4 4" xfId="93"/>
    <cellStyle name="Comma 4 4 2" xfId="226"/>
    <cellStyle name="Comma 4 4 3" xfId="227"/>
    <cellStyle name="Comma 4 5" xfId="94"/>
    <cellStyle name="Comma 4 5 2" xfId="228"/>
    <cellStyle name="Comma 4 6" xfId="229"/>
    <cellStyle name="Comma 5" xfId="23"/>
    <cellStyle name="Comma 5 2" xfId="231"/>
    <cellStyle name="Comma 5 3" xfId="232"/>
    <cellStyle name="Comma 5 4" xfId="230"/>
    <cellStyle name="Comma 6" xfId="51"/>
    <cellStyle name="Comma 6 2" xfId="233"/>
    <cellStyle name="Comma 7" xfId="52"/>
    <cellStyle name="Comma 8" xfId="53"/>
    <cellStyle name="Comma 9" xfId="54"/>
    <cellStyle name="Comma(2)" xfId="95"/>
    <cellStyle name="Comma0" xfId="234"/>
    <cellStyle name="Comma0 - Style2" xfId="96"/>
    <cellStyle name="Comma1 - Style1" xfId="97"/>
    <cellStyle name="Comments" xfId="98"/>
    <cellStyle name="Currency" xfId="452" builtinId="4"/>
    <cellStyle name="Currency 10" xfId="235"/>
    <cellStyle name="Currency 11" xfId="236"/>
    <cellStyle name="Currency 12" xfId="237"/>
    <cellStyle name="Currency 2" xfId="55"/>
    <cellStyle name="Currency 2 2" xfId="99"/>
    <cellStyle name="Currency 2 2 2" xfId="238"/>
    <cellStyle name="Currency 2 3" xfId="239"/>
    <cellStyle name="Currency 2 3 2" xfId="240"/>
    <cellStyle name="Currency 2 4" xfId="241"/>
    <cellStyle name="Currency 2 6" xfId="242"/>
    <cellStyle name="Currency 2 6 2" xfId="243"/>
    <cellStyle name="Currency 3" xfId="56"/>
    <cellStyle name="Currency 3 2" xfId="244"/>
    <cellStyle name="Currency 3 3" xfId="245"/>
    <cellStyle name="Currency 3 3 2" xfId="459"/>
    <cellStyle name="Currency 3 4" xfId="246"/>
    <cellStyle name="Currency 4" xfId="57"/>
    <cellStyle name="Currency 4 2" xfId="248"/>
    <cellStyle name="Currency 4 3" xfId="247"/>
    <cellStyle name="Currency 5" xfId="58"/>
    <cellStyle name="Currency 5 2" xfId="249"/>
    <cellStyle name="Currency 5 3" xfId="250"/>
    <cellStyle name="Currency 6" xfId="59"/>
    <cellStyle name="Currency 7" xfId="60"/>
    <cellStyle name="Currency 8" xfId="251"/>
    <cellStyle name="Currency 9" xfId="126"/>
    <cellStyle name="Currency0" xfId="252"/>
    <cellStyle name="Data Enter" xfId="100"/>
    <cellStyle name="date" xfId="253"/>
    <cellStyle name="Explanatory Text 2" xfId="254"/>
    <cellStyle name="Explanatory Text 3" xfId="255"/>
    <cellStyle name="F9ReportControlStyle_ctpInquire" xfId="127"/>
    <cellStyle name="FactSheet" xfId="101"/>
    <cellStyle name="fish" xfId="256"/>
    <cellStyle name="Good 2" xfId="61"/>
    <cellStyle name="Good 3" xfId="257"/>
    <cellStyle name="Good 4" xfId="258"/>
    <cellStyle name="Heading 1 2" xfId="62"/>
    <cellStyle name="Heading 1 2 2" xfId="259"/>
    <cellStyle name="Heading 1 3" xfId="260"/>
    <cellStyle name="Heading 1 3 2" xfId="261"/>
    <cellStyle name="Heading 2 2" xfId="63"/>
    <cellStyle name="Heading 2 2 2" xfId="262"/>
    <cellStyle name="Heading 2 3" xfId="263"/>
    <cellStyle name="Heading 2 3 2" xfId="264"/>
    <cellStyle name="Heading 3 2" xfId="64"/>
    <cellStyle name="Heading 3 2 2" xfId="265"/>
    <cellStyle name="Heading 3 3" xfId="266"/>
    <cellStyle name="Heading 3 3 2" xfId="267"/>
    <cellStyle name="Heading 4 2" xfId="268"/>
    <cellStyle name="Heading 4 3" xfId="269"/>
    <cellStyle name="Hyperlink 2" xfId="102"/>
    <cellStyle name="Hyperlink 3" xfId="103"/>
    <cellStyle name="Hyperlink 3 2" xfId="270"/>
    <cellStyle name="Input 2" xfId="271"/>
    <cellStyle name="Input 3" xfId="272"/>
    <cellStyle name="input(0)" xfId="104"/>
    <cellStyle name="Input(2)" xfId="105"/>
    <cellStyle name="Linked Cell 2" xfId="65"/>
    <cellStyle name="Linked Cell 2 2" xfId="273"/>
    <cellStyle name="Linked Cell 3" xfId="274"/>
    <cellStyle name="Neutral 2" xfId="66"/>
    <cellStyle name="Neutral 2 2" xfId="275"/>
    <cellStyle name="Neutral 3" xfId="276"/>
    <cellStyle name="New_normal" xfId="106"/>
    <cellStyle name="Normal" xfId="0" builtinId="0"/>
    <cellStyle name="Normal - Style1" xfId="12"/>
    <cellStyle name="Normal - Style2" xfId="13"/>
    <cellStyle name="Normal - Style3" xfId="14"/>
    <cellStyle name="Normal - Style4" xfId="15"/>
    <cellStyle name="Normal - Style5" xfId="16"/>
    <cellStyle name="Normal 10" xfId="67"/>
    <cellStyle name="Normal 10 2" xfId="128"/>
    <cellStyle name="Normal 10 2 2" xfId="278"/>
    <cellStyle name="Normal 10 2 3" xfId="279"/>
    <cellStyle name="Normal 10 2 4" xfId="277"/>
    <cellStyle name="Normal 10 3" xfId="129"/>
    <cellStyle name="Normal 10_2112 DF Schedule" xfId="280"/>
    <cellStyle name="Normal 100" xfId="281"/>
    <cellStyle name="Normal 101" xfId="282"/>
    <cellStyle name="Normal 102" xfId="283"/>
    <cellStyle name="Normal 103" xfId="284"/>
    <cellStyle name="Normal 104" xfId="285"/>
    <cellStyle name="Normal 105" xfId="286"/>
    <cellStyle name="Normal 106" xfId="287"/>
    <cellStyle name="Normal 107" xfId="288"/>
    <cellStyle name="Normal 108" xfId="289"/>
    <cellStyle name="Normal 109" xfId="463"/>
    <cellStyle name="Normal 11" xfId="68"/>
    <cellStyle name="Normal 11 2" xfId="130"/>
    <cellStyle name="Normal 11 2 2" xfId="290"/>
    <cellStyle name="Normal 110" xfId="464"/>
    <cellStyle name="Normal 12" xfId="69"/>
    <cellStyle name="Normal 12 2" xfId="292"/>
    <cellStyle name="Normal 12 3" xfId="291"/>
    <cellStyle name="Normal 12_Sheet1" xfId="293"/>
    <cellStyle name="Normal 13" xfId="70"/>
    <cellStyle name="Normal 13 2" xfId="295"/>
    <cellStyle name="Normal 13 3" xfId="294"/>
    <cellStyle name="Normal 13_Sheet1" xfId="296"/>
    <cellStyle name="Normal 14" xfId="71"/>
    <cellStyle name="Normal 14 2" xfId="298"/>
    <cellStyle name="Normal 14 3" xfId="297"/>
    <cellStyle name="Normal 14_Sheet1" xfId="299"/>
    <cellStyle name="Normal 15" xfId="72"/>
    <cellStyle name="Normal 15 2" xfId="300"/>
    <cellStyle name="Normal 16" xfId="73"/>
    <cellStyle name="Normal 16 2" xfId="301"/>
    <cellStyle name="Normal 17" xfId="74"/>
    <cellStyle name="Normal 17 2" xfId="302"/>
    <cellStyle name="Normal 18" xfId="75"/>
    <cellStyle name="Normal 18 2" xfId="303"/>
    <cellStyle name="Normal 19" xfId="76"/>
    <cellStyle name="Normal 19 2" xfId="304"/>
    <cellStyle name="Normal 2" xfId="17"/>
    <cellStyle name="Normal 2 10" xfId="305"/>
    <cellStyle name="Normal 2 11" xfId="306"/>
    <cellStyle name="Normal 2 2" xfId="7"/>
    <cellStyle name="Normal 2 2 2" xfId="18"/>
    <cellStyle name="Normal 2 2 2 2" xfId="307"/>
    <cellStyle name="Normal 2 2 3" xfId="107"/>
    <cellStyle name="Normal 2 2_4MthProj2" xfId="449"/>
    <cellStyle name="Normal 2 3" xfId="8"/>
    <cellStyle name="Normal 2 3 2" xfId="77"/>
    <cellStyle name="Normal 2 3 3" xfId="108"/>
    <cellStyle name="Normal 2 3_4MthProj2" xfId="450"/>
    <cellStyle name="Normal 2 4" xfId="109"/>
    <cellStyle name="Normal 2 4 2" xfId="308"/>
    <cellStyle name="Normal 2 5" xfId="110"/>
    <cellStyle name="Normal 2 6" xfId="309"/>
    <cellStyle name="Normal 2 7" xfId="310"/>
    <cellStyle name="Normal 2 8" xfId="311"/>
    <cellStyle name="Normal 2 9" xfId="312"/>
    <cellStyle name="Normal 2_2009 Regulated Price Out" xfId="313"/>
    <cellStyle name="Normal 20" xfId="111"/>
    <cellStyle name="Normal 20 2" xfId="314"/>
    <cellStyle name="Normal 21" xfId="112"/>
    <cellStyle name="Normal 21 2" xfId="315"/>
    <cellStyle name="Normal 22" xfId="113"/>
    <cellStyle name="Normal 22 2" xfId="316"/>
    <cellStyle name="Normal 23" xfId="114"/>
    <cellStyle name="Normal 23 2" xfId="317"/>
    <cellStyle name="Normal 24" xfId="318"/>
    <cellStyle name="Normal 25" xfId="319"/>
    <cellStyle name="Normal 26" xfId="320"/>
    <cellStyle name="Normal 27" xfId="131"/>
    <cellStyle name="Normal 27 2" xfId="321"/>
    <cellStyle name="Normal 28" xfId="322"/>
    <cellStyle name="Normal 29" xfId="323"/>
    <cellStyle name="Normal 3" xfId="19"/>
    <cellStyle name="Normal 3 2" xfId="115"/>
    <cellStyle name="Normal 3 2 2" xfId="324"/>
    <cellStyle name="Normal 3 3" xfId="132"/>
    <cellStyle name="Normal 3 3 2" xfId="325"/>
    <cellStyle name="Normal 3 4" xfId="326"/>
    <cellStyle name="Normal 3_2012 PR" xfId="327"/>
    <cellStyle name="Normal 30" xfId="328"/>
    <cellStyle name="Normal 31" xfId="133"/>
    <cellStyle name="Normal 31 2" xfId="329"/>
    <cellStyle name="Normal 32" xfId="330"/>
    <cellStyle name="Normal 33" xfId="331"/>
    <cellStyle name="Normal 34" xfId="332"/>
    <cellStyle name="Normal 35" xfId="333"/>
    <cellStyle name="Normal 36" xfId="334"/>
    <cellStyle name="Normal 37" xfId="335"/>
    <cellStyle name="Normal 38" xfId="336"/>
    <cellStyle name="Normal 39" xfId="337"/>
    <cellStyle name="Normal 4" xfId="24"/>
    <cellStyle name="Normal 4 2" xfId="134"/>
    <cellStyle name="Normal 4 2 2" xfId="338"/>
    <cellStyle name="Normal 4 3" xfId="135"/>
    <cellStyle name="Normal 4 3 2" xfId="339"/>
    <cellStyle name="Normal 4_Consolidated IS" xfId="136"/>
    <cellStyle name="Normal 40" xfId="340"/>
    <cellStyle name="Normal 41" xfId="341"/>
    <cellStyle name="Normal 42" xfId="342"/>
    <cellStyle name="Normal 43" xfId="343"/>
    <cellStyle name="Normal 44" xfId="344"/>
    <cellStyle name="Normal 45" xfId="345"/>
    <cellStyle name="Normal 46" xfId="346"/>
    <cellStyle name="Normal 47" xfId="347"/>
    <cellStyle name="Normal 48" xfId="348"/>
    <cellStyle name="Normal 49" xfId="349"/>
    <cellStyle name="Normal 5" xfId="78"/>
    <cellStyle name="Normal 5 2" xfId="116"/>
    <cellStyle name="Normal 5 3" xfId="137"/>
    <cellStyle name="Normal 5_2112 DF Schedule" xfId="350"/>
    <cellStyle name="Normal 50" xfId="351"/>
    <cellStyle name="Normal 51" xfId="352"/>
    <cellStyle name="Normal 52" xfId="353"/>
    <cellStyle name="Normal 53" xfId="354"/>
    <cellStyle name="Normal 54" xfId="355"/>
    <cellStyle name="Normal 55" xfId="356"/>
    <cellStyle name="Normal 56" xfId="357"/>
    <cellStyle name="Normal 57" xfId="358"/>
    <cellStyle name="Normal 58" xfId="359"/>
    <cellStyle name="Normal 59" xfId="360"/>
    <cellStyle name="Normal 6" xfId="79"/>
    <cellStyle name="Normal 6 2" xfId="138"/>
    <cellStyle name="Normal 6 2 2" xfId="361"/>
    <cellStyle name="Normal 60" xfId="362"/>
    <cellStyle name="Normal 61" xfId="363"/>
    <cellStyle name="Normal 62" xfId="364"/>
    <cellStyle name="Normal 63" xfId="365"/>
    <cellStyle name="Normal 64" xfId="366"/>
    <cellStyle name="Normal 65" xfId="367"/>
    <cellStyle name="Normal 66" xfId="368"/>
    <cellStyle name="Normal 67" xfId="369"/>
    <cellStyle name="Normal 68" xfId="370"/>
    <cellStyle name="Normal 69" xfId="371"/>
    <cellStyle name="Normal 7" xfId="80"/>
    <cellStyle name="Normal 7 2" xfId="139"/>
    <cellStyle name="Normal 7 2 2" xfId="372"/>
    <cellStyle name="Normal 70" xfId="373"/>
    <cellStyle name="Normal 71" xfId="374"/>
    <cellStyle name="Normal 72" xfId="375"/>
    <cellStyle name="Normal 73" xfId="376"/>
    <cellStyle name="Normal 74" xfId="377"/>
    <cellStyle name="Normal 75" xfId="378"/>
    <cellStyle name="Normal 76" xfId="379"/>
    <cellStyle name="Normal 77" xfId="380"/>
    <cellStyle name="Normal 78" xfId="381"/>
    <cellStyle name="Normal 79" xfId="382"/>
    <cellStyle name="Normal 8" xfId="81"/>
    <cellStyle name="Normal 8 2" xfId="140"/>
    <cellStyle name="Normal 8 2 2" xfId="383"/>
    <cellStyle name="Normal 80" xfId="384"/>
    <cellStyle name="Normal 81" xfId="385"/>
    <cellStyle name="Normal 82" xfId="386"/>
    <cellStyle name="Normal 83" xfId="387"/>
    <cellStyle name="Normal 84" xfId="388"/>
    <cellStyle name="Normal 84 2" xfId="389"/>
    <cellStyle name="Normal 84 3" xfId="390"/>
    <cellStyle name="Normal 85" xfId="391"/>
    <cellStyle name="Normal 85 2" xfId="456"/>
    <cellStyle name="Normal 86" xfId="392"/>
    <cellStyle name="Normal 87" xfId="393"/>
    <cellStyle name="Normal 88" xfId="394"/>
    <cellStyle name="Normal 89" xfId="395"/>
    <cellStyle name="Normal 9" xfId="82"/>
    <cellStyle name="Normal 9 2" xfId="141"/>
    <cellStyle name="Normal 9 2 2" xfId="396"/>
    <cellStyle name="Normal 90" xfId="397"/>
    <cellStyle name="Normal 91" xfId="398"/>
    <cellStyle name="Normal 92" xfId="399"/>
    <cellStyle name="Normal 93" xfId="400"/>
    <cellStyle name="Normal 94" xfId="401"/>
    <cellStyle name="Normal 95" xfId="402"/>
    <cellStyle name="Normal 96" xfId="403"/>
    <cellStyle name="Normal 97" xfId="404"/>
    <cellStyle name="Normal 98" xfId="405"/>
    <cellStyle name="Normal 99" xfId="406"/>
    <cellStyle name="Normal_Book2" xfId="457"/>
    <cellStyle name="Normal_Book3" xfId="454"/>
    <cellStyle name="Normal_Clark County-Proforma" xfId="470"/>
    <cellStyle name="Normal_Depr Sch" xfId="467"/>
    <cellStyle name="Normal_Depreciation" xfId="468"/>
    <cellStyle name="Normal_F9" xfId="460"/>
    <cellStyle name="Normal_IS210PL" xfId="451"/>
    <cellStyle name="Normal_Island Time Study 2012 4-23-2012" xfId="465"/>
    <cellStyle name="Normal_M-A DF Calculation 3-1-2013-Final" xfId="455"/>
    <cellStyle name="Normal_Pro Forma Pacific Disposal Roland Heather checked 7-26" xfId="458"/>
    <cellStyle name="Normal_Proforma" xfId="22"/>
    <cellStyle name="Normal_Proforma Yakima" xfId="466"/>
    <cellStyle name="Normal_Regulated Price Out 9-6-2011 Final HL" xfId="462"/>
    <cellStyle name="Normal_Report" xfId="2"/>
    <cellStyle name="Normal_Sheet1 2" xfId="461"/>
    <cellStyle name="Normal_Sheet1 3" xfId="453"/>
    <cellStyle name="Normal_TheTool_Jeff_v5 2" xfId="4"/>
    <cellStyle name="Note 2" xfId="83"/>
    <cellStyle name="Note 2 2" xfId="407"/>
    <cellStyle name="Note 3" xfId="408"/>
    <cellStyle name="Note 3 2" xfId="409"/>
    <cellStyle name="Notes" xfId="117"/>
    <cellStyle name="Output 2" xfId="410"/>
    <cellStyle name="Output 3" xfId="411"/>
    <cellStyle name="Percent" xfId="1" builtinId="5"/>
    <cellStyle name="Percent 2" xfId="20"/>
    <cellStyle name="Percent 2 2" xfId="118"/>
    <cellStyle name="Percent 2 2 2" xfId="412"/>
    <cellStyle name="Percent 2 3" xfId="413"/>
    <cellStyle name="Percent 2 4" xfId="414"/>
    <cellStyle name="Percent 2 6" xfId="415"/>
    <cellStyle name="Percent 3" xfId="6"/>
    <cellStyle name="Percent 3 2" xfId="416"/>
    <cellStyle name="Percent 4" xfId="119"/>
    <cellStyle name="Percent 4 2" xfId="142"/>
    <cellStyle name="Percent 4 3" xfId="124"/>
    <cellStyle name="Percent 4 4" xfId="417"/>
    <cellStyle name="Percent 5" xfId="144"/>
    <cellStyle name="Percent 6" xfId="418"/>
    <cellStyle name="Percent 7" xfId="143"/>
    <cellStyle name="Percent 7 2" xfId="419"/>
    <cellStyle name="Percent 7 3" xfId="420"/>
    <cellStyle name="Percent 8" xfId="421"/>
    <cellStyle name="Percent 9" xfId="422"/>
    <cellStyle name="Percent(1)" xfId="120"/>
    <cellStyle name="Percent(2)" xfId="121"/>
    <cellStyle name="PRM" xfId="84"/>
    <cellStyle name="PRM 2" xfId="423"/>
    <cellStyle name="PRM 3" xfId="424"/>
    <cellStyle name="PRM_2011-11" xfId="425"/>
    <cellStyle name="PS_Comma" xfId="426"/>
    <cellStyle name="PSChar" xfId="122"/>
    <cellStyle name="PSDate" xfId="427"/>
    <cellStyle name="PSDec" xfId="428"/>
    <cellStyle name="PSHeading" xfId="123"/>
    <cellStyle name="PSInt" xfId="429"/>
    <cellStyle name="PSSpacer" xfId="430"/>
    <cellStyle name="STYL0 - Style1" xfId="431"/>
    <cellStyle name="STYL1 - Style2" xfId="432"/>
    <cellStyle name="STYL2 - Style3" xfId="433"/>
    <cellStyle name="STYL3 - Style4" xfId="434"/>
    <cellStyle name="STYL4 - Style5" xfId="435"/>
    <cellStyle name="STYL5 - Style6" xfId="436"/>
    <cellStyle name="STYL6 - Style7" xfId="437"/>
    <cellStyle name="STYL7 - Style8" xfId="438"/>
    <cellStyle name="Style 1" xfId="85"/>
    <cellStyle name="Style 1 2" xfId="439"/>
    <cellStyle name="STYLE1" xfId="86"/>
    <cellStyle name="sub heading" xfId="440"/>
    <cellStyle name="Title 2" xfId="441"/>
    <cellStyle name="Title 3" xfId="442"/>
    <cellStyle name="Total 2" xfId="87"/>
    <cellStyle name="Total 2 2" xfId="443"/>
    <cellStyle name="Total 3" xfId="444"/>
    <cellStyle name="Total 3 2" xfId="445"/>
    <cellStyle name="Warning Text 2" xfId="446"/>
    <cellStyle name="Warning Text 3" xfId="447"/>
    <cellStyle name="WM_STANDARD" xfId="448"/>
  </cellStyles>
  <dxfs count="0"/>
  <tableStyles count="0" defaultTableStyle="TableStyleMedium9" defaultPivotStyle="PivotStyleLight16"/>
  <colors>
    <mruColors>
      <color rgb="FF5D34F4"/>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son/Rate%20Increase%201-1-2013/1%20Filing%2011-14-2012/Revised%202-21-2013/staff%20Mason%20Proforma%209-30-2012-Linked%20Cust%20Count%20Fix%2012-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estern%20Region/ControllerDir/Brent_Blair_Kortney/PO%20Report%20by%20Division/PO%20Report_v3b%202013-08-2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Vashon/Rate%20Incr%201-1-2012/Vashon%20Pro%20Form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Vashon\Rate%20Incr%201-1-2012\Vashon%20Pro%20Form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ExcelFinancials_v3b201122061"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nnual%20Reports/2180%20LeMay/2009/LeMay%20Annual%20Report%20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inf04\home$\Annual%20Reports\2180%20LeMay\2009\LeMay%20Annual%20Report%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stern%20Region/WUTC/WIP%20Files/LeMay%20Companies/2014/Annual%20Report/District%20Schedules/North%20LeMay/N%20LeMay%20Annual%20Report%202013%20-%20with%20Heather's%20Not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nnual%20Reports\2180%20LeMay\2009\LeMay%20Annual%20Report%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acinf04\home$\LeMay\Master%20Truck%20Schedule\South_LeMay%20Master%20Truck%20Schedule-Shar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LeMay\Master%20Truck%20Schedule\South_LeMay%20Master%20Truck%20Schedule-Shared.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ient\L$\Murrey-American\Rate%20Filing%204-1-2016\TacomaH%20Pro%20forma%2012-31-2015,%202-9-201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venue/CRD%20Price%20Out%20April%2015-March%201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Users\heatherg\AppData\Local\Interject\FileCache\JEQuery_v4.4_Interject_WithStag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RC%20Reports/SRC%20Format/Bonus%20Schedule/PNWR%20SRC%20Bonus%20Schedule%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cinf04\home$\SRC%20Reports\SRC%20Format\Bonus%20Schedule\PNWR%20SRC%20Bonus%20Schedule%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RC%20Reports\SRC%20Format\Bonus%20Schedule\PNWR%20SRC%20Bonus%20Schedule%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eMay\2183-1%20Pacific%20Disp,%20Butlers%20Cove\Filing%20Possibly%202012\Filing\Audit\Final%20Outcome%208-14-2012\Pro%20Forma%20Pacific%20Disposal_Staf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May/2183-1%20Pacific%20Disp,%20Butlers%20Cove/Filing%20Possibly%202012/Filing/Audit/Final%20Outcome%208-14-2012/Pro%20Forma%20Pacific%20Disposal_Staf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Mason\Rate%20Increase%201-1-2013\1%20Filing%2011-14-2012\Revised%202-21-2013\staff%20Mason%20Proforma%209-30-2012-Linked%20Cust%20Count%20Fix%2012-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efreshError="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lassA, Certification, pg 1-2"/>
      <sheetName val="OrgControl, pg 3"/>
      <sheetName val="BS-Assets, pg 4"/>
      <sheetName val="BS-Liab, pg 5"/>
      <sheetName val="FixedAssets, pg 6"/>
      <sheetName val="Income Statement, pg 7"/>
      <sheetName val="RevenuesCust, pg 8"/>
      <sheetName val="Recyc-YW, pg 9"/>
      <sheetName val="contracts, pg 10"/>
      <sheetName val="GarbageDisp, pg 11"/>
      <sheetName val="RecycleProcessing, pg 12"/>
      <sheetName val="RetainEarn, pg 13"/>
      <sheetName val="Payroll, pg 14"/>
      <sheetName val="Fuel, pg 15"/>
      <sheetName val="FeeCalc, pg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urrey's IS"/>
      <sheetName val="American IS"/>
      <sheetName val="DM IS"/>
      <sheetName val="Consolidated IS"/>
      <sheetName val="Line of Service"/>
      <sheetName val="Ratios"/>
      <sheetName val="Restating Adj"/>
      <sheetName val="Restating Expl"/>
      <sheetName val="Pro forma Adj"/>
      <sheetName val="LG-Total Company"/>
      <sheetName val="LG Pckr Rts"/>
      <sheetName val="LG RO Rts"/>
      <sheetName val="LG Pckr-RO Rts"/>
      <sheetName val="LG-Recycling"/>
      <sheetName val="LG-MF Recycling"/>
      <sheetName val="LG-YW"/>
      <sheetName val="Price-out"/>
      <sheetName val="Rate Schedule"/>
      <sheetName val="Explanations"/>
      <sheetName val="M-Depr Summary"/>
      <sheetName val="M-Shared Asset Allocation"/>
      <sheetName val="A-Depr Summary"/>
      <sheetName val="Route-Hours"/>
      <sheetName val="Shop-Hours"/>
      <sheetName val="TFS-Tons"/>
      <sheetName val="Recycling Tons"/>
      <sheetName val="Disposal Schedule"/>
      <sheetName val="DVP-DivCon Allocs"/>
      <sheetName val="Consolidated Cust Cnt, Revenue"/>
      <sheetName val="Murrey's Rev 2015"/>
      <sheetName val="American Rev 2015"/>
      <sheetName val="Corp-BS"/>
      <sheetName val="Corp-IS"/>
      <sheetName val="Corp-OH"/>
      <sheetName val="Region OH Calc"/>
      <sheetName val="JE-52120"/>
      <sheetName val="JE 40122"/>
      <sheetName val="JE 70195"/>
      <sheetName val="JE 70335"/>
      <sheetName val="JE 70235"/>
      <sheetName val="JE 70255"/>
    </sheetNames>
    <sheetDataSet>
      <sheetData sheetId="0"/>
      <sheetData sheetId="1"/>
      <sheetData sheetId="2"/>
      <sheetData sheetId="3">
        <row r="259">
          <cell r="C259">
            <v>0</v>
          </cell>
          <cell r="D25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B4">
            <v>4.2750000000000002E-3</v>
          </cell>
        </row>
        <row r="7">
          <cell r="B7">
            <v>1.4999999999999999E-2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221">
          <cell r="C3221">
            <v>-21020.991503100504</v>
          </cell>
        </row>
      </sheetData>
      <sheetData sheetId="36"/>
      <sheetData sheetId="37"/>
      <sheetData sheetId="38"/>
      <sheetData sheetId="39"/>
      <sheetData sheetId="40"/>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venue Summary"/>
      <sheetName val="G-48 Price Out"/>
      <sheetName val="G-51 Price Out"/>
      <sheetName val="Default Rates"/>
      <sheetName val="G-48 Rates"/>
      <sheetName val="G-48 Rates Eff. 9-1"/>
      <sheetName val="G-51 Rates"/>
      <sheetName val="Revenue Data"/>
      <sheetName val="G-48 Rev"/>
      <sheetName val="G-51 Rev"/>
    </sheetNames>
    <sheetDataSet>
      <sheetData sheetId="0"/>
      <sheetData sheetId="1"/>
      <sheetData sheetId="2"/>
      <sheetData sheetId="3"/>
      <sheetData sheetId="4"/>
      <sheetData sheetId="5"/>
      <sheetData sheetId="6"/>
      <sheetData sheetId="7"/>
      <sheetData sheetId="8"/>
      <sheetData sheetId="9">
        <row r="7">
          <cell r="A7" t="str">
            <v>BD</v>
          </cell>
          <cell r="B7" t="str">
            <v>WRITE OFF BAD DEBT</v>
          </cell>
          <cell r="C7">
            <v>-122.1</v>
          </cell>
          <cell r="D7">
            <v>0</v>
          </cell>
          <cell r="E7">
            <v>0</v>
          </cell>
          <cell r="F7">
            <v>0</v>
          </cell>
          <cell r="G7">
            <v>-88.63</v>
          </cell>
          <cell r="H7">
            <v>-1700.61</v>
          </cell>
          <cell r="I7">
            <v>-57.05</v>
          </cell>
          <cell r="J7">
            <v>0</v>
          </cell>
          <cell r="K7">
            <v>0</v>
          </cell>
          <cell r="L7">
            <v>-91.22</v>
          </cell>
          <cell r="M7">
            <v>-71.260000000000005</v>
          </cell>
          <cell r="N7">
            <v>0</v>
          </cell>
          <cell r="O7">
            <v>-2130.87</v>
          </cell>
        </row>
        <row r="8">
          <cell r="A8" t="str">
            <v>BDR</v>
          </cell>
          <cell r="B8" t="str">
            <v>BAD DEBT RECOVERY</v>
          </cell>
          <cell r="C8">
            <v>0</v>
          </cell>
          <cell r="D8">
            <v>75</v>
          </cell>
          <cell r="E8">
            <v>0</v>
          </cell>
          <cell r="F8">
            <v>0</v>
          </cell>
          <cell r="G8">
            <v>0</v>
          </cell>
          <cell r="H8">
            <v>0</v>
          </cell>
          <cell r="I8">
            <v>431.73</v>
          </cell>
          <cell r="J8">
            <v>0</v>
          </cell>
          <cell r="K8">
            <v>0</v>
          </cell>
          <cell r="L8">
            <v>0</v>
          </cell>
          <cell r="M8">
            <v>0</v>
          </cell>
          <cell r="N8">
            <v>44.4</v>
          </cell>
          <cell r="O8">
            <v>551.13</v>
          </cell>
        </row>
        <row r="9">
          <cell r="A9" t="str">
            <v>FINCHG</v>
          </cell>
          <cell r="B9" t="str">
            <v>LATE FEE</v>
          </cell>
          <cell r="C9">
            <v>55.48</v>
          </cell>
          <cell r="D9">
            <v>25.67</v>
          </cell>
          <cell r="E9">
            <v>24.77</v>
          </cell>
          <cell r="F9">
            <v>49.46</v>
          </cell>
          <cell r="G9">
            <v>52.78</v>
          </cell>
          <cell r="H9">
            <v>30.660000000000004</v>
          </cell>
          <cell r="I9">
            <v>25</v>
          </cell>
          <cell r="J9">
            <v>20</v>
          </cell>
          <cell r="K9">
            <v>31.69</v>
          </cell>
          <cell r="L9">
            <v>26.02</v>
          </cell>
          <cell r="M9">
            <v>40.67</v>
          </cell>
          <cell r="N9">
            <v>34.549999999999997</v>
          </cell>
          <cell r="O9">
            <v>416.75</v>
          </cell>
        </row>
        <row r="10">
          <cell r="A10" t="str">
            <v>MM</v>
          </cell>
          <cell r="B10" t="str">
            <v>TRANSFER PAYMENT</v>
          </cell>
          <cell r="C10">
            <v>0</v>
          </cell>
          <cell r="D10">
            <v>0</v>
          </cell>
          <cell r="E10">
            <v>0</v>
          </cell>
          <cell r="F10">
            <v>0</v>
          </cell>
          <cell r="G10">
            <v>0</v>
          </cell>
          <cell r="H10">
            <v>0</v>
          </cell>
          <cell r="I10">
            <v>0</v>
          </cell>
          <cell r="J10">
            <v>-60</v>
          </cell>
          <cell r="K10">
            <v>0</v>
          </cell>
          <cell r="L10">
            <v>0</v>
          </cell>
          <cell r="M10">
            <v>0</v>
          </cell>
          <cell r="N10">
            <v>0</v>
          </cell>
          <cell r="O10">
            <v>-60</v>
          </cell>
        </row>
        <row r="11">
          <cell r="A11" t="str">
            <v>REFUND</v>
          </cell>
          <cell r="B11" t="str">
            <v>CUSTOMER REFUND</v>
          </cell>
          <cell r="C11">
            <v>0</v>
          </cell>
          <cell r="D11">
            <v>0</v>
          </cell>
          <cell r="E11">
            <v>0</v>
          </cell>
          <cell r="F11">
            <v>0</v>
          </cell>
          <cell r="G11">
            <v>0</v>
          </cell>
          <cell r="H11">
            <v>0</v>
          </cell>
          <cell r="I11">
            <v>0</v>
          </cell>
          <cell r="J11">
            <v>226.76</v>
          </cell>
          <cell r="K11">
            <v>0</v>
          </cell>
          <cell r="L11">
            <v>0</v>
          </cell>
          <cell r="M11">
            <v>63.58</v>
          </cell>
          <cell r="N11">
            <v>9.26</v>
          </cell>
          <cell r="O11">
            <v>299.59999999999997</v>
          </cell>
        </row>
        <row r="12">
          <cell r="A12" t="str">
            <v>UNCLAIMED</v>
          </cell>
          <cell r="B12" t="str">
            <v>UNCLAIMED PROPERTY</v>
          </cell>
          <cell r="C12">
            <v>0</v>
          </cell>
          <cell r="D12">
            <v>0</v>
          </cell>
          <cell r="E12">
            <v>0</v>
          </cell>
          <cell r="F12">
            <v>0</v>
          </cell>
          <cell r="G12">
            <v>0</v>
          </cell>
          <cell r="H12">
            <v>0.18</v>
          </cell>
          <cell r="I12">
            <v>0</v>
          </cell>
          <cell r="J12">
            <v>0</v>
          </cell>
          <cell r="K12">
            <v>0</v>
          </cell>
          <cell r="L12">
            <v>0</v>
          </cell>
          <cell r="M12">
            <v>0</v>
          </cell>
          <cell r="N12">
            <v>0</v>
          </cell>
          <cell r="O12">
            <v>0.18</v>
          </cell>
        </row>
        <row r="13">
          <cell r="A13" t="str">
            <v>WO</v>
          </cell>
          <cell r="B13" t="str">
            <v>SMALL BALANCE WRITE OFF</v>
          </cell>
          <cell r="C13">
            <v>0</v>
          </cell>
          <cell r="D13">
            <v>0</v>
          </cell>
          <cell r="E13">
            <v>0</v>
          </cell>
          <cell r="F13">
            <v>0</v>
          </cell>
          <cell r="G13">
            <v>0</v>
          </cell>
          <cell r="H13">
            <v>0</v>
          </cell>
          <cell r="I13">
            <v>-20.700000000000003</v>
          </cell>
          <cell r="J13">
            <v>0</v>
          </cell>
          <cell r="K13">
            <v>0</v>
          </cell>
          <cell r="L13">
            <v>0</v>
          </cell>
          <cell r="M13">
            <v>0</v>
          </cell>
          <cell r="N13">
            <v>0</v>
          </cell>
          <cell r="O13">
            <v>-20.700000000000003</v>
          </cell>
        </row>
        <row r="14">
          <cell r="A14" t="str">
            <v>COMMERCIAL</v>
          </cell>
          <cell r="C14">
            <v>3462.5900000000006</v>
          </cell>
          <cell r="D14">
            <v>3360.0400000000004</v>
          </cell>
          <cell r="E14">
            <v>3241.8800000000006</v>
          </cell>
          <cell r="F14">
            <v>4054.03</v>
          </cell>
          <cell r="G14">
            <v>4141.3300000000008</v>
          </cell>
          <cell r="H14">
            <v>4058.5300000000007</v>
          </cell>
          <cell r="I14">
            <v>4276.5200000000004</v>
          </cell>
          <cell r="J14">
            <v>4160.22</v>
          </cell>
          <cell r="K14">
            <v>4249.7300000000005</v>
          </cell>
          <cell r="L14">
            <v>4389.87</v>
          </cell>
          <cell r="M14">
            <v>4136.88</v>
          </cell>
          <cell r="N14">
            <v>4173.8899999999994</v>
          </cell>
          <cell r="O14">
            <v>47705.51</v>
          </cell>
        </row>
        <row r="15">
          <cell r="A15" t="str">
            <v>1.5YCOC1</v>
          </cell>
          <cell r="B15" t="str">
            <v>1-1.5 CONTAINER ON CALL</v>
          </cell>
          <cell r="C15">
            <v>0</v>
          </cell>
          <cell r="D15">
            <v>0</v>
          </cell>
          <cell r="E15">
            <v>0</v>
          </cell>
          <cell r="F15">
            <v>0</v>
          </cell>
          <cell r="G15">
            <v>0</v>
          </cell>
          <cell r="H15">
            <v>0</v>
          </cell>
          <cell r="I15">
            <v>0</v>
          </cell>
          <cell r="J15">
            <v>0</v>
          </cell>
          <cell r="K15">
            <v>97.4</v>
          </cell>
          <cell r="L15">
            <v>194.8</v>
          </cell>
          <cell r="M15">
            <v>0</v>
          </cell>
          <cell r="N15">
            <v>0</v>
          </cell>
          <cell r="O15">
            <v>292.20000000000005</v>
          </cell>
        </row>
        <row r="16">
          <cell r="A16" t="str">
            <v>1YCOC1</v>
          </cell>
          <cell r="B16" t="str">
            <v>1-1YD CONTAINER ON CALL</v>
          </cell>
          <cell r="C16">
            <v>0</v>
          </cell>
          <cell r="D16">
            <v>0</v>
          </cell>
          <cell r="E16">
            <v>0</v>
          </cell>
          <cell r="F16">
            <v>0</v>
          </cell>
          <cell r="G16">
            <v>0</v>
          </cell>
          <cell r="H16">
            <v>0</v>
          </cell>
          <cell r="I16">
            <v>0</v>
          </cell>
          <cell r="J16">
            <v>0</v>
          </cell>
          <cell r="K16">
            <v>16.45</v>
          </cell>
          <cell r="L16">
            <v>0</v>
          </cell>
          <cell r="M16">
            <v>0</v>
          </cell>
          <cell r="N16">
            <v>0</v>
          </cell>
          <cell r="O16">
            <v>16.45</v>
          </cell>
        </row>
        <row r="17">
          <cell r="A17" t="str">
            <v>2YCOC1</v>
          </cell>
          <cell r="B17" t="str">
            <v>1-2YD CONTAINER ON CALL</v>
          </cell>
          <cell r="C17">
            <v>0</v>
          </cell>
          <cell r="D17">
            <v>0</v>
          </cell>
          <cell r="E17">
            <v>0</v>
          </cell>
          <cell r="F17">
            <v>0</v>
          </cell>
          <cell r="G17">
            <v>0</v>
          </cell>
          <cell r="H17">
            <v>0</v>
          </cell>
          <cell r="I17">
            <v>0</v>
          </cell>
          <cell r="J17">
            <v>0</v>
          </cell>
          <cell r="K17">
            <v>32.15</v>
          </cell>
          <cell r="L17">
            <v>32.15</v>
          </cell>
          <cell r="M17">
            <v>0</v>
          </cell>
          <cell r="N17">
            <v>0</v>
          </cell>
          <cell r="O17">
            <v>64.3</v>
          </cell>
        </row>
        <row r="18">
          <cell r="A18" t="str">
            <v>32C1E1</v>
          </cell>
          <cell r="B18" t="str">
            <v>1-32GAL CAN EOW</v>
          </cell>
          <cell r="C18">
            <v>13.9</v>
          </cell>
          <cell r="D18">
            <v>13.9</v>
          </cell>
          <cell r="E18">
            <v>13.9</v>
          </cell>
          <cell r="F18">
            <v>13.9</v>
          </cell>
          <cell r="G18">
            <v>13.9</v>
          </cell>
          <cell r="H18">
            <v>13.9</v>
          </cell>
          <cell r="I18">
            <v>13.9</v>
          </cell>
          <cell r="J18">
            <v>13.9</v>
          </cell>
          <cell r="K18">
            <v>13.9</v>
          </cell>
          <cell r="L18">
            <v>13.9</v>
          </cell>
          <cell r="M18">
            <v>13.9</v>
          </cell>
          <cell r="N18">
            <v>13.9</v>
          </cell>
          <cell r="O18">
            <v>166.80000000000004</v>
          </cell>
        </row>
        <row r="19">
          <cell r="A19" t="str">
            <v>32C1W1</v>
          </cell>
          <cell r="B19" t="str">
            <v>1-32GAL COMM 1 X WEEKLY</v>
          </cell>
          <cell r="C19">
            <v>55.6</v>
          </cell>
          <cell r="D19">
            <v>55.6</v>
          </cell>
          <cell r="E19">
            <v>55.6</v>
          </cell>
          <cell r="F19">
            <v>83.4</v>
          </cell>
          <cell r="G19">
            <v>83.4</v>
          </cell>
          <cell r="H19">
            <v>69.5</v>
          </cell>
          <cell r="I19">
            <v>69.5</v>
          </cell>
          <cell r="J19">
            <v>55.6</v>
          </cell>
          <cell r="K19">
            <v>55.6</v>
          </cell>
          <cell r="L19">
            <v>55.6</v>
          </cell>
          <cell r="M19">
            <v>55.6</v>
          </cell>
          <cell r="N19">
            <v>55.6</v>
          </cell>
          <cell r="O19">
            <v>750.60000000000014</v>
          </cell>
        </row>
        <row r="20">
          <cell r="A20" t="str">
            <v>32C1W4</v>
          </cell>
          <cell r="B20" t="str">
            <v>4-32GAL CANS 1 X WEEKLY</v>
          </cell>
          <cell r="C20">
            <v>55.42</v>
          </cell>
          <cell r="D20">
            <v>55.42</v>
          </cell>
          <cell r="E20">
            <v>55.42</v>
          </cell>
          <cell r="F20">
            <v>55.42</v>
          </cell>
          <cell r="G20">
            <v>55.42</v>
          </cell>
          <cell r="H20">
            <v>55.42</v>
          </cell>
          <cell r="I20">
            <v>55.42</v>
          </cell>
          <cell r="J20">
            <v>55.42</v>
          </cell>
          <cell r="K20">
            <v>55.42</v>
          </cell>
          <cell r="L20">
            <v>55.42</v>
          </cell>
          <cell r="M20">
            <v>55.42</v>
          </cell>
          <cell r="N20">
            <v>55.42</v>
          </cell>
          <cell r="O20">
            <v>665.04</v>
          </cell>
        </row>
        <row r="21">
          <cell r="A21" t="str">
            <v>45C1M1</v>
          </cell>
          <cell r="B21" t="str">
            <v>1-45 GAL COM CAN MONTHLY</v>
          </cell>
          <cell r="C21">
            <v>0</v>
          </cell>
          <cell r="D21">
            <v>0</v>
          </cell>
          <cell r="E21">
            <v>0</v>
          </cell>
          <cell r="F21">
            <v>23.45</v>
          </cell>
          <cell r="G21">
            <v>23.45</v>
          </cell>
          <cell r="H21">
            <v>23.45</v>
          </cell>
          <cell r="I21">
            <v>0</v>
          </cell>
          <cell r="J21">
            <v>0</v>
          </cell>
          <cell r="K21">
            <v>0</v>
          </cell>
          <cell r="L21">
            <v>0</v>
          </cell>
          <cell r="M21">
            <v>0</v>
          </cell>
          <cell r="N21">
            <v>0</v>
          </cell>
          <cell r="O21">
            <v>70.349999999999994</v>
          </cell>
        </row>
        <row r="22">
          <cell r="A22" t="str">
            <v>ACCESS3W-COM</v>
          </cell>
          <cell r="B22" t="str">
            <v>ACCESS/GATE FEE 3X WK</v>
          </cell>
          <cell r="C22">
            <v>0</v>
          </cell>
          <cell r="D22">
            <v>0</v>
          </cell>
          <cell r="E22">
            <v>0</v>
          </cell>
          <cell r="F22">
            <v>12</v>
          </cell>
          <cell r="G22">
            <v>12</v>
          </cell>
          <cell r="H22">
            <v>12</v>
          </cell>
          <cell r="I22">
            <v>12</v>
          </cell>
          <cell r="J22">
            <v>12</v>
          </cell>
          <cell r="K22">
            <v>12</v>
          </cell>
          <cell r="L22">
            <v>12</v>
          </cell>
          <cell r="M22">
            <v>12</v>
          </cell>
          <cell r="N22">
            <v>12</v>
          </cell>
          <cell r="O22">
            <v>108</v>
          </cell>
        </row>
        <row r="23">
          <cell r="A23" t="str">
            <v>ADJ - COMM</v>
          </cell>
          <cell r="B23" t="str">
            <v>ADJUSTMENT SERVICE - COMM</v>
          </cell>
          <cell r="C23">
            <v>0</v>
          </cell>
          <cell r="D23">
            <v>0</v>
          </cell>
          <cell r="E23">
            <v>0</v>
          </cell>
          <cell r="F23">
            <v>0</v>
          </cell>
          <cell r="G23">
            <v>0</v>
          </cell>
          <cell r="H23">
            <v>0</v>
          </cell>
          <cell r="I23">
            <v>0</v>
          </cell>
          <cell r="J23">
            <v>0</v>
          </cell>
          <cell r="K23">
            <v>0</v>
          </cell>
          <cell r="L23">
            <v>0</v>
          </cell>
          <cell r="M23">
            <v>0</v>
          </cell>
          <cell r="N23">
            <v>92.77</v>
          </cell>
          <cell r="O23">
            <v>92.77</v>
          </cell>
        </row>
        <row r="24">
          <cell r="A24" t="str">
            <v>BULKY - COMM</v>
          </cell>
          <cell r="B24" t="str">
            <v>BULKY ITEM PICK UP - COMM</v>
          </cell>
          <cell r="C24">
            <v>25.1</v>
          </cell>
          <cell r="D24">
            <v>0</v>
          </cell>
          <cell r="E24">
            <v>0</v>
          </cell>
          <cell r="O24">
            <v>25.1</v>
          </cell>
        </row>
        <row r="25">
          <cell r="A25" t="str">
            <v>CLOCK</v>
          </cell>
          <cell r="B25" t="str">
            <v>COMM LOCK CHARGE</v>
          </cell>
          <cell r="C25">
            <v>2.5</v>
          </cell>
          <cell r="D25">
            <v>2.5</v>
          </cell>
          <cell r="E25">
            <v>2.5</v>
          </cell>
          <cell r="F25">
            <v>0</v>
          </cell>
          <cell r="G25">
            <v>0</v>
          </cell>
          <cell r="H25">
            <v>0</v>
          </cell>
          <cell r="I25">
            <v>0</v>
          </cell>
          <cell r="J25">
            <v>0</v>
          </cell>
          <cell r="K25">
            <v>0</v>
          </cell>
          <cell r="L25">
            <v>2.5</v>
          </cell>
          <cell r="M25">
            <v>2.5</v>
          </cell>
          <cell r="N25">
            <v>2.5</v>
          </cell>
          <cell r="O25">
            <v>15</v>
          </cell>
        </row>
        <row r="26">
          <cell r="A26" t="str">
            <v>DEL2-COM</v>
          </cell>
          <cell r="B26" t="str">
            <v>DELIVER 2 YD</v>
          </cell>
          <cell r="C26">
            <v>0</v>
          </cell>
          <cell r="D26">
            <v>0</v>
          </cell>
          <cell r="E26">
            <v>0</v>
          </cell>
          <cell r="F26">
            <v>0</v>
          </cell>
          <cell r="G26">
            <v>0</v>
          </cell>
          <cell r="H26">
            <v>0</v>
          </cell>
          <cell r="I26">
            <v>0</v>
          </cell>
          <cell r="J26">
            <v>0</v>
          </cell>
          <cell r="K26">
            <v>14.25</v>
          </cell>
          <cell r="L26">
            <v>0</v>
          </cell>
          <cell r="M26">
            <v>0</v>
          </cell>
          <cell r="N26">
            <v>0</v>
          </cell>
          <cell r="O26">
            <v>14.25</v>
          </cell>
        </row>
        <row r="27">
          <cell r="A27" t="str">
            <v>EXTRA-COMM</v>
          </cell>
          <cell r="B27" t="str">
            <v>EXTRA CAN, BAG, BOX - COM</v>
          </cell>
          <cell r="C27">
            <v>58.84</v>
          </cell>
          <cell r="D27">
            <v>28.8</v>
          </cell>
          <cell r="E27">
            <v>22.4</v>
          </cell>
          <cell r="F27">
            <v>0</v>
          </cell>
          <cell r="G27">
            <v>0</v>
          </cell>
          <cell r="H27">
            <v>12.8</v>
          </cell>
          <cell r="I27">
            <v>140.80000000000001</v>
          </cell>
          <cell r="J27">
            <v>38.4</v>
          </cell>
          <cell r="K27">
            <v>16</v>
          </cell>
          <cell r="L27">
            <v>99.64</v>
          </cell>
          <cell r="M27">
            <v>73.599999999999994</v>
          </cell>
          <cell r="N27">
            <v>16</v>
          </cell>
          <cell r="O27">
            <v>507.28</v>
          </cell>
        </row>
        <row r="28">
          <cell r="A28" t="str">
            <v>P1.5YC1W1</v>
          </cell>
          <cell r="B28" t="str">
            <v>1-1.5YD CONT 1 X WEEKLY</v>
          </cell>
          <cell r="C28">
            <v>635.22</v>
          </cell>
          <cell r="D28">
            <v>635.22</v>
          </cell>
          <cell r="E28">
            <v>635.22</v>
          </cell>
          <cell r="F28">
            <v>635.22</v>
          </cell>
          <cell r="G28">
            <v>635.22</v>
          </cell>
          <cell r="H28">
            <v>635.22</v>
          </cell>
          <cell r="I28">
            <v>635.22</v>
          </cell>
          <cell r="J28">
            <v>635.22</v>
          </cell>
          <cell r="K28">
            <v>635.22</v>
          </cell>
          <cell r="L28">
            <v>635.22</v>
          </cell>
          <cell r="M28">
            <v>635.22</v>
          </cell>
          <cell r="N28">
            <v>635.22</v>
          </cell>
          <cell r="O28">
            <v>7622.6400000000021</v>
          </cell>
        </row>
        <row r="29">
          <cell r="A29" t="str">
            <v>P1.5YC1W2</v>
          </cell>
          <cell r="B29" t="str">
            <v>2-1.5YD CONT 1 X WEEKLY</v>
          </cell>
          <cell r="C29">
            <v>141.16</v>
          </cell>
          <cell r="D29">
            <v>141.16</v>
          </cell>
          <cell r="E29">
            <v>141.16</v>
          </cell>
          <cell r="F29">
            <v>141.16</v>
          </cell>
          <cell r="G29">
            <v>141.16</v>
          </cell>
          <cell r="H29">
            <v>141.16</v>
          </cell>
          <cell r="I29">
            <v>141.16</v>
          </cell>
          <cell r="J29">
            <v>141.16</v>
          </cell>
          <cell r="K29">
            <v>141.16</v>
          </cell>
          <cell r="L29">
            <v>141.16</v>
          </cell>
          <cell r="M29">
            <v>141.16</v>
          </cell>
          <cell r="N29">
            <v>141.16</v>
          </cell>
          <cell r="O29">
            <v>1693.9200000000003</v>
          </cell>
        </row>
        <row r="30">
          <cell r="A30" t="str">
            <v>P1.5YCE1</v>
          </cell>
          <cell r="B30" t="str">
            <v>1-1.5YD CONT EOW</v>
          </cell>
          <cell r="C30">
            <v>0</v>
          </cell>
          <cell r="D30">
            <v>0</v>
          </cell>
          <cell r="E30">
            <v>0</v>
          </cell>
          <cell r="F30">
            <v>35.369999999999997</v>
          </cell>
          <cell r="G30">
            <v>35.369999999999997</v>
          </cell>
          <cell r="H30">
            <v>0</v>
          </cell>
          <cell r="I30">
            <v>0</v>
          </cell>
          <cell r="J30">
            <v>0</v>
          </cell>
          <cell r="K30">
            <v>0</v>
          </cell>
          <cell r="L30">
            <v>0</v>
          </cell>
          <cell r="M30">
            <v>0</v>
          </cell>
          <cell r="N30">
            <v>0</v>
          </cell>
          <cell r="O30">
            <v>70.739999999999995</v>
          </cell>
        </row>
        <row r="31">
          <cell r="A31" t="str">
            <v>P1YC1W1</v>
          </cell>
          <cell r="B31" t="str">
            <v>1-1YD CONT 1 X WEEKLY</v>
          </cell>
          <cell r="C31">
            <v>237.05</v>
          </cell>
          <cell r="D31">
            <v>189.64</v>
          </cell>
          <cell r="E31">
            <v>189.64</v>
          </cell>
          <cell r="F31">
            <v>237.05</v>
          </cell>
          <cell r="G31">
            <v>237.05</v>
          </cell>
          <cell r="H31">
            <v>237.05</v>
          </cell>
          <cell r="I31">
            <v>284.45999999999998</v>
          </cell>
          <cell r="J31">
            <v>284.45999999999998</v>
          </cell>
          <cell r="K31">
            <v>237.05</v>
          </cell>
          <cell r="L31">
            <v>237.05</v>
          </cell>
          <cell r="M31">
            <v>237.05</v>
          </cell>
          <cell r="N31">
            <v>237.05</v>
          </cell>
          <cell r="O31">
            <v>2844.6000000000004</v>
          </cell>
        </row>
        <row r="32">
          <cell r="A32" t="str">
            <v>P1YCE1</v>
          </cell>
          <cell r="B32" t="str">
            <v>1-1YD CONT EOW</v>
          </cell>
          <cell r="C32">
            <v>23.76</v>
          </cell>
          <cell r="D32">
            <v>23.76</v>
          </cell>
          <cell r="E32">
            <v>23.76</v>
          </cell>
          <cell r="F32">
            <v>41.58</v>
          </cell>
          <cell r="G32">
            <v>23.76</v>
          </cell>
          <cell r="H32">
            <v>23.76</v>
          </cell>
          <cell r="I32">
            <v>23.76</v>
          </cell>
          <cell r="J32">
            <v>23.76</v>
          </cell>
          <cell r="K32">
            <v>23.76</v>
          </cell>
          <cell r="L32">
            <v>23.76</v>
          </cell>
          <cell r="M32">
            <v>23.76</v>
          </cell>
          <cell r="N32">
            <v>23.76</v>
          </cell>
          <cell r="O32">
            <v>302.93999999999994</v>
          </cell>
        </row>
        <row r="33">
          <cell r="A33" t="str">
            <v>P2YC1W1</v>
          </cell>
          <cell r="B33" t="str">
            <v>1-2YD CONT 1 X WEEKLY</v>
          </cell>
          <cell r="C33">
            <v>554.70000000000005</v>
          </cell>
          <cell r="D33">
            <v>554.70000000000005</v>
          </cell>
          <cell r="E33">
            <v>554.70000000000005</v>
          </cell>
          <cell r="F33">
            <v>535.59</v>
          </cell>
          <cell r="G33">
            <v>554.70000000000005</v>
          </cell>
          <cell r="H33">
            <v>554.70000000000005</v>
          </cell>
          <cell r="I33">
            <v>554.70000000000005</v>
          </cell>
          <cell r="J33">
            <v>554.70000000000005</v>
          </cell>
          <cell r="K33">
            <v>554.70000000000005</v>
          </cell>
          <cell r="L33">
            <v>554.70000000000005</v>
          </cell>
          <cell r="M33">
            <v>554.70000000000005</v>
          </cell>
          <cell r="N33">
            <v>554.70000000000005</v>
          </cell>
          <cell r="O33">
            <v>6637.2899999999991</v>
          </cell>
        </row>
        <row r="34">
          <cell r="A34" t="str">
            <v>P2YC1W2</v>
          </cell>
          <cell r="B34" t="str">
            <v>2-2YD CONT. 1 X WEEKLY</v>
          </cell>
          <cell r="C34">
            <v>184.89</v>
          </cell>
          <cell r="D34">
            <v>184.89</v>
          </cell>
          <cell r="E34">
            <v>184.89</v>
          </cell>
          <cell r="F34">
            <v>184.89</v>
          </cell>
          <cell r="G34">
            <v>184.89</v>
          </cell>
          <cell r="H34">
            <v>184.89</v>
          </cell>
          <cell r="I34">
            <v>184.89</v>
          </cell>
          <cell r="J34">
            <v>184.89</v>
          </cell>
          <cell r="K34">
            <v>184.89</v>
          </cell>
          <cell r="L34">
            <v>184.89</v>
          </cell>
          <cell r="M34">
            <v>184.89</v>
          </cell>
          <cell r="N34">
            <v>184.89</v>
          </cell>
          <cell r="O34">
            <v>2218.6799999999994</v>
          </cell>
        </row>
        <row r="35">
          <cell r="A35" t="str">
            <v>P2YC2W1</v>
          </cell>
          <cell r="B35" t="str">
            <v>1-2YD CONT 2  X WEEKLY</v>
          </cell>
          <cell r="C35">
            <v>369.78</v>
          </cell>
          <cell r="D35">
            <v>369.78</v>
          </cell>
          <cell r="E35">
            <v>369.78</v>
          </cell>
          <cell r="F35">
            <v>369.78</v>
          </cell>
          <cell r="G35">
            <v>369.78</v>
          </cell>
          <cell r="H35">
            <v>369.78</v>
          </cell>
          <cell r="I35">
            <v>369.78</v>
          </cell>
          <cell r="J35">
            <v>369.78</v>
          </cell>
          <cell r="K35">
            <v>369.78</v>
          </cell>
          <cell r="L35">
            <v>369.78</v>
          </cell>
          <cell r="M35">
            <v>369.78</v>
          </cell>
          <cell r="N35">
            <v>369.78</v>
          </cell>
          <cell r="O35">
            <v>4437.3599999999988</v>
          </cell>
        </row>
        <row r="36">
          <cell r="A36" t="str">
            <v>P2YC3W1</v>
          </cell>
          <cell r="B36" t="str">
            <v>1-2YD CONT. 3 X WEEKLY</v>
          </cell>
          <cell r="C36">
            <v>277.33999999999997</v>
          </cell>
          <cell r="D36">
            <v>277.33999999999997</v>
          </cell>
          <cell r="E36">
            <v>277.33999999999997</v>
          </cell>
          <cell r="F36">
            <v>277.33999999999997</v>
          </cell>
          <cell r="G36">
            <v>277.33999999999997</v>
          </cell>
          <cell r="H36">
            <v>277.33999999999997</v>
          </cell>
          <cell r="I36">
            <v>277.33999999999997</v>
          </cell>
          <cell r="J36">
            <v>277.33999999999997</v>
          </cell>
          <cell r="K36">
            <v>277.33999999999997</v>
          </cell>
          <cell r="L36">
            <v>277.33999999999997</v>
          </cell>
          <cell r="M36">
            <v>277.33999999999997</v>
          </cell>
          <cell r="N36">
            <v>277.33999999999997</v>
          </cell>
          <cell r="O36">
            <v>3328.0800000000004</v>
          </cell>
        </row>
        <row r="37">
          <cell r="A37" t="str">
            <v>P2YC3W2</v>
          </cell>
          <cell r="B37" t="str">
            <v>2-2YD CONT. 3 X WEEKLY</v>
          </cell>
          <cell r="C37">
            <v>0</v>
          </cell>
          <cell r="D37">
            <v>0</v>
          </cell>
          <cell r="E37">
            <v>0</v>
          </cell>
          <cell r="F37">
            <v>554.66999999999996</v>
          </cell>
          <cell r="G37">
            <v>554.66999999999996</v>
          </cell>
          <cell r="H37">
            <v>554.66999999999996</v>
          </cell>
          <cell r="I37">
            <v>554.66999999999996</v>
          </cell>
          <cell r="J37">
            <v>554.66999999999996</v>
          </cell>
          <cell r="K37">
            <v>554.66999999999996</v>
          </cell>
          <cell r="L37">
            <v>554.66999999999996</v>
          </cell>
          <cell r="M37">
            <v>554.66999999999996</v>
          </cell>
          <cell r="N37">
            <v>554.66999999999996</v>
          </cell>
          <cell r="O37">
            <v>4992.03</v>
          </cell>
        </row>
        <row r="38">
          <cell r="A38" t="str">
            <v>P2YCE1</v>
          </cell>
          <cell r="B38" t="str">
            <v>1-2YD CONT EOW</v>
          </cell>
          <cell r="C38">
            <v>198.04000000000002</v>
          </cell>
          <cell r="D38">
            <v>198.04000000000002</v>
          </cell>
          <cell r="E38">
            <v>115.83</v>
          </cell>
          <cell r="F38">
            <v>150.57</v>
          </cell>
          <cell r="G38">
            <v>185.32</v>
          </cell>
          <cell r="H38">
            <v>138.99</v>
          </cell>
          <cell r="I38">
            <v>185.32</v>
          </cell>
          <cell r="J38">
            <v>185.32</v>
          </cell>
          <cell r="K38">
            <v>198.04000000000002</v>
          </cell>
          <cell r="L38">
            <v>198.04000000000002</v>
          </cell>
          <cell r="M38">
            <v>198.04000000000002</v>
          </cell>
          <cell r="N38">
            <v>198.04000000000002</v>
          </cell>
          <cell r="O38">
            <v>2149.5899999999997</v>
          </cell>
        </row>
        <row r="39">
          <cell r="A39" t="str">
            <v>R2TC-COMM</v>
          </cell>
          <cell r="B39" t="str">
            <v>2 YD TEMP CONT PICKUP</v>
          </cell>
          <cell r="C39">
            <v>0</v>
          </cell>
          <cell r="D39">
            <v>0</v>
          </cell>
          <cell r="E39">
            <v>0</v>
          </cell>
          <cell r="F39">
            <v>-63.75</v>
          </cell>
          <cell r="G39">
            <v>0</v>
          </cell>
          <cell r="H39">
            <v>0</v>
          </cell>
          <cell r="I39">
            <v>0</v>
          </cell>
          <cell r="J39">
            <v>0</v>
          </cell>
          <cell r="K39">
            <v>0</v>
          </cell>
          <cell r="L39">
            <v>0</v>
          </cell>
          <cell r="M39">
            <v>0</v>
          </cell>
          <cell r="N39">
            <v>0</v>
          </cell>
          <cell r="O39">
            <v>-63.75</v>
          </cell>
        </row>
        <row r="40">
          <cell r="A40" t="str">
            <v>RENT1.5-COM</v>
          </cell>
          <cell r="B40" t="str">
            <v>1.5 YD CONT RENTAL</v>
          </cell>
          <cell r="C40">
            <v>199.79999999999998</v>
          </cell>
          <cell r="D40">
            <v>199.79999999999998</v>
          </cell>
          <cell r="E40">
            <v>199.79999999999998</v>
          </cell>
          <cell r="F40">
            <v>212.29000000000002</v>
          </cell>
          <cell r="G40">
            <v>199.8</v>
          </cell>
          <cell r="H40">
            <v>199.8</v>
          </cell>
          <cell r="I40">
            <v>199.79999999999998</v>
          </cell>
          <cell r="J40">
            <v>199.79999999999998</v>
          </cell>
          <cell r="K40">
            <v>199.79999999999998</v>
          </cell>
          <cell r="L40">
            <v>199.79999999999998</v>
          </cell>
          <cell r="M40">
            <v>199.79999999999998</v>
          </cell>
          <cell r="N40">
            <v>199.79999999999998</v>
          </cell>
          <cell r="O40">
            <v>2410.09</v>
          </cell>
        </row>
        <row r="41">
          <cell r="A41" t="str">
            <v>RENT1-COM</v>
          </cell>
          <cell r="B41" t="str">
            <v>1 YD CONT RENTAL</v>
          </cell>
          <cell r="C41">
            <v>68.25</v>
          </cell>
          <cell r="D41">
            <v>68.25</v>
          </cell>
          <cell r="E41">
            <v>68.25</v>
          </cell>
          <cell r="F41">
            <v>81.900000000000006</v>
          </cell>
          <cell r="G41">
            <v>81.900000000000006</v>
          </cell>
          <cell r="H41">
            <v>81.900000000000006</v>
          </cell>
          <cell r="I41">
            <v>81.900000000000006</v>
          </cell>
          <cell r="J41">
            <v>81.900000000000006</v>
          </cell>
          <cell r="K41">
            <v>68.25</v>
          </cell>
          <cell r="L41">
            <v>68.25</v>
          </cell>
          <cell r="M41">
            <v>68.25</v>
          </cell>
          <cell r="N41">
            <v>68.25</v>
          </cell>
          <cell r="O41">
            <v>887.24999999999989</v>
          </cell>
        </row>
        <row r="42">
          <cell r="A42" t="str">
            <v>RENT2-COM</v>
          </cell>
          <cell r="B42" t="str">
            <v>2 YD CONT RENTAL</v>
          </cell>
          <cell r="C42">
            <v>275.8</v>
          </cell>
          <cell r="D42">
            <v>275.8</v>
          </cell>
          <cell r="E42">
            <v>246.25</v>
          </cell>
          <cell r="F42">
            <v>295.5</v>
          </cell>
          <cell r="G42">
            <v>295.5</v>
          </cell>
          <cell r="H42">
            <v>295.5</v>
          </cell>
          <cell r="I42">
            <v>315.2</v>
          </cell>
          <cell r="J42">
            <v>315.2</v>
          </cell>
          <cell r="K42">
            <v>315.2</v>
          </cell>
          <cell r="L42">
            <v>315.2</v>
          </cell>
          <cell r="M42">
            <v>315.2</v>
          </cell>
          <cell r="N42">
            <v>315.2</v>
          </cell>
          <cell r="O42">
            <v>3575.5499999999993</v>
          </cell>
        </row>
        <row r="43">
          <cell r="A43" t="str">
            <v>ROLL1W-COM</v>
          </cell>
          <cell r="B43" t="str">
            <v>ROLL OUT FEE 1X WK</v>
          </cell>
          <cell r="C43">
            <v>69.3</v>
          </cell>
          <cell r="D43">
            <v>69.3</v>
          </cell>
          <cell r="E43">
            <v>69.3</v>
          </cell>
          <cell r="F43">
            <v>69.3</v>
          </cell>
          <cell r="G43">
            <v>69.3</v>
          </cell>
          <cell r="H43">
            <v>69.3</v>
          </cell>
          <cell r="I43">
            <v>69.3</v>
          </cell>
          <cell r="J43">
            <v>69.3</v>
          </cell>
          <cell r="K43">
            <v>69.3</v>
          </cell>
          <cell r="L43">
            <v>69.3</v>
          </cell>
          <cell r="M43">
            <v>69.3</v>
          </cell>
          <cell r="N43">
            <v>69.3</v>
          </cell>
          <cell r="O43">
            <v>831.5999999999998</v>
          </cell>
        </row>
        <row r="44">
          <cell r="A44" t="str">
            <v>ROLL3W-COM</v>
          </cell>
          <cell r="B44" t="str">
            <v>ROLL OUT FEE 3X WK</v>
          </cell>
          <cell r="C44">
            <v>0</v>
          </cell>
          <cell r="D44">
            <v>0</v>
          </cell>
          <cell r="E44">
            <v>0</v>
          </cell>
          <cell r="F44">
            <v>83.16</v>
          </cell>
          <cell r="G44">
            <v>83.16</v>
          </cell>
          <cell r="H44">
            <v>83.16</v>
          </cell>
          <cell r="I44">
            <v>83.16</v>
          </cell>
          <cell r="J44">
            <v>83.16</v>
          </cell>
          <cell r="K44">
            <v>83.16</v>
          </cell>
          <cell r="L44">
            <v>83.16</v>
          </cell>
          <cell r="M44">
            <v>83.16</v>
          </cell>
          <cell r="N44">
            <v>83.16</v>
          </cell>
          <cell r="O44">
            <v>748.43999999999983</v>
          </cell>
        </row>
        <row r="45">
          <cell r="A45" t="str">
            <v>ROLLEOW-COM</v>
          </cell>
          <cell r="B45" t="str">
            <v>ROLL OUT FEE EOW</v>
          </cell>
          <cell r="C45">
            <v>6.94</v>
          </cell>
          <cell r="D45">
            <v>6.94</v>
          </cell>
          <cell r="E45">
            <v>6.94</v>
          </cell>
          <cell r="F45">
            <v>6.94</v>
          </cell>
          <cell r="G45">
            <v>6.94</v>
          </cell>
          <cell r="H45">
            <v>6.94</v>
          </cell>
          <cell r="I45">
            <v>6.94</v>
          </cell>
          <cell r="J45">
            <v>6.94</v>
          </cell>
          <cell r="K45">
            <v>6.94</v>
          </cell>
          <cell r="L45">
            <v>6.94</v>
          </cell>
          <cell r="M45">
            <v>6.94</v>
          </cell>
          <cell r="N45">
            <v>6.94</v>
          </cell>
          <cell r="O45">
            <v>83.279999999999987</v>
          </cell>
        </row>
        <row r="46">
          <cell r="A46" t="str">
            <v>WI-COMM</v>
          </cell>
          <cell r="B46" t="str">
            <v>WALK IN - COMM</v>
          </cell>
          <cell r="C46">
            <v>9.1999999999999993</v>
          </cell>
          <cell r="D46">
            <v>9.1999999999999993</v>
          </cell>
          <cell r="E46">
            <v>9.1999999999999993</v>
          </cell>
          <cell r="F46">
            <v>17.3</v>
          </cell>
          <cell r="G46">
            <v>17.3</v>
          </cell>
          <cell r="H46">
            <v>17.3</v>
          </cell>
          <cell r="I46">
            <v>17.3</v>
          </cell>
          <cell r="J46">
            <v>17.3</v>
          </cell>
          <cell r="K46">
            <v>17.3</v>
          </cell>
          <cell r="L46">
            <v>4.5999999999999996</v>
          </cell>
          <cell r="M46">
            <v>4.5999999999999996</v>
          </cell>
          <cell r="N46">
            <v>6.44</v>
          </cell>
          <cell r="O46">
            <v>147.04</v>
          </cell>
        </row>
        <row r="47">
          <cell r="A47" t="str">
            <v>RESIDENTIAL</v>
          </cell>
          <cell r="C47">
            <v>3037.6999999999994</v>
          </cell>
          <cell r="D47">
            <v>2684.1499999999996</v>
          </cell>
          <cell r="E47">
            <v>2674.33</v>
          </cell>
          <cell r="F47">
            <v>2794.3700000000003</v>
          </cell>
          <cell r="G47">
            <v>2833.0300000000007</v>
          </cell>
          <cell r="H47">
            <v>2753.5099999999998</v>
          </cell>
          <cell r="I47">
            <v>2930.6</v>
          </cell>
          <cell r="J47">
            <v>2877.2100000000005</v>
          </cell>
          <cell r="K47">
            <v>2989.32</v>
          </cell>
          <cell r="L47">
            <v>2657.87</v>
          </cell>
          <cell r="M47">
            <v>2737.29</v>
          </cell>
          <cell r="N47">
            <v>3261.4399999999996</v>
          </cell>
          <cell r="O47">
            <v>34230.82</v>
          </cell>
        </row>
        <row r="48">
          <cell r="A48" t="str">
            <v>20R1W1</v>
          </cell>
          <cell r="B48" t="str">
            <v>1-20GAL CAN WEEKLY</v>
          </cell>
          <cell r="C48">
            <v>12.7</v>
          </cell>
          <cell r="D48">
            <v>12.7</v>
          </cell>
          <cell r="E48">
            <v>12.7</v>
          </cell>
          <cell r="F48">
            <v>12.7</v>
          </cell>
          <cell r="G48">
            <v>12.7</v>
          </cell>
          <cell r="H48">
            <v>12.7</v>
          </cell>
          <cell r="I48">
            <v>12.7</v>
          </cell>
          <cell r="J48">
            <v>12.7</v>
          </cell>
          <cell r="K48">
            <v>12.7</v>
          </cell>
          <cell r="L48">
            <v>12.7</v>
          </cell>
          <cell r="M48">
            <v>12.7</v>
          </cell>
          <cell r="N48">
            <v>12.7</v>
          </cell>
          <cell r="O48">
            <v>152.4</v>
          </cell>
        </row>
        <row r="49">
          <cell r="A49" t="str">
            <v>32R1E1</v>
          </cell>
          <cell r="B49" t="str">
            <v>1-32GAL CAN EOW</v>
          </cell>
          <cell r="C49">
            <v>82.8</v>
          </cell>
          <cell r="D49">
            <v>82.8</v>
          </cell>
          <cell r="E49">
            <v>87.4</v>
          </cell>
          <cell r="F49">
            <v>48.3</v>
          </cell>
          <cell r="G49">
            <v>64.400000000000006</v>
          </cell>
          <cell r="H49">
            <v>64.400000000000006</v>
          </cell>
          <cell r="I49">
            <v>55.199999999999996</v>
          </cell>
          <cell r="J49">
            <v>55.199999999999996</v>
          </cell>
          <cell r="K49">
            <v>55.199999999999996</v>
          </cell>
          <cell r="L49">
            <v>64.400000000000006</v>
          </cell>
          <cell r="M49">
            <v>73.599999999999994</v>
          </cell>
          <cell r="N49">
            <v>73.599999999999994</v>
          </cell>
          <cell r="O49">
            <v>807.30000000000007</v>
          </cell>
        </row>
        <row r="50">
          <cell r="A50" t="str">
            <v>32R1M1</v>
          </cell>
          <cell r="B50" t="str">
            <v>1-32GAL CAN MONTHLY</v>
          </cell>
          <cell r="C50">
            <v>9.1999999999999993</v>
          </cell>
          <cell r="D50">
            <v>9.1999999999999993</v>
          </cell>
          <cell r="E50">
            <v>13.8</v>
          </cell>
          <cell r="F50">
            <v>4.5999999999999996</v>
          </cell>
          <cell r="G50">
            <v>4.5999999999999996</v>
          </cell>
          <cell r="H50">
            <v>4.5999999999999996</v>
          </cell>
          <cell r="I50">
            <v>4.5999999999999996</v>
          </cell>
          <cell r="J50">
            <v>4.5999999999999996</v>
          </cell>
          <cell r="K50">
            <v>9.1999999999999993</v>
          </cell>
          <cell r="L50">
            <v>9.1999999999999993</v>
          </cell>
          <cell r="M50">
            <v>9.1999999999999993</v>
          </cell>
          <cell r="N50">
            <v>9.1999999999999993</v>
          </cell>
          <cell r="O50">
            <v>92.000000000000014</v>
          </cell>
        </row>
        <row r="51">
          <cell r="A51" t="str">
            <v>32R1OC</v>
          </cell>
          <cell r="B51" t="str">
            <v>1-32GAL CAN ON CALL</v>
          </cell>
          <cell r="C51">
            <v>50.6</v>
          </cell>
          <cell r="D51">
            <v>41.4</v>
          </cell>
          <cell r="E51">
            <v>36.799999999999997</v>
          </cell>
          <cell r="F51">
            <v>37.799999999999997</v>
          </cell>
          <cell r="G51">
            <v>55.2</v>
          </cell>
          <cell r="H51">
            <v>23</v>
          </cell>
          <cell r="I51">
            <v>78.2</v>
          </cell>
          <cell r="J51">
            <v>50.6</v>
          </cell>
          <cell r="K51">
            <v>32.200000000000003</v>
          </cell>
          <cell r="L51">
            <v>46</v>
          </cell>
          <cell r="M51">
            <v>46</v>
          </cell>
          <cell r="N51">
            <v>27.6</v>
          </cell>
          <cell r="O51">
            <v>525.4</v>
          </cell>
        </row>
        <row r="52">
          <cell r="A52" t="str">
            <v>32R1W1</v>
          </cell>
          <cell r="B52" t="str">
            <v>1-32GAL CAN WEEKLY</v>
          </cell>
          <cell r="C52">
            <v>1504.1999999999998</v>
          </cell>
          <cell r="D52">
            <v>1500.75</v>
          </cell>
          <cell r="E52">
            <v>1495</v>
          </cell>
          <cell r="F52">
            <v>1567.7300000000002</v>
          </cell>
          <cell r="G52">
            <v>1581.8200000000002</v>
          </cell>
          <cell r="H52">
            <v>1566.3</v>
          </cell>
          <cell r="I52">
            <v>1569.0099999999998</v>
          </cell>
          <cell r="J52">
            <v>1629.0500000000002</v>
          </cell>
          <cell r="K52">
            <v>1607.6999999999998</v>
          </cell>
          <cell r="L52">
            <v>1548.3799999999999</v>
          </cell>
          <cell r="M52">
            <v>1573.2</v>
          </cell>
          <cell r="N52">
            <v>1544.91</v>
          </cell>
          <cell r="O52">
            <v>18688.05</v>
          </cell>
        </row>
        <row r="53">
          <cell r="A53" t="str">
            <v>32R1W2</v>
          </cell>
          <cell r="B53" t="str">
            <v>2-32GAL CANS WEEKLY</v>
          </cell>
          <cell r="C53">
            <v>616.15000000000009</v>
          </cell>
          <cell r="D53">
            <v>616.15000000000009</v>
          </cell>
          <cell r="E53">
            <v>620.68000000000006</v>
          </cell>
          <cell r="F53">
            <v>619.57000000000005</v>
          </cell>
          <cell r="G53">
            <v>612.15</v>
          </cell>
          <cell r="H53">
            <v>630.70000000000005</v>
          </cell>
          <cell r="I53">
            <v>621.43000000000006</v>
          </cell>
          <cell r="J53">
            <v>630.70000000000005</v>
          </cell>
          <cell r="K53">
            <v>621.43000000000006</v>
          </cell>
          <cell r="L53">
            <v>630.05999999999995</v>
          </cell>
          <cell r="M53">
            <v>597.59999999999991</v>
          </cell>
          <cell r="N53">
            <v>612.44000000000005</v>
          </cell>
          <cell r="O53">
            <v>7429.0600000000013</v>
          </cell>
        </row>
        <row r="54">
          <cell r="A54" t="str">
            <v>32R1W3</v>
          </cell>
          <cell r="B54" t="str">
            <v>3-32GAL CANS WEEKLY</v>
          </cell>
          <cell r="C54">
            <v>93.2</v>
          </cell>
          <cell r="D54">
            <v>104.85000000000001</v>
          </cell>
          <cell r="E54">
            <v>116.5</v>
          </cell>
          <cell r="F54">
            <v>116.5</v>
          </cell>
          <cell r="G54">
            <v>116.5</v>
          </cell>
          <cell r="H54">
            <v>116.5</v>
          </cell>
          <cell r="I54">
            <v>116.5</v>
          </cell>
          <cell r="J54">
            <v>139.80000000000001</v>
          </cell>
          <cell r="K54">
            <v>139.80000000000001</v>
          </cell>
          <cell r="L54">
            <v>82.820000000000007</v>
          </cell>
          <cell r="M54">
            <v>116.5</v>
          </cell>
          <cell r="N54">
            <v>93.2</v>
          </cell>
          <cell r="O54">
            <v>1352.6699999999998</v>
          </cell>
        </row>
        <row r="55">
          <cell r="A55" t="str">
            <v>32R1W4</v>
          </cell>
          <cell r="B55" t="str">
            <v>4-32GAL CANS WEEKLY</v>
          </cell>
          <cell r="C55">
            <v>56.2</v>
          </cell>
          <cell r="D55">
            <v>56.2</v>
          </cell>
          <cell r="E55">
            <v>56.2</v>
          </cell>
          <cell r="F55">
            <v>28.1</v>
          </cell>
          <cell r="G55">
            <v>28.1</v>
          </cell>
          <cell r="H55">
            <v>28.1</v>
          </cell>
          <cell r="I55">
            <v>28.1</v>
          </cell>
          <cell r="J55">
            <v>28.1</v>
          </cell>
          <cell r="K55">
            <v>42.15</v>
          </cell>
          <cell r="L55">
            <v>56.2</v>
          </cell>
          <cell r="M55">
            <v>56.2</v>
          </cell>
          <cell r="N55">
            <v>56.2</v>
          </cell>
          <cell r="O55">
            <v>519.85</v>
          </cell>
        </row>
        <row r="56">
          <cell r="A56" t="str">
            <v>45R1W1</v>
          </cell>
          <cell r="B56" t="str">
            <v>1-45 GAL CAN WKLY</v>
          </cell>
          <cell r="C56">
            <v>181.85999999999999</v>
          </cell>
          <cell r="D56">
            <v>166.71</v>
          </cell>
          <cell r="E56">
            <v>151.55000000000001</v>
          </cell>
          <cell r="F56">
            <v>212.17000000000002</v>
          </cell>
          <cell r="G56">
            <v>181.86</v>
          </cell>
          <cell r="H56">
            <v>166.71</v>
          </cell>
          <cell r="I56">
            <v>181.85999999999999</v>
          </cell>
          <cell r="J56">
            <v>181.85999999999999</v>
          </cell>
          <cell r="K56">
            <v>212.17000000000002</v>
          </cell>
          <cell r="L56">
            <v>181.85999999999999</v>
          </cell>
          <cell r="M56">
            <v>181.85999999999999</v>
          </cell>
          <cell r="N56">
            <v>181.85999999999999</v>
          </cell>
          <cell r="O56">
            <v>2182.3299999999995</v>
          </cell>
        </row>
        <row r="57">
          <cell r="A57" t="str">
            <v>ADJ - RES</v>
          </cell>
          <cell r="B57" t="str">
            <v>ADJUSTMENT SERVICE - RES</v>
          </cell>
          <cell r="C57">
            <v>307.94</v>
          </cell>
          <cell r="D57">
            <v>24.69</v>
          </cell>
          <cell r="E57">
            <v>0</v>
          </cell>
          <cell r="F57">
            <v>0</v>
          </cell>
          <cell r="G57">
            <v>0</v>
          </cell>
          <cell r="H57">
            <v>0</v>
          </cell>
          <cell r="I57">
            <v>0</v>
          </cell>
          <cell r="J57">
            <v>0</v>
          </cell>
          <cell r="K57">
            <v>0</v>
          </cell>
          <cell r="L57">
            <v>0</v>
          </cell>
          <cell r="M57">
            <v>0</v>
          </cell>
          <cell r="N57">
            <v>597.03</v>
          </cell>
          <cell r="O57">
            <v>929.66</v>
          </cell>
        </row>
        <row r="58">
          <cell r="A58" t="str">
            <v>BULKY - RES</v>
          </cell>
          <cell r="B58" t="str">
            <v>BULKY ITEM PICK UP - RES</v>
          </cell>
          <cell r="C58">
            <v>12.55</v>
          </cell>
          <cell r="D58">
            <v>0</v>
          </cell>
          <cell r="E58">
            <v>0</v>
          </cell>
          <cell r="F58">
            <v>0</v>
          </cell>
          <cell r="G58">
            <v>0</v>
          </cell>
          <cell r="H58">
            <v>0</v>
          </cell>
          <cell r="I58">
            <v>0</v>
          </cell>
          <cell r="J58">
            <v>0</v>
          </cell>
          <cell r="K58">
            <v>25.1</v>
          </cell>
          <cell r="L58">
            <v>0</v>
          </cell>
          <cell r="M58">
            <v>0</v>
          </cell>
          <cell r="N58">
            <v>0</v>
          </cell>
          <cell r="O58">
            <v>37.650000000000006</v>
          </cell>
        </row>
        <row r="59">
          <cell r="A59" t="str">
            <v>DRIVEIN-RES</v>
          </cell>
          <cell r="B59" t="str">
            <v>DRIVE IN - RES</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EMPLOYEER</v>
          </cell>
          <cell r="B60" t="str">
            <v>EMPLOYEE SERVICE RES</v>
          </cell>
          <cell r="C60">
            <v>0</v>
          </cell>
          <cell r="D60">
            <v>0</v>
          </cell>
          <cell r="E60">
            <v>-13.8</v>
          </cell>
          <cell r="O60">
            <v>-13.8</v>
          </cell>
        </row>
        <row r="61">
          <cell r="A61" t="str">
            <v>EXTRA-RES</v>
          </cell>
          <cell r="B61" t="str">
            <v>EXTRA CAN, BAG, BOX - RES</v>
          </cell>
          <cell r="C61">
            <v>89.6</v>
          </cell>
          <cell r="D61">
            <v>48</v>
          </cell>
          <cell r="E61">
            <v>76.800000000000011</v>
          </cell>
          <cell r="F61">
            <v>121.60000000000001</v>
          </cell>
          <cell r="G61">
            <v>150.4</v>
          </cell>
          <cell r="H61">
            <v>115.2</v>
          </cell>
          <cell r="I61">
            <v>240</v>
          </cell>
          <cell r="J61">
            <v>121.6</v>
          </cell>
          <cell r="K61">
            <v>208.67000000000002</v>
          </cell>
          <cell r="L61">
            <v>3.25</v>
          </cell>
          <cell r="M61">
            <v>48</v>
          </cell>
          <cell r="N61">
            <v>32</v>
          </cell>
          <cell r="O61">
            <v>1255.1200000000001</v>
          </cell>
        </row>
        <row r="62">
          <cell r="A62" t="str">
            <v>WI-RES</v>
          </cell>
          <cell r="B62" t="str">
            <v>WALK IN/CARRYOUT 5-25FT</v>
          </cell>
          <cell r="C62">
            <v>20.700000000000003</v>
          </cell>
          <cell r="D62">
            <v>20.700000000000003</v>
          </cell>
          <cell r="E62">
            <v>20.700000000000003</v>
          </cell>
          <cell r="F62">
            <v>25.299999999999997</v>
          </cell>
          <cell r="G62">
            <v>25.299999999999997</v>
          </cell>
          <cell r="H62">
            <v>25.299999999999997</v>
          </cell>
          <cell r="I62">
            <v>23</v>
          </cell>
          <cell r="J62">
            <v>23</v>
          </cell>
          <cell r="K62">
            <v>23</v>
          </cell>
          <cell r="L62">
            <v>23</v>
          </cell>
          <cell r="M62">
            <v>22.43</v>
          </cell>
          <cell r="N62">
            <v>20.700000000000003</v>
          </cell>
          <cell r="O62">
            <v>273.13</v>
          </cell>
        </row>
        <row r="63">
          <cell r="A63" t="str">
            <v>ROLL OFF</v>
          </cell>
          <cell r="C63">
            <v>447.40000000000003</v>
          </cell>
          <cell r="D63">
            <v>1567.0400000000002</v>
          </cell>
          <cell r="E63">
            <v>251.90000000000003</v>
          </cell>
          <cell r="F63">
            <v>2580.1</v>
          </cell>
          <cell r="G63">
            <v>1296.6199999999999</v>
          </cell>
          <cell r="H63">
            <v>2473.6999999999998</v>
          </cell>
          <cell r="I63">
            <v>1089.46</v>
          </cell>
          <cell r="J63">
            <v>3139.1</v>
          </cell>
          <cell r="K63">
            <v>4726.6899999999996</v>
          </cell>
          <cell r="L63">
            <v>2737.11</v>
          </cell>
          <cell r="M63">
            <v>669.3</v>
          </cell>
          <cell r="N63">
            <v>1035.7</v>
          </cell>
          <cell r="O63">
            <v>22014.120000000003</v>
          </cell>
        </row>
        <row r="64">
          <cell r="A64" t="str">
            <v>20YQFINAL</v>
          </cell>
          <cell r="B64" t="str">
            <v>20YD DROP BOX FINAL</v>
          </cell>
          <cell r="C64">
            <v>95.4</v>
          </cell>
          <cell r="D64">
            <v>95.4</v>
          </cell>
          <cell r="E64">
            <v>0</v>
          </cell>
          <cell r="F64">
            <v>0</v>
          </cell>
          <cell r="G64">
            <v>0</v>
          </cell>
          <cell r="H64">
            <v>0</v>
          </cell>
          <cell r="I64">
            <v>0</v>
          </cell>
          <cell r="J64">
            <v>95.4</v>
          </cell>
          <cell r="K64">
            <v>286.20000000000005</v>
          </cell>
          <cell r="L64">
            <v>0</v>
          </cell>
          <cell r="M64">
            <v>0</v>
          </cell>
          <cell r="N64">
            <v>95.4</v>
          </cell>
          <cell r="O64">
            <v>667.80000000000007</v>
          </cell>
        </row>
        <row r="65">
          <cell r="A65" t="str">
            <v>20YQHAUL</v>
          </cell>
          <cell r="B65" t="str">
            <v>20YD DROP BOX HAUL</v>
          </cell>
          <cell r="C65">
            <v>0</v>
          </cell>
          <cell r="D65">
            <v>0</v>
          </cell>
          <cell r="E65">
            <v>95.4</v>
          </cell>
          <cell r="F65">
            <v>858.59999999999991</v>
          </cell>
          <cell r="G65">
            <v>45.22</v>
          </cell>
          <cell r="H65">
            <v>286.2</v>
          </cell>
          <cell r="I65">
            <v>0</v>
          </cell>
          <cell r="J65">
            <v>477</v>
          </cell>
          <cell r="K65">
            <v>572.4</v>
          </cell>
          <cell r="L65">
            <v>95.4</v>
          </cell>
          <cell r="M65">
            <v>0</v>
          </cell>
          <cell r="N65">
            <v>95.4</v>
          </cell>
          <cell r="O65">
            <v>2525.62</v>
          </cell>
        </row>
        <row r="66">
          <cell r="A66" t="str">
            <v>30YQHAUL</v>
          </cell>
          <cell r="B66" t="str">
            <v>30YD DROP BOX HAUL</v>
          </cell>
          <cell r="C66">
            <v>0</v>
          </cell>
          <cell r="D66">
            <v>275.60000000000002</v>
          </cell>
          <cell r="E66">
            <v>0</v>
          </cell>
          <cell r="F66">
            <v>0</v>
          </cell>
          <cell r="G66">
            <v>275.60000000000002</v>
          </cell>
          <cell r="H66">
            <v>551.20000000000005</v>
          </cell>
          <cell r="I66">
            <v>551.20000000000005</v>
          </cell>
          <cell r="J66">
            <v>551.20000000000005</v>
          </cell>
          <cell r="K66">
            <v>689</v>
          </cell>
          <cell r="L66">
            <v>826.8</v>
          </cell>
          <cell r="M66">
            <v>0</v>
          </cell>
          <cell r="N66">
            <v>0</v>
          </cell>
          <cell r="O66">
            <v>3720.6000000000004</v>
          </cell>
        </row>
        <row r="67">
          <cell r="A67" t="str">
            <v>DEL - RO</v>
          </cell>
          <cell r="B67" t="str">
            <v>DELIVERY FEE - RO</v>
          </cell>
          <cell r="C67">
            <v>0</v>
          </cell>
          <cell r="D67">
            <v>0</v>
          </cell>
          <cell r="E67">
            <v>42.5</v>
          </cell>
          <cell r="F67">
            <v>42.5</v>
          </cell>
          <cell r="G67">
            <v>42.5</v>
          </cell>
          <cell r="H67">
            <v>0</v>
          </cell>
          <cell r="I67">
            <v>0</v>
          </cell>
          <cell r="J67">
            <v>85.2</v>
          </cell>
          <cell r="K67">
            <v>0</v>
          </cell>
          <cell r="L67">
            <v>0</v>
          </cell>
          <cell r="M67">
            <v>0</v>
          </cell>
          <cell r="N67">
            <v>0</v>
          </cell>
          <cell r="O67">
            <v>212.7</v>
          </cell>
        </row>
        <row r="68">
          <cell r="A68" t="str">
            <v>DISP-RO</v>
          </cell>
          <cell r="B68" t="str">
            <v>DISPOSAL CHARGE - RO</v>
          </cell>
          <cell r="C68">
            <v>62.2</v>
          </cell>
          <cell r="D68">
            <v>864.34</v>
          </cell>
          <cell r="E68">
            <v>62.2</v>
          </cell>
          <cell r="F68">
            <v>1351</v>
          </cell>
          <cell r="G68">
            <v>633.20000000000005</v>
          </cell>
          <cell r="H68">
            <v>757.6</v>
          </cell>
          <cell r="I68">
            <v>344.56</v>
          </cell>
          <cell r="J68">
            <v>746.4</v>
          </cell>
          <cell r="K68">
            <v>1408.39</v>
          </cell>
          <cell r="L68">
            <v>772.41</v>
          </cell>
          <cell r="M68">
            <v>0</v>
          </cell>
          <cell r="N68">
            <v>124.4</v>
          </cell>
          <cell r="O68">
            <v>7126.7</v>
          </cell>
        </row>
        <row r="69">
          <cell r="A69" t="str">
            <v>QDEL</v>
          </cell>
          <cell r="B69" t="str">
            <v>DROP BOX DELIVERY</v>
          </cell>
          <cell r="C69">
            <v>0</v>
          </cell>
          <cell r="D69">
            <v>42.5</v>
          </cell>
          <cell r="E69">
            <v>0</v>
          </cell>
          <cell r="F69">
            <v>0</v>
          </cell>
          <cell r="G69">
            <v>0</v>
          </cell>
          <cell r="H69">
            <v>85</v>
          </cell>
          <cell r="I69">
            <v>42.5</v>
          </cell>
          <cell r="J69">
            <v>42.5</v>
          </cell>
          <cell r="K69">
            <v>127.5</v>
          </cell>
          <cell r="L69">
            <v>42.5</v>
          </cell>
          <cell r="M69">
            <v>0</v>
          </cell>
          <cell r="N69">
            <v>42.5</v>
          </cell>
          <cell r="O69">
            <v>425</v>
          </cell>
        </row>
        <row r="70">
          <cell r="A70" t="str">
            <v>QMILE</v>
          </cell>
          <cell r="B70" t="str">
            <v>MILEAGE CHARGE</v>
          </cell>
          <cell r="C70">
            <v>0</v>
          </cell>
          <cell r="D70">
            <v>144.30000000000001</v>
          </cell>
          <cell r="E70">
            <v>51.8</v>
          </cell>
          <cell r="F70">
            <v>222</v>
          </cell>
          <cell r="G70">
            <v>166.5</v>
          </cell>
          <cell r="H70">
            <v>207.2</v>
          </cell>
          <cell r="I70">
            <v>144.30000000000001</v>
          </cell>
          <cell r="J70">
            <v>340.4</v>
          </cell>
          <cell r="K70">
            <v>488.4</v>
          </cell>
          <cell r="L70">
            <v>247.9</v>
          </cell>
          <cell r="M70">
            <v>0</v>
          </cell>
          <cell r="N70">
            <v>77.7</v>
          </cell>
          <cell r="O70">
            <v>2090.5</v>
          </cell>
        </row>
        <row r="71">
          <cell r="A71" t="str">
            <v>QRENT</v>
          </cell>
          <cell r="B71" t="str">
            <v>MONTHLY DROP BOX RENTAL</v>
          </cell>
          <cell r="C71">
            <v>0</v>
          </cell>
          <cell r="D71">
            <v>124.2</v>
          </cell>
          <cell r="E71">
            <v>0</v>
          </cell>
          <cell r="F71">
            <v>106</v>
          </cell>
          <cell r="G71">
            <v>106</v>
          </cell>
          <cell r="H71">
            <v>0</v>
          </cell>
          <cell r="I71">
            <v>0</v>
          </cell>
          <cell r="J71">
            <v>0</v>
          </cell>
          <cell r="K71">
            <v>0</v>
          </cell>
          <cell r="L71">
            <v>0</v>
          </cell>
          <cell r="M71">
            <v>0</v>
          </cell>
          <cell r="N71">
            <v>0</v>
          </cell>
          <cell r="O71">
            <v>336.2</v>
          </cell>
        </row>
        <row r="72">
          <cell r="A72" t="str">
            <v>RENT20DAY-RO</v>
          </cell>
          <cell r="B72" t="str">
            <v>RENTAL 20 YD TEMP</v>
          </cell>
          <cell r="C72">
            <v>289.8</v>
          </cell>
          <cell r="D72">
            <v>20.699999999999989</v>
          </cell>
          <cell r="E72">
            <v>0</v>
          </cell>
          <cell r="F72">
            <v>0</v>
          </cell>
          <cell r="G72">
            <v>27.6</v>
          </cell>
          <cell r="H72">
            <v>586.5</v>
          </cell>
          <cell r="I72">
            <v>6.9</v>
          </cell>
          <cell r="J72">
            <v>483</v>
          </cell>
          <cell r="K72">
            <v>1028.0999999999999</v>
          </cell>
          <cell r="L72">
            <v>607.20000000000005</v>
          </cell>
          <cell r="M72">
            <v>669.3</v>
          </cell>
          <cell r="N72">
            <v>600.29999999999995</v>
          </cell>
          <cell r="O72">
            <v>4319.4000000000005</v>
          </cell>
        </row>
        <row r="73">
          <cell r="A73" t="str">
            <v>RENT20TEMP-RO</v>
          </cell>
          <cell r="B73" t="str">
            <v>RENTAL 20 YD TEMP</v>
          </cell>
          <cell r="C73">
            <v>0</v>
          </cell>
          <cell r="D73">
            <v>0</v>
          </cell>
          <cell r="E73">
            <v>0</v>
          </cell>
          <cell r="F73">
            <v>0</v>
          </cell>
          <cell r="G73">
            <v>0</v>
          </cell>
          <cell r="H73">
            <v>0</v>
          </cell>
          <cell r="I73">
            <v>0</v>
          </cell>
          <cell r="J73">
            <v>318</v>
          </cell>
          <cell r="K73">
            <v>126.7</v>
          </cell>
          <cell r="L73">
            <v>144.9</v>
          </cell>
          <cell r="M73">
            <v>0</v>
          </cell>
          <cell r="N73">
            <v>0</v>
          </cell>
          <cell r="O73">
            <v>589.6</v>
          </cell>
        </row>
        <row r="74">
          <cell r="A74" t="str">
            <v>SURC</v>
          </cell>
          <cell r="C74">
            <v>0</v>
          </cell>
          <cell r="D74">
            <v>0</v>
          </cell>
          <cell r="E74">
            <v>0</v>
          </cell>
          <cell r="F74">
            <v>42.21</v>
          </cell>
          <cell r="G74">
            <v>51.719999999999992</v>
          </cell>
          <cell r="H74">
            <v>6.0699999999999994</v>
          </cell>
          <cell r="I74">
            <v>108.00999999999999</v>
          </cell>
          <cell r="J74">
            <v>169.18</v>
          </cell>
          <cell r="K74">
            <v>161.56</v>
          </cell>
          <cell r="L74">
            <v>15.89</v>
          </cell>
          <cell r="M74">
            <v>0</v>
          </cell>
          <cell r="N74">
            <v>0</v>
          </cell>
          <cell r="O74">
            <v>554.64</v>
          </cell>
        </row>
        <row r="75">
          <cell r="A75" t="str">
            <v>BINGEN FUEL</v>
          </cell>
          <cell r="B75" t="str">
            <v>FUEL &amp; MATERIAL SURCHARGE</v>
          </cell>
          <cell r="C75">
            <v>0</v>
          </cell>
          <cell r="D75">
            <v>0</v>
          </cell>
          <cell r="E75">
            <v>0</v>
          </cell>
          <cell r="F75">
            <v>42.21</v>
          </cell>
          <cell r="G75">
            <v>51.719999999999992</v>
          </cell>
          <cell r="H75">
            <v>6.0699999999999994</v>
          </cell>
          <cell r="I75">
            <v>101.21</v>
          </cell>
          <cell r="J75">
            <v>165.83</v>
          </cell>
          <cell r="K75">
            <v>154.54</v>
          </cell>
          <cell r="L75">
            <v>15.89</v>
          </cell>
          <cell r="M75">
            <v>0</v>
          </cell>
          <cell r="N75">
            <v>0</v>
          </cell>
          <cell r="O75">
            <v>537.46999999999991</v>
          </cell>
        </row>
        <row r="76">
          <cell r="A76" t="str">
            <v>SKAMANIA COUNTY FUEL</v>
          </cell>
          <cell r="B76" t="str">
            <v>FUEL &amp; MATERIAL SURCHARGE</v>
          </cell>
          <cell r="C76">
            <v>0</v>
          </cell>
          <cell r="D76">
            <v>0</v>
          </cell>
          <cell r="E76">
            <v>0</v>
          </cell>
          <cell r="F76">
            <v>0</v>
          </cell>
          <cell r="G76">
            <v>0</v>
          </cell>
          <cell r="H76">
            <v>0</v>
          </cell>
          <cell r="I76">
            <v>6.8000000000000007</v>
          </cell>
          <cell r="J76">
            <v>3.35</v>
          </cell>
          <cell r="K76">
            <v>7.02</v>
          </cell>
          <cell r="L76">
            <v>0</v>
          </cell>
          <cell r="M76">
            <v>0</v>
          </cell>
          <cell r="N76">
            <v>0</v>
          </cell>
          <cell r="O76">
            <v>17.170000000000002</v>
          </cell>
        </row>
        <row r="77">
          <cell r="A77" t="str">
            <v>Grand Total</v>
          </cell>
          <cell r="C77">
            <v>6881.07</v>
          </cell>
          <cell r="D77">
            <v>7711.9000000000005</v>
          </cell>
          <cell r="E77">
            <v>6192.88</v>
          </cell>
          <cell r="F77">
            <v>9520.17</v>
          </cell>
          <cell r="G77">
            <v>8286.85</v>
          </cell>
          <cell r="H77">
            <v>7622.04</v>
          </cell>
          <cell r="I77">
            <v>8783.5699999999961</v>
          </cell>
          <cell r="J77">
            <v>10532.470000000001</v>
          </cell>
          <cell r="K77">
            <v>12158.990000000002</v>
          </cell>
          <cell r="L77">
            <v>9735.5399999999991</v>
          </cell>
          <cell r="M77">
            <v>7576.46</v>
          </cell>
          <cell r="N77">
            <v>8559.2399999999961</v>
          </cell>
          <cell r="O77">
            <v>103561.18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ErrorNote"/>
      <sheetName val="JE Query"/>
      <sheetName val="JE Lookup"/>
      <sheetName val="ControlPanel"/>
    </sheetNames>
    <sheetDataSet>
      <sheetData sheetId="0"/>
      <sheetData sheetId="1"/>
      <sheetData sheetId="2">
        <row r="1">
          <cell r="B1" t="str">
            <v>OK!: ReportRange Formula OK [jAction{}]</v>
          </cell>
        </row>
      </sheetData>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E169"/>
  <sheetViews>
    <sheetView showGridLines="0" zoomScale="75" workbookViewId="0">
      <selection activeCell="AH55" sqref="AH55"/>
    </sheetView>
  </sheetViews>
  <sheetFormatPr defaultColWidth="13.85546875" defaultRowHeight="12.75" outlineLevelRow="1"/>
  <cols>
    <col min="1" max="1" width="6.85546875" style="1" customWidth="1"/>
    <col min="2" max="3" width="2.28515625" style="1" customWidth="1"/>
    <col min="4" max="4" width="27" style="1" customWidth="1"/>
    <col min="5" max="5" width="3.85546875" style="1" customWidth="1"/>
    <col min="6" max="6" width="2" style="1" customWidth="1"/>
    <col min="7" max="7" width="11.7109375" style="1" bestFit="1" customWidth="1"/>
    <col min="8" max="8" width="1.85546875" style="1" customWidth="1"/>
    <col min="9" max="9" width="11.7109375" style="1" bestFit="1" customWidth="1"/>
    <col min="10" max="10" width="1.85546875" style="1" customWidth="1"/>
    <col min="11" max="11" width="11.7109375" style="1" bestFit="1" customWidth="1"/>
    <col min="12" max="12" width="1.85546875" style="1" customWidth="1"/>
    <col min="13" max="13" width="11.7109375" style="1" bestFit="1" customWidth="1"/>
    <col min="14" max="14" width="1.85546875" style="1" customWidth="1"/>
    <col min="15" max="15" width="11.7109375" style="1" bestFit="1" customWidth="1"/>
    <col min="16" max="16" width="1.85546875" style="1" customWidth="1"/>
    <col min="17" max="17" width="11.7109375" style="1" bestFit="1" customWidth="1"/>
    <col min="18" max="18" width="1.85546875" style="1" customWidth="1"/>
    <col min="19" max="19" width="11.7109375" style="1" bestFit="1" customWidth="1"/>
    <col min="20" max="20" width="1.85546875" style="1" customWidth="1"/>
    <col min="21" max="21" width="11.7109375" style="1" bestFit="1" customWidth="1"/>
    <col min="22" max="22" width="1.85546875" style="1" customWidth="1"/>
    <col min="23" max="23" width="11.7109375" style="1" bestFit="1" customWidth="1"/>
    <col min="24" max="24" width="1.85546875" style="1" customWidth="1"/>
    <col min="25" max="25" width="11.7109375" style="1" bestFit="1" customWidth="1"/>
    <col min="26" max="26" width="1.85546875" style="1" customWidth="1"/>
    <col min="27" max="27" width="11.7109375" style="1" bestFit="1" customWidth="1"/>
    <col min="28" max="28" width="1.85546875" style="1" customWidth="1"/>
    <col min="29" max="29" width="11.7109375" style="1" bestFit="1" customWidth="1"/>
    <col min="30" max="30" width="1.85546875" style="1" customWidth="1"/>
    <col min="31" max="31" width="3.140625" style="1" customWidth="1"/>
    <col min="32" max="32" width="2.85546875" style="1" customWidth="1"/>
    <col min="33" max="265" width="13.85546875" style="1"/>
    <col min="266" max="266" width="7" style="1" customWidth="1"/>
    <col min="267" max="267" width="16.5703125" style="1" customWidth="1"/>
    <col min="268" max="268" width="4.28515625" style="1" customWidth="1"/>
    <col min="269" max="269" width="6.85546875" style="1" customWidth="1"/>
    <col min="270" max="271" width="2.28515625" style="1" customWidth="1"/>
    <col min="272" max="272" width="10.85546875" style="1" customWidth="1"/>
    <col min="273" max="273" width="3.85546875" style="1" customWidth="1"/>
    <col min="274" max="274" width="2" style="1" customWidth="1"/>
    <col min="275" max="275" width="15.5703125" style="1" customWidth="1"/>
    <col min="276" max="276" width="1.85546875" style="1" customWidth="1"/>
    <col min="277" max="277" width="15.5703125" style="1" customWidth="1"/>
    <col min="278" max="278" width="1.85546875" style="1" customWidth="1"/>
    <col min="279" max="279" width="15.5703125" style="1" customWidth="1"/>
    <col min="280" max="280" width="1.85546875" style="1" customWidth="1"/>
    <col min="281" max="281" width="15.5703125" style="1" customWidth="1"/>
    <col min="282" max="282" width="3.140625" style="1" customWidth="1"/>
    <col min="283" max="283" width="15.5703125" style="1" customWidth="1"/>
    <col min="284" max="284" width="14.28515625" style="1" customWidth="1"/>
    <col min="285" max="285" width="15.5703125" style="1" customWidth="1"/>
    <col min="286" max="286" width="1.85546875" style="1" customWidth="1"/>
    <col min="287" max="287" width="15.5703125" style="1" customWidth="1"/>
    <col min="288" max="288" width="2.85546875" style="1" customWidth="1"/>
    <col min="289" max="521" width="13.85546875" style="1"/>
    <col min="522" max="522" width="7" style="1" customWidth="1"/>
    <col min="523" max="523" width="16.5703125" style="1" customWidth="1"/>
    <col min="524" max="524" width="4.28515625" style="1" customWidth="1"/>
    <col min="525" max="525" width="6.85546875" style="1" customWidth="1"/>
    <col min="526" max="527" width="2.28515625" style="1" customWidth="1"/>
    <col min="528" max="528" width="10.85546875" style="1" customWidth="1"/>
    <col min="529" max="529" width="3.85546875" style="1" customWidth="1"/>
    <col min="530" max="530" width="2" style="1" customWidth="1"/>
    <col min="531" max="531" width="15.5703125" style="1" customWidth="1"/>
    <col min="532" max="532" width="1.85546875" style="1" customWidth="1"/>
    <col min="533" max="533" width="15.5703125" style="1" customWidth="1"/>
    <col min="534" max="534" width="1.85546875" style="1" customWidth="1"/>
    <col min="535" max="535" width="15.5703125" style="1" customWidth="1"/>
    <col min="536" max="536" width="1.85546875" style="1" customWidth="1"/>
    <col min="537" max="537" width="15.5703125" style="1" customWidth="1"/>
    <col min="538" max="538" width="3.140625" style="1" customWidth="1"/>
    <col min="539" max="539" width="15.5703125" style="1" customWidth="1"/>
    <col min="540" max="540" width="14.28515625" style="1" customWidth="1"/>
    <col min="541" max="541" width="15.5703125" style="1" customWidth="1"/>
    <col min="542" max="542" width="1.85546875" style="1" customWidth="1"/>
    <col min="543" max="543" width="15.5703125" style="1" customWidth="1"/>
    <col min="544" max="544" width="2.85546875" style="1" customWidth="1"/>
    <col min="545" max="777" width="13.85546875" style="1"/>
    <col min="778" max="778" width="7" style="1" customWidth="1"/>
    <col min="779" max="779" width="16.5703125" style="1" customWidth="1"/>
    <col min="780" max="780" width="4.28515625" style="1" customWidth="1"/>
    <col min="781" max="781" width="6.85546875" style="1" customWidth="1"/>
    <col min="782" max="783" width="2.28515625" style="1" customWidth="1"/>
    <col min="784" max="784" width="10.85546875" style="1" customWidth="1"/>
    <col min="785" max="785" width="3.85546875" style="1" customWidth="1"/>
    <col min="786" max="786" width="2" style="1" customWidth="1"/>
    <col min="787" max="787" width="15.5703125" style="1" customWidth="1"/>
    <col min="788" max="788" width="1.85546875" style="1" customWidth="1"/>
    <col min="789" max="789" width="15.5703125" style="1" customWidth="1"/>
    <col min="790" max="790" width="1.85546875" style="1" customWidth="1"/>
    <col min="791" max="791" width="15.5703125" style="1" customWidth="1"/>
    <col min="792" max="792" width="1.85546875" style="1" customWidth="1"/>
    <col min="793" max="793" width="15.5703125" style="1" customWidth="1"/>
    <col min="794" max="794" width="3.140625" style="1" customWidth="1"/>
    <col min="795" max="795" width="15.5703125" style="1" customWidth="1"/>
    <col min="796" max="796" width="14.28515625" style="1" customWidth="1"/>
    <col min="797" max="797" width="15.5703125" style="1" customWidth="1"/>
    <col min="798" max="798" width="1.85546875" style="1" customWidth="1"/>
    <col min="799" max="799" width="15.5703125" style="1" customWidth="1"/>
    <col min="800" max="800" width="2.85546875" style="1" customWidth="1"/>
    <col min="801" max="1033" width="13.85546875" style="1"/>
    <col min="1034" max="1034" width="7" style="1" customWidth="1"/>
    <col min="1035" max="1035" width="16.5703125" style="1" customWidth="1"/>
    <col min="1036" max="1036" width="4.28515625" style="1" customWidth="1"/>
    <col min="1037" max="1037" width="6.85546875" style="1" customWidth="1"/>
    <col min="1038" max="1039" width="2.28515625" style="1" customWidth="1"/>
    <col min="1040" max="1040" width="10.85546875" style="1" customWidth="1"/>
    <col min="1041" max="1041" width="3.85546875" style="1" customWidth="1"/>
    <col min="1042" max="1042" width="2" style="1" customWidth="1"/>
    <col min="1043" max="1043" width="15.5703125" style="1" customWidth="1"/>
    <col min="1044" max="1044" width="1.85546875" style="1" customWidth="1"/>
    <col min="1045" max="1045" width="15.5703125" style="1" customWidth="1"/>
    <col min="1046" max="1046" width="1.85546875" style="1" customWidth="1"/>
    <col min="1047" max="1047" width="15.5703125" style="1" customWidth="1"/>
    <col min="1048" max="1048" width="1.85546875" style="1" customWidth="1"/>
    <col min="1049" max="1049" width="15.5703125" style="1" customWidth="1"/>
    <col min="1050" max="1050" width="3.140625" style="1" customWidth="1"/>
    <col min="1051" max="1051" width="15.5703125" style="1" customWidth="1"/>
    <col min="1052" max="1052" width="14.28515625" style="1" customWidth="1"/>
    <col min="1053" max="1053" width="15.5703125" style="1" customWidth="1"/>
    <col min="1054" max="1054" width="1.85546875" style="1" customWidth="1"/>
    <col min="1055" max="1055" width="15.5703125" style="1" customWidth="1"/>
    <col min="1056" max="1056" width="2.85546875" style="1" customWidth="1"/>
    <col min="1057" max="1289" width="13.85546875" style="1"/>
    <col min="1290" max="1290" width="7" style="1" customWidth="1"/>
    <col min="1291" max="1291" width="16.5703125" style="1" customWidth="1"/>
    <col min="1292" max="1292" width="4.28515625" style="1" customWidth="1"/>
    <col min="1293" max="1293" width="6.85546875" style="1" customWidth="1"/>
    <col min="1294" max="1295" width="2.28515625" style="1" customWidth="1"/>
    <col min="1296" max="1296" width="10.85546875" style="1" customWidth="1"/>
    <col min="1297" max="1297" width="3.85546875" style="1" customWidth="1"/>
    <col min="1298" max="1298" width="2" style="1" customWidth="1"/>
    <col min="1299" max="1299" width="15.5703125" style="1" customWidth="1"/>
    <col min="1300" max="1300" width="1.85546875" style="1" customWidth="1"/>
    <col min="1301" max="1301" width="15.5703125" style="1" customWidth="1"/>
    <col min="1302" max="1302" width="1.85546875" style="1" customWidth="1"/>
    <col min="1303" max="1303" width="15.5703125" style="1" customWidth="1"/>
    <col min="1304" max="1304" width="1.85546875" style="1" customWidth="1"/>
    <col min="1305" max="1305" width="15.5703125" style="1" customWidth="1"/>
    <col min="1306" max="1306" width="3.140625" style="1" customWidth="1"/>
    <col min="1307" max="1307" width="15.5703125" style="1" customWidth="1"/>
    <col min="1308" max="1308" width="14.28515625" style="1" customWidth="1"/>
    <col min="1309" max="1309" width="15.5703125" style="1" customWidth="1"/>
    <col min="1310" max="1310" width="1.85546875" style="1" customWidth="1"/>
    <col min="1311" max="1311" width="15.5703125" style="1" customWidth="1"/>
    <col min="1312" max="1312" width="2.85546875" style="1" customWidth="1"/>
    <col min="1313" max="1545" width="13.85546875" style="1"/>
    <col min="1546" max="1546" width="7" style="1" customWidth="1"/>
    <col min="1547" max="1547" width="16.5703125" style="1" customWidth="1"/>
    <col min="1548" max="1548" width="4.28515625" style="1" customWidth="1"/>
    <col min="1549" max="1549" width="6.85546875" style="1" customWidth="1"/>
    <col min="1550" max="1551" width="2.28515625" style="1" customWidth="1"/>
    <col min="1552" max="1552" width="10.85546875" style="1" customWidth="1"/>
    <col min="1553" max="1553" width="3.85546875" style="1" customWidth="1"/>
    <col min="1554" max="1554" width="2" style="1" customWidth="1"/>
    <col min="1555" max="1555" width="15.5703125" style="1" customWidth="1"/>
    <col min="1556" max="1556" width="1.85546875" style="1" customWidth="1"/>
    <col min="1557" max="1557" width="15.5703125" style="1" customWidth="1"/>
    <col min="1558" max="1558" width="1.85546875" style="1" customWidth="1"/>
    <col min="1559" max="1559" width="15.5703125" style="1" customWidth="1"/>
    <col min="1560" max="1560" width="1.85546875" style="1" customWidth="1"/>
    <col min="1561" max="1561" width="15.5703125" style="1" customWidth="1"/>
    <col min="1562" max="1562" width="3.140625" style="1" customWidth="1"/>
    <col min="1563" max="1563" width="15.5703125" style="1" customWidth="1"/>
    <col min="1564" max="1564" width="14.28515625" style="1" customWidth="1"/>
    <col min="1565" max="1565" width="15.5703125" style="1" customWidth="1"/>
    <col min="1566" max="1566" width="1.85546875" style="1" customWidth="1"/>
    <col min="1567" max="1567" width="15.5703125" style="1" customWidth="1"/>
    <col min="1568" max="1568" width="2.85546875" style="1" customWidth="1"/>
    <col min="1569" max="1801" width="13.85546875" style="1"/>
    <col min="1802" max="1802" width="7" style="1" customWidth="1"/>
    <col min="1803" max="1803" width="16.5703125" style="1" customWidth="1"/>
    <col min="1804" max="1804" width="4.28515625" style="1" customWidth="1"/>
    <col min="1805" max="1805" width="6.85546875" style="1" customWidth="1"/>
    <col min="1806" max="1807" width="2.28515625" style="1" customWidth="1"/>
    <col min="1808" max="1808" width="10.85546875" style="1" customWidth="1"/>
    <col min="1809" max="1809" width="3.85546875" style="1" customWidth="1"/>
    <col min="1810" max="1810" width="2" style="1" customWidth="1"/>
    <col min="1811" max="1811" width="15.5703125" style="1" customWidth="1"/>
    <col min="1812" max="1812" width="1.85546875" style="1" customWidth="1"/>
    <col min="1813" max="1813" width="15.5703125" style="1" customWidth="1"/>
    <col min="1814" max="1814" width="1.85546875" style="1" customWidth="1"/>
    <col min="1815" max="1815" width="15.5703125" style="1" customWidth="1"/>
    <col min="1816" max="1816" width="1.85546875" style="1" customWidth="1"/>
    <col min="1817" max="1817" width="15.5703125" style="1" customWidth="1"/>
    <col min="1818" max="1818" width="3.140625" style="1" customWidth="1"/>
    <col min="1819" max="1819" width="15.5703125" style="1" customWidth="1"/>
    <col min="1820" max="1820" width="14.28515625" style="1" customWidth="1"/>
    <col min="1821" max="1821" width="15.5703125" style="1" customWidth="1"/>
    <col min="1822" max="1822" width="1.85546875" style="1" customWidth="1"/>
    <col min="1823" max="1823" width="15.5703125" style="1" customWidth="1"/>
    <col min="1824" max="1824" width="2.85546875" style="1" customWidth="1"/>
    <col min="1825" max="2057" width="13.85546875" style="1"/>
    <col min="2058" max="2058" width="7" style="1" customWidth="1"/>
    <col min="2059" max="2059" width="16.5703125" style="1" customWidth="1"/>
    <col min="2060" max="2060" width="4.28515625" style="1" customWidth="1"/>
    <col min="2061" max="2061" width="6.85546875" style="1" customWidth="1"/>
    <col min="2062" max="2063" width="2.28515625" style="1" customWidth="1"/>
    <col min="2064" max="2064" width="10.85546875" style="1" customWidth="1"/>
    <col min="2065" max="2065" width="3.85546875" style="1" customWidth="1"/>
    <col min="2066" max="2066" width="2" style="1" customWidth="1"/>
    <col min="2067" max="2067" width="15.5703125" style="1" customWidth="1"/>
    <col min="2068" max="2068" width="1.85546875" style="1" customWidth="1"/>
    <col min="2069" max="2069" width="15.5703125" style="1" customWidth="1"/>
    <col min="2070" max="2070" width="1.85546875" style="1" customWidth="1"/>
    <col min="2071" max="2071" width="15.5703125" style="1" customWidth="1"/>
    <col min="2072" max="2072" width="1.85546875" style="1" customWidth="1"/>
    <col min="2073" max="2073" width="15.5703125" style="1" customWidth="1"/>
    <col min="2074" max="2074" width="3.140625" style="1" customWidth="1"/>
    <col min="2075" max="2075" width="15.5703125" style="1" customWidth="1"/>
    <col min="2076" max="2076" width="14.28515625" style="1" customWidth="1"/>
    <col min="2077" max="2077" width="15.5703125" style="1" customWidth="1"/>
    <col min="2078" max="2078" width="1.85546875" style="1" customWidth="1"/>
    <col min="2079" max="2079" width="15.5703125" style="1" customWidth="1"/>
    <col min="2080" max="2080" width="2.85546875" style="1" customWidth="1"/>
    <col min="2081" max="2313" width="13.85546875" style="1"/>
    <col min="2314" max="2314" width="7" style="1" customWidth="1"/>
    <col min="2315" max="2315" width="16.5703125" style="1" customWidth="1"/>
    <col min="2316" max="2316" width="4.28515625" style="1" customWidth="1"/>
    <col min="2317" max="2317" width="6.85546875" style="1" customWidth="1"/>
    <col min="2318" max="2319" width="2.28515625" style="1" customWidth="1"/>
    <col min="2320" max="2320" width="10.85546875" style="1" customWidth="1"/>
    <col min="2321" max="2321" width="3.85546875" style="1" customWidth="1"/>
    <col min="2322" max="2322" width="2" style="1" customWidth="1"/>
    <col min="2323" max="2323" width="15.5703125" style="1" customWidth="1"/>
    <col min="2324" max="2324" width="1.85546875" style="1" customWidth="1"/>
    <col min="2325" max="2325" width="15.5703125" style="1" customWidth="1"/>
    <col min="2326" max="2326" width="1.85546875" style="1" customWidth="1"/>
    <col min="2327" max="2327" width="15.5703125" style="1" customWidth="1"/>
    <col min="2328" max="2328" width="1.85546875" style="1" customWidth="1"/>
    <col min="2329" max="2329" width="15.5703125" style="1" customWidth="1"/>
    <col min="2330" max="2330" width="3.140625" style="1" customWidth="1"/>
    <col min="2331" max="2331" width="15.5703125" style="1" customWidth="1"/>
    <col min="2332" max="2332" width="14.28515625" style="1" customWidth="1"/>
    <col min="2333" max="2333" width="15.5703125" style="1" customWidth="1"/>
    <col min="2334" max="2334" width="1.85546875" style="1" customWidth="1"/>
    <col min="2335" max="2335" width="15.5703125" style="1" customWidth="1"/>
    <col min="2336" max="2336" width="2.85546875" style="1" customWidth="1"/>
    <col min="2337" max="2569" width="13.85546875" style="1"/>
    <col min="2570" max="2570" width="7" style="1" customWidth="1"/>
    <col min="2571" max="2571" width="16.5703125" style="1" customWidth="1"/>
    <col min="2572" max="2572" width="4.28515625" style="1" customWidth="1"/>
    <col min="2573" max="2573" width="6.85546875" style="1" customWidth="1"/>
    <col min="2574" max="2575" width="2.28515625" style="1" customWidth="1"/>
    <col min="2576" max="2576" width="10.85546875" style="1" customWidth="1"/>
    <col min="2577" max="2577" width="3.85546875" style="1" customWidth="1"/>
    <col min="2578" max="2578" width="2" style="1" customWidth="1"/>
    <col min="2579" max="2579" width="15.5703125" style="1" customWidth="1"/>
    <col min="2580" max="2580" width="1.85546875" style="1" customWidth="1"/>
    <col min="2581" max="2581" width="15.5703125" style="1" customWidth="1"/>
    <col min="2582" max="2582" width="1.85546875" style="1" customWidth="1"/>
    <col min="2583" max="2583" width="15.5703125" style="1" customWidth="1"/>
    <col min="2584" max="2584" width="1.85546875" style="1" customWidth="1"/>
    <col min="2585" max="2585" width="15.5703125" style="1" customWidth="1"/>
    <col min="2586" max="2586" width="3.140625" style="1" customWidth="1"/>
    <col min="2587" max="2587" width="15.5703125" style="1" customWidth="1"/>
    <col min="2588" max="2588" width="14.28515625" style="1" customWidth="1"/>
    <col min="2589" max="2589" width="15.5703125" style="1" customWidth="1"/>
    <col min="2590" max="2590" width="1.85546875" style="1" customWidth="1"/>
    <col min="2591" max="2591" width="15.5703125" style="1" customWidth="1"/>
    <col min="2592" max="2592" width="2.85546875" style="1" customWidth="1"/>
    <col min="2593" max="2825" width="13.85546875" style="1"/>
    <col min="2826" max="2826" width="7" style="1" customWidth="1"/>
    <col min="2827" max="2827" width="16.5703125" style="1" customWidth="1"/>
    <col min="2828" max="2828" width="4.28515625" style="1" customWidth="1"/>
    <col min="2829" max="2829" width="6.85546875" style="1" customWidth="1"/>
    <col min="2830" max="2831" width="2.28515625" style="1" customWidth="1"/>
    <col min="2832" max="2832" width="10.85546875" style="1" customWidth="1"/>
    <col min="2833" max="2833" width="3.85546875" style="1" customWidth="1"/>
    <col min="2834" max="2834" width="2" style="1" customWidth="1"/>
    <col min="2835" max="2835" width="15.5703125" style="1" customWidth="1"/>
    <col min="2836" max="2836" width="1.85546875" style="1" customWidth="1"/>
    <col min="2837" max="2837" width="15.5703125" style="1" customWidth="1"/>
    <col min="2838" max="2838" width="1.85546875" style="1" customWidth="1"/>
    <col min="2839" max="2839" width="15.5703125" style="1" customWidth="1"/>
    <col min="2840" max="2840" width="1.85546875" style="1" customWidth="1"/>
    <col min="2841" max="2841" width="15.5703125" style="1" customWidth="1"/>
    <col min="2842" max="2842" width="3.140625" style="1" customWidth="1"/>
    <col min="2843" max="2843" width="15.5703125" style="1" customWidth="1"/>
    <col min="2844" max="2844" width="14.28515625" style="1" customWidth="1"/>
    <col min="2845" max="2845" width="15.5703125" style="1" customWidth="1"/>
    <col min="2846" max="2846" width="1.85546875" style="1" customWidth="1"/>
    <col min="2847" max="2847" width="15.5703125" style="1" customWidth="1"/>
    <col min="2848" max="2848" width="2.85546875" style="1" customWidth="1"/>
    <col min="2849" max="3081" width="13.85546875" style="1"/>
    <col min="3082" max="3082" width="7" style="1" customWidth="1"/>
    <col min="3083" max="3083" width="16.5703125" style="1" customWidth="1"/>
    <col min="3084" max="3084" width="4.28515625" style="1" customWidth="1"/>
    <col min="3085" max="3085" width="6.85546875" style="1" customWidth="1"/>
    <col min="3086" max="3087" width="2.28515625" style="1" customWidth="1"/>
    <col min="3088" max="3088" width="10.85546875" style="1" customWidth="1"/>
    <col min="3089" max="3089" width="3.85546875" style="1" customWidth="1"/>
    <col min="3090" max="3090" width="2" style="1" customWidth="1"/>
    <col min="3091" max="3091" width="15.5703125" style="1" customWidth="1"/>
    <col min="3092" max="3092" width="1.85546875" style="1" customWidth="1"/>
    <col min="3093" max="3093" width="15.5703125" style="1" customWidth="1"/>
    <col min="3094" max="3094" width="1.85546875" style="1" customWidth="1"/>
    <col min="3095" max="3095" width="15.5703125" style="1" customWidth="1"/>
    <col min="3096" max="3096" width="1.85546875" style="1" customWidth="1"/>
    <col min="3097" max="3097" width="15.5703125" style="1" customWidth="1"/>
    <col min="3098" max="3098" width="3.140625" style="1" customWidth="1"/>
    <col min="3099" max="3099" width="15.5703125" style="1" customWidth="1"/>
    <col min="3100" max="3100" width="14.28515625" style="1" customWidth="1"/>
    <col min="3101" max="3101" width="15.5703125" style="1" customWidth="1"/>
    <col min="3102" max="3102" width="1.85546875" style="1" customWidth="1"/>
    <col min="3103" max="3103" width="15.5703125" style="1" customWidth="1"/>
    <col min="3104" max="3104" width="2.85546875" style="1" customWidth="1"/>
    <col min="3105" max="3337" width="13.85546875" style="1"/>
    <col min="3338" max="3338" width="7" style="1" customWidth="1"/>
    <col min="3339" max="3339" width="16.5703125" style="1" customWidth="1"/>
    <col min="3340" max="3340" width="4.28515625" style="1" customWidth="1"/>
    <col min="3341" max="3341" width="6.85546875" style="1" customWidth="1"/>
    <col min="3342" max="3343" width="2.28515625" style="1" customWidth="1"/>
    <col min="3344" max="3344" width="10.85546875" style="1" customWidth="1"/>
    <col min="3345" max="3345" width="3.85546875" style="1" customWidth="1"/>
    <col min="3346" max="3346" width="2" style="1" customWidth="1"/>
    <col min="3347" max="3347" width="15.5703125" style="1" customWidth="1"/>
    <col min="3348" max="3348" width="1.85546875" style="1" customWidth="1"/>
    <col min="3349" max="3349" width="15.5703125" style="1" customWidth="1"/>
    <col min="3350" max="3350" width="1.85546875" style="1" customWidth="1"/>
    <col min="3351" max="3351" width="15.5703125" style="1" customWidth="1"/>
    <col min="3352" max="3352" width="1.85546875" style="1" customWidth="1"/>
    <col min="3353" max="3353" width="15.5703125" style="1" customWidth="1"/>
    <col min="3354" max="3354" width="3.140625" style="1" customWidth="1"/>
    <col min="3355" max="3355" width="15.5703125" style="1" customWidth="1"/>
    <col min="3356" max="3356" width="14.28515625" style="1" customWidth="1"/>
    <col min="3357" max="3357" width="15.5703125" style="1" customWidth="1"/>
    <col min="3358" max="3358" width="1.85546875" style="1" customWidth="1"/>
    <col min="3359" max="3359" width="15.5703125" style="1" customWidth="1"/>
    <col min="3360" max="3360" width="2.85546875" style="1" customWidth="1"/>
    <col min="3361" max="3593" width="13.85546875" style="1"/>
    <col min="3594" max="3594" width="7" style="1" customWidth="1"/>
    <col min="3595" max="3595" width="16.5703125" style="1" customWidth="1"/>
    <col min="3596" max="3596" width="4.28515625" style="1" customWidth="1"/>
    <col min="3597" max="3597" width="6.85546875" style="1" customWidth="1"/>
    <col min="3598" max="3599" width="2.28515625" style="1" customWidth="1"/>
    <col min="3600" max="3600" width="10.85546875" style="1" customWidth="1"/>
    <col min="3601" max="3601" width="3.85546875" style="1" customWidth="1"/>
    <col min="3602" max="3602" width="2" style="1" customWidth="1"/>
    <col min="3603" max="3603" width="15.5703125" style="1" customWidth="1"/>
    <col min="3604" max="3604" width="1.85546875" style="1" customWidth="1"/>
    <col min="3605" max="3605" width="15.5703125" style="1" customWidth="1"/>
    <col min="3606" max="3606" width="1.85546875" style="1" customWidth="1"/>
    <col min="3607" max="3607" width="15.5703125" style="1" customWidth="1"/>
    <col min="3608" max="3608" width="1.85546875" style="1" customWidth="1"/>
    <col min="3609" max="3609" width="15.5703125" style="1" customWidth="1"/>
    <col min="3610" max="3610" width="3.140625" style="1" customWidth="1"/>
    <col min="3611" max="3611" width="15.5703125" style="1" customWidth="1"/>
    <col min="3612" max="3612" width="14.28515625" style="1" customWidth="1"/>
    <col min="3613" max="3613" width="15.5703125" style="1" customWidth="1"/>
    <col min="3614" max="3614" width="1.85546875" style="1" customWidth="1"/>
    <col min="3615" max="3615" width="15.5703125" style="1" customWidth="1"/>
    <col min="3616" max="3616" width="2.85546875" style="1" customWidth="1"/>
    <col min="3617" max="3849" width="13.85546875" style="1"/>
    <col min="3850" max="3850" width="7" style="1" customWidth="1"/>
    <col min="3851" max="3851" width="16.5703125" style="1" customWidth="1"/>
    <col min="3852" max="3852" width="4.28515625" style="1" customWidth="1"/>
    <col min="3853" max="3853" width="6.85546875" style="1" customWidth="1"/>
    <col min="3854" max="3855" width="2.28515625" style="1" customWidth="1"/>
    <col min="3856" max="3856" width="10.85546875" style="1" customWidth="1"/>
    <col min="3857" max="3857" width="3.85546875" style="1" customWidth="1"/>
    <col min="3858" max="3858" width="2" style="1" customWidth="1"/>
    <col min="3859" max="3859" width="15.5703125" style="1" customWidth="1"/>
    <col min="3860" max="3860" width="1.85546875" style="1" customWidth="1"/>
    <col min="3861" max="3861" width="15.5703125" style="1" customWidth="1"/>
    <col min="3862" max="3862" width="1.85546875" style="1" customWidth="1"/>
    <col min="3863" max="3863" width="15.5703125" style="1" customWidth="1"/>
    <col min="3864" max="3864" width="1.85546875" style="1" customWidth="1"/>
    <col min="3865" max="3865" width="15.5703125" style="1" customWidth="1"/>
    <col min="3866" max="3866" width="3.140625" style="1" customWidth="1"/>
    <col min="3867" max="3867" width="15.5703125" style="1" customWidth="1"/>
    <col min="3868" max="3868" width="14.28515625" style="1" customWidth="1"/>
    <col min="3869" max="3869" width="15.5703125" style="1" customWidth="1"/>
    <col min="3870" max="3870" width="1.85546875" style="1" customWidth="1"/>
    <col min="3871" max="3871" width="15.5703125" style="1" customWidth="1"/>
    <col min="3872" max="3872" width="2.85546875" style="1" customWidth="1"/>
    <col min="3873" max="4105" width="13.85546875" style="1"/>
    <col min="4106" max="4106" width="7" style="1" customWidth="1"/>
    <col min="4107" max="4107" width="16.5703125" style="1" customWidth="1"/>
    <col min="4108" max="4108" width="4.28515625" style="1" customWidth="1"/>
    <col min="4109" max="4109" width="6.85546875" style="1" customWidth="1"/>
    <col min="4110" max="4111" width="2.28515625" style="1" customWidth="1"/>
    <col min="4112" max="4112" width="10.85546875" style="1" customWidth="1"/>
    <col min="4113" max="4113" width="3.85546875" style="1" customWidth="1"/>
    <col min="4114" max="4114" width="2" style="1" customWidth="1"/>
    <col min="4115" max="4115" width="15.5703125" style="1" customWidth="1"/>
    <col min="4116" max="4116" width="1.85546875" style="1" customWidth="1"/>
    <col min="4117" max="4117" width="15.5703125" style="1" customWidth="1"/>
    <col min="4118" max="4118" width="1.85546875" style="1" customWidth="1"/>
    <col min="4119" max="4119" width="15.5703125" style="1" customWidth="1"/>
    <col min="4120" max="4120" width="1.85546875" style="1" customWidth="1"/>
    <col min="4121" max="4121" width="15.5703125" style="1" customWidth="1"/>
    <col min="4122" max="4122" width="3.140625" style="1" customWidth="1"/>
    <col min="4123" max="4123" width="15.5703125" style="1" customWidth="1"/>
    <col min="4124" max="4124" width="14.28515625" style="1" customWidth="1"/>
    <col min="4125" max="4125" width="15.5703125" style="1" customWidth="1"/>
    <col min="4126" max="4126" width="1.85546875" style="1" customWidth="1"/>
    <col min="4127" max="4127" width="15.5703125" style="1" customWidth="1"/>
    <col min="4128" max="4128" width="2.85546875" style="1" customWidth="1"/>
    <col min="4129" max="4361" width="13.85546875" style="1"/>
    <col min="4362" max="4362" width="7" style="1" customWidth="1"/>
    <col min="4363" max="4363" width="16.5703125" style="1" customWidth="1"/>
    <col min="4364" max="4364" width="4.28515625" style="1" customWidth="1"/>
    <col min="4365" max="4365" width="6.85546875" style="1" customWidth="1"/>
    <col min="4366" max="4367" width="2.28515625" style="1" customWidth="1"/>
    <col min="4368" max="4368" width="10.85546875" style="1" customWidth="1"/>
    <col min="4369" max="4369" width="3.85546875" style="1" customWidth="1"/>
    <col min="4370" max="4370" width="2" style="1" customWidth="1"/>
    <col min="4371" max="4371" width="15.5703125" style="1" customWidth="1"/>
    <col min="4372" max="4372" width="1.85546875" style="1" customWidth="1"/>
    <col min="4373" max="4373" width="15.5703125" style="1" customWidth="1"/>
    <col min="4374" max="4374" width="1.85546875" style="1" customWidth="1"/>
    <col min="4375" max="4375" width="15.5703125" style="1" customWidth="1"/>
    <col min="4376" max="4376" width="1.85546875" style="1" customWidth="1"/>
    <col min="4377" max="4377" width="15.5703125" style="1" customWidth="1"/>
    <col min="4378" max="4378" width="3.140625" style="1" customWidth="1"/>
    <col min="4379" max="4379" width="15.5703125" style="1" customWidth="1"/>
    <col min="4380" max="4380" width="14.28515625" style="1" customWidth="1"/>
    <col min="4381" max="4381" width="15.5703125" style="1" customWidth="1"/>
    <col min="4382" max="4382" width="1.85546875" style="1" customWidth="1"/>
    <col min="4383" max="4383" width="15.5703125" style="1" customWidth="1"/>
    <col min="4384" max="4384" width="2.85546875" style="1" customWidth="1"/>
    <col min="4385" max="4617" width="13.85546875" style="1"/>
    <col min="4618" max="4618" width="7" style="1" customWidth="1"/>
    <col min="4619" max="4619" width="16.5703125" style="1" customWidth="1"/>
    <col min="4620" max="4620" width="4.28515625" style="1" customWidth="1"/>
    <col min="4621" max="4621" width="6.85546875" style="1" customWidth="1"/>
    <col min="4622" max="4623" width="2.28515625" style="1" customWidth="1"/>
    <col min="4624" max="4624" width="10.85546875" style="1" customWidth="1"/>
    <col min="4625" max="4625" width="3.85546875" style="1" customWidth="1"/>
    <col min="4626" max="4626" width="2" style="1" customWidth="1"/>
    <col min="4627" max="4627" width="15.5703125" style="1" customWidth="1"/>
    <col min="4628" max="4628" width="1.85546875" style="1" customWidth="1"/>
    <col min="4629" max="4629" width="15.5703125" style="1" customWidth="1"/>
    <col min="4630" max="4630" width="1.85546875" style="1" customWidth="1"/>
    <col min="4631" max="4631" width="15.5703125" style="1" customWidth="1"/>
    <col min="4632" max="4632" width="1.85546875" style="1" customWidth="1"/>
    <col min="4633" max="4633" width="15.5703125" style="1" customWidth="1"/>
    <col min="4634" max="4634" width="3.140625" style="1" customWidth="1"/>
    <col min="4635" max="4635" width="15.5703125" style="1" customWidth="1"/>
    <col min="4636" max="4636" width="14.28515625" style="1" customWidth="1"/>
    <col min="4637" max="4637" width="15.5703125" style="1" customWidth="1"/>
    <col min="4638" max="4638" width="1.85546875" style="1" customWidth="1"/>
    <col min="4639" max="4639" width="15.5703125" style="1" customWidth="1"/>
    <col min="4640" max="4640" width="2.85546875" style="1" customWidth="1"/>
    <col min="4641" max="4873" width="13.85546875" style="1"/>
    <col min="4874" max="4874" width="7" style="1" customWidth="1"/>
    <col min="4875" max="4875" width="16.5703125" style="1" customWidth="1"/>
    <col min="4876" max="4876" width="4.28515625" style="1" customWidth="1"/>
    <col min="4877" max="4877" width="6.85546875" style="1" customWidth="1"/>
    <col min="4878" max="4879" width="2.28515625" style="1" customWidth="1"/>
    <col min="4880" max="4880" width="10.85546875" style="1" customWidth="1"/>
    <col min="4881" max="4881" width="3.85546875" style="1" customWidth="1"/>
    <col min="4882" max="4882" width="2" style="1" customWidth="1"/>
    <col min="4883" max="4883" width="15.5703125" style="1" customWidth="1"/>
    <col min="4884" max="4884" width="1.85546875" style="1" customWidth="1"/>
    <col min="4885" max="4885" width="15.5703125" style="1" customWidth="1"/>
    <col min="4886" max="4886" width="1.85546875" style="1" customWidth="1"/>
    <col min="4887" max="4887" width="15.5703125" style="1" customWidth="1"/>
    <col min="4888" max="4888" width="1.85546875" style="1" customWidth="1"/>
    <col min="4889" max="4889" width="15.5703125" style="1" customWidth="1"/>
    <col min="4890" max="4890" width="3.140625" style="1" customWidth="1"/>
    <col min="4891" max="4891" width="15.5703125" style="1" customWidth="1"/>
    <col min="4892" max="4892" width="14.28515625" style="1" customWidth="1"/>
    <col min="4893" max="4893" width="15.5703125" style="1" customWidth="1"/>
    <col min="4894" max="4894" width="1.85546875" style="1" customWidth="1"/>
    <col min="4895" max="4895" width="15.5703125" style="1" customWidth="1"/>
    <col min="4896" max="4896" width="2.85546875" style="1" customWidth="1"/>
    <col min="4897" max="5129" width="13.85546875" style="1"/>
    <col min="5130" max="5130" width="7" style="1" customWidth="1"/>
    <col min="5131" max="5131" width="16.5703125" style="1" customWidth="1"/>
    <col min="5132" max="5132" width="4.28515625" style="1" customWidth="1"/>
    <col min="5133" max="5133" width="6.85546875" style="1" customWidth="1"/>
    <col min="5134" max="5135" width="2.28515625" style="1" customWidth="1"/>
    <col min="5136" max="5136" width="10.85546875" style="1" customWidth="1"/>
    <col min="5137" max="5137" width="3.85546875" style="1" customWidth="1"/>
    <col min="5138" max="5138" width="2" style="1" customWidth="1"/>
    <col min="5139" max="5139" width="15.5703125" style="1" customWidth="1"/>
    <col min="5140" max="5140" width="1.85546875" style="1" customWidth="1"/>
    <col min="5141" max="5141" width="15.5703125" style="1" customWidth="1"/>
    <col min="5142" max="5142" width="1.85546875" style="1" customWidth="1"/>
    <col min="5143" max="5143" width="15.5703125" style="1" customWidth="1"/>
    <col min="5144" max="5144" width="1.85546875" style="1" customWidth="1"/>
    <col min="5145" max="5145" width="15.5703125" style="1" customWidth="1"/>
    <col min="5146" max="5146" width="3.140625" style="1" customWidth="1"/>
    <col min="5147" max="5147" width="15.5703125" style="1" customWidth="1"/>
    <col min="5148" max="5148" width="14.28515625" style="1" customWidth="1"/>
    <col min="5149" max="5149" width="15.5703125" style="1" customWidth="1"/>
    <col min="5150" max="5150" width="1.85546875" style="1" customWidth="1"/>
    <col min="5151" max="5151" width="15.5703125" style="1" customWidth="1"/>
    <col min="5152" max="5152" width="2.85546875" style="1" customWidth="1"/>
    <col min="5153" max="5385" width="13.85546875" style="1"/>
    <col min="5386" max="5386" width="7" style="1" customWidth="1"/>
    <col min="5387" max="5387" width="16.5703125" style="1" customWidth="1"/>
    <col min="5388" max="5388" width="4.28515625" style="1" customWidth="1"/>
    <col min="5389" max="5389" width="6.85546875" style="1" customWidth="1"/>
    <col min="5390" max="5391" width="2.28515625" style="1" customWidth="1"/>
    <col min="5392" max="5392" width="10.85546875" style="1" customWidth="1"/>
    <col min="5393" max="5393" width="3.85546875" style="1" customWidth="1"/>
    <col min="5394" max="5394" width="2" style="1" customWidth="1"/>
    <col min="5395" max="5395" width="15.5703125" style="1" customWidth="1"/>
    <col min="5396" max="5396" width="1.85546875" style="1" customWidth="1"/>
    <col min="5397" max="5397" width="15.5703125" style="1" customWidth="1"/>
    <col min="5398" max="5398" width="1.85546875" style="1" customWidth="1"/>
    <col min="5399" max="5399" width="15.5703125" style="1" customWidth="1"/>
    <col min="5400" max="5400" width="1.85546875" style="1" customWidth="1"/>
    <col min="5401" max="5401" width="15.5703125" style="1" customWidth="1"/>
    <col min="5402" max="5402" width="3.140625" style="1" customWidth="1"/>
    <col min="5403" max="5403" width="15.5703125" style="1" customWidth="1"/>
    <col min="5404" max="5404" width="14.28515625" style="1" customWidth="1"/>
    <col min="5405" max="5405" width="15.5703125" style="1" customWidth="1"/>
    <col min="5406" max="5406" width="1.85546875" style="1" customWidth="1"/>
    <col min="5407" max="5407" width="15.5703125" style="1" customWidth="1"/>
    <col min="5408" max="5408" width="2.85546875" style="1" customWidth="1"/>
    <col min="5409" max="5641" width="13.85546875" style="1"/>
    <col min="5642" max="5642" width="7" style="1" customWidth="1"/>
    <col min="5643" max="5643" width="16.5703125" style="1" customWidth="1"/>
    <col min="5644" max="5644" width="4.28515625" style="1" customWidth="1"/>
    <col min="5645" max="5645" width="6.85546875" style="1" customWidth="1"/>
    <col min="5646" max="5647" width="2.28515625" style="1" customWidth="1"/>
    <col min="5648" max="5648" width="10.85546875" style="1" customWidth="1"/>
    <col min="5649" max="5649" width="3.85546875" style="1" customWidth="1"/>
    <col min="5650" max="5650" width="2" style="1" customWidth="1"/>
    <col min="5651" max="5651" width="15.5703125" style="1" customWidth="1"/>
    <col min="5652" max="5652" width="1.85546875" style="1" customWidth="1"/>
    <col min="5653" max="5653" width="15.5703125" style="1" customWidth="1"/>
    <col min="5654" max="5654" width="1.85546875" style="1" customWidth="1"/>
    <col min="5655" max="5655" width="15.5703125" style="1" customWidth="1"/>
    <col min="5656" max="5656" width="1.85546875" style="1" customWidth="1"/>
    <col min="5657" max="5657" width="15.5703125" style="1" customWidth="1"/>
    <col min="5658" max="5658" width="3.140625" style="1" customWidth="1"/>
    <col min="5659" max="5659" width="15.5703125" style="1" customWidth="1"/>
    <col min="5660" max="5660" width="14.28515625" style="1" customWidth="1"/>
    <col min="5661" max="5661" width="15.5703125" style="1" customWidth="1"/>
    <col min="5662" max="5662" width="1.85546875" style="1" customWidth="1"/>
    <col min="5663" max="5663" width="15.5703125" style="1" customWidth="1"/>
    <col min="5664" max="5664" width="2.85546875" style="1" customWidth="1"/>
    <col min="5665" max="5897" width="13.85546875" style="1"/>
    <col min="5898" max="5898" width="7" style="1" customWidth="1"/>
    <col min="5899" max="5899" width="16.5703125" style="1" customWidth="1"/>
    <col min="5900" max="5900" width="4.28515625" style="1" customWidth="1"/>
    <col min="5901" max="5901" width="6.85546875" style="1" customWidth="1"/>
    <col min="5902" max="5903" width="2.28515625" style="1" customWidth="1"/>
    <col min="5904" max="5904" width="10.85546875" style="1" customWidth="1"/>
    <col min="5905" max="5905" width="3.85546875" style="1" customWidth="1"/>
    <col min="5906" max="5906" width="2" style="1" customWidth="1"/>
    <col min="5907" max="5907" width="15.5703125" style="1" customWidth="1"/>
    <col min="5908" max="5908" width="1.85546875" style="1" customWidth="1"/>
    <col min="5909" max="5909" width="15.5703125" style="1" customWidth="1"/>
    <col min="5910" max="5910" width="1.85546875" style="1" customWidth="1"/>
    <col min="5911" max="5911" width="15.5703125" style="1" customWidth="1"/>
    <col min="5912" max="5912" width="1.85546875" style="1" customWidth="1"/>
    <col min="5913" max="5913" width="15.5703125" style="1" customWidth="1"/>
    <col min="5914" max="5914" width="3.140625" style="1" customWidth="1"/>
    <col min="5915" max="5915" width="15.5703125" style="1" customWidth="1"/>
    <col min="5916" max="5916" width="14.28515625" style="1" customWidth="1"/>
    <col min="5917" max="5917" width="15.5703125" style="1" customWidth="1"/>
    <col min="5918" max="5918" width="1.85546875" style="1" customWidth="1"/>
    <col min="5919" max="5919" width="15.5703125" style="1" customWidth="1"/>
    <col min="5920" max="5920" width="2.85546875" style="1" customWidth="1"/>
    <col min="5921" max="6153" width="13.85546875" style="1"/>
    <col min="6154" max="6154" width="7" style="1" customWidth="1"/>
    <col min="6155" max="6155" width="16.5703125" style="1" customWidth="1"/>
    <col min="6156" max="6156" width="4.28515625" style="1" customWidth="1"/>
    <col min="6157" max="6157" width="6.85546875" style="1" customWidth="1"/>
    <col min="6158" max="6159" width="2.28515625" style="1" customWidth="1"/>
    <col min="6160" max="6160" width="10.85546875" style="1" customWidth="1"/>
    <col min="6161" max="6161" width="3.85546875" style="1" customWidth="1"/>
    <col min="6162" max="6162" width="2" style="1" customWidth="1"/>
    <col min="6163" max="6163" width="15.5703125" style="1" customWidth="1"/>
    <col min="6164" max="6164" width="1.85546875" style="1" customWidth="1"/>
    <col min="6165" max="6165" width="15.5703125" style="1" customWidth="1"/>
    <col min="6166" max="6166" width="1.85546875" style="1" customWidth="1"/>
    <col min="6167" max="6167" width="15.5703125" style="1" customWidth="1"/>
    <col min="6168" max="6168" width="1.85546875" style="1" customWidth="1"/>
    <col min="6169" max="6169" width="15.5703125" style="1" customWidth="1"/>
    <col min="6170" max="6170" width="3.140625" style="1" customWidth="1"/>
    <col min="6171" max="6171" width="15.5703125" style="1" customWidth="1"/>
    <col min="6172" max="6172" width="14.28515625" style="1" customWidth="1"/>
    <col min="6173" max="6173" width="15.5703125" style="1" customWidth="1"/>
    <col min="6174" max="6174" width="1.85546875" style="1" customWidth="1"/>
    <col min="6175" max="6175" width="15.5703125" style="1" customWidth="1"/>
    <col min="6176" max="6176" width="2.85546875" style="1" customWidth="1"/>
    <col min="6177" max="6409" width="13.85546875" style="1"/>
    <col min="6410" max="6410" width="7" style="1" customWidth="1"/>
    <col min="6411" max="6411" width="16.5703125" style="1" customWidth="1"/>
    <col min="6412" max="6412" width="4.28515625" style="1" customWidth="1"/>
    <col min="6413" max="6413" width="6.85546875" style="1" customWidth="1"/>
    <col min="6414" max="6415" width="2.28515625" style="1" customWidth="1"/>
    <col min="6416" max="6416" width="10.85546875" style="1" customWidth="1"/>
    <col min="6417" max="6417" width="3.85546875" style="1" customWidth="1"/>
    <col min="6418" max="6418" width="2" style="1" customWidth="1"/>
    <col min="6419" max="6419" width="15.5703125" style="1" customWidth="1"/>
    <col min="6420" max="6420" width="1.85546875" style="1" customWidth="1"/>
    <col min="6421" max="6421" width="15.5703125" style="1" customWidth="1"/>
    <col min="6422" max="6422" width="1.85546875" style="1" customWidth="1"/>
    <col min="6423" max="6423" width="15.5703125" style="1" customWidth="1"/>
    <col min="6424" max="6424" width="1.85546875" style="1" customWidth="1"/>
    <col min="6425" max="6425" width="15.5703125" style="1" customWidth="1"/>
    <col min="6426" max="6426" width="3.140625" style="1" customWidth="1"/>
    <col min="6427" max="6427" width="15.5703125" style="1" customWidth="1"/>
    <col min="6428" max="6428" width="14.28515625" style="1" customWidth="1"/>
    <col min="6429" max="6429" width="15.5703125" style="1" customWidth="1"/>
    <col min="6430" max="6430" width="1.85546875" style="1" customWidth="1"/>
    <col min="6431" max="6431" width="15.5703125" style="1" customWidth="1"/>
    <col min="6432" max="6432" width="2.85546875" style="1" customWidth="1"/>
    <col min="6433" max="6665" width="13.85546875" style="1"/>
    <col min="6666" max="6666" width="7" style="1" customWidth="1"/>
    <col min="6667" max="6667" width="16.5703125" style="1" customWidth="1"/>
    <col min="6668" max="6668" width="4.28515625" style="1" customWidth="1"/>
    <col min="6669" max="6669" width="6.85546875" style="1" customWidth="1"/>
    <col min="6670" max="6671" width="2.28515625" style="1" customWidth="1"/>
    <col min="6672" max="6672" width="10.85546875" style="1" customWidth="1"/>
    <col min="6673" max="6673" width="3.85546875" style="1" customWidth="1"/>
    <col min="6674" max="6674" width="2" style="1" customWidth="1"/>
    <col min="6675" max="6675" width="15.5703125" style="1" customWidth="1"/>
    <col min="6676" max="6676" width="1.85546875" style="1" customWidth="1"/>
    <col min="6677" max="6677" width="15.5703125" style="1" customWidth="1"/>
    <col min="6678" max="6678" width="1.85546875" style="1" customWidth="1"/>
    <col min="6679" max="6679" width="15.5703125" style="1" customWidth="1"/>
    <col min="6680" max="6680" width="1.85546875" style="1" customWidth="1"/>
    <col min="6681" max="6681" width="15.5703125" style="1" customWidth="1"/>
    <col min="6682" max="6682" width="3.140625" style="1" customWidth="1"/>
    <col min="6683" max="6683" width="15.5703125" style="1" customWidth="1"/>
    <col min="6684" max="6684" width="14.28515625" style="1" customWidth="1"/>
    <col min="6685" max="6685" width="15.5703125" style="1" customWidth="1"/>
    <col min="6686" max="6686" width="1.85546875" style="1" customWidth="1"/>
    <col min="6687" max="6687" width="15.5703125" style="1" customWidth="1"/>
    <col min="6688" max="6688" width="2.85546875" style="1" customWidth="1"/>
    <col min="6689" max="6921" width="13.85546875" style="1"/>
    <col min="6922" max="6922" width="7" style="1" customWidth="1"/>
    <col min="6923" max="6923" width="16.5703125" style="1" customWidth="1"/>
    <col min="6924" max="6924" width="4.28515625" style="1" customWidth="1"/>
    <col min="6925" max="6925" width="6.85546875" style="1" customWidth="1"/>
    <col min="6926" max="6927" width="2.28515625" style="1" customWidth="1"/>
    <col min="6928" max="6928" width="10.85546875" style="1" customWidth="1"/>
    <col min="6929" max="6929" width="3.85546875" style="1" customWidth="1"/>
    <col min="6930" max="6930" width="2" style="1" customWidth="1"/>
    <col min="6931" max="6931" width="15.5703125" style="1" customWidth="1"/>
    <col min="6932" max="6932" width="1.85546875" style="1" customWidth="1"/>
    <col min="6933" max="6933" width="15.5703125" style="1" customWidth="1"/>
    <col min="6934" max="6934" width="1.85546875" style="1" customWidth="1"/>
    <col min="6935" max="6935" width="15.5703125" style="1" customWidth="1"/>
    <col min="6936" max="6936" width="1.85546875" style="1" customWidth="1"/>
    <col min="6937" max="6937" width="15.5703125" style="1" customWidth="1"/>
    <col min="6938" max="6938" width="3.140625" style="1" customWidth="1"/>
    <col min="6939" max="6939" width="15.5703125" style="1" customWidth="1"/>
    <col min="6940" max="6940" width="14.28515625" style="1" customWidth="1"/>
    <col min="6941" max="6941" width="15.5703125" style="1" customWidth="1"/>
    <col min="6942" max="6942" width="1.85546875" style="1" customWidth="1"/>
    <col min="6943" max="6943" width="15.5703125" style="1" customWidth="1"/>
    <col min="6944" max="6944" width="2.85546875" style="1" customWidth="1"/>
    <col min="6945" max="7177" width="13.85546875" style="1"/>
    <col min="7178" max="7178" width="7" style="1" customWidth="1"/>
    <col min="7179" max="7179" width="16.5703125" style="1" customWidth="1"/>
    <col min="7180" max="7180" width="4.28515625" style="1" customWidth="1"/>
    <col min="7181" max="7181" width="6.85546875" style="1" customWidth="1"/>
    <col min="7182" max="7183" width="2.28515625" style="1" customWidth="1"/>
    <col min="7184" max="7184" width="10.85546875" style="1" customWidth="1"/>
    <col min="7185" max="7185" width="3.85546875" style="1" customWidth="1"/>
    <col min="7186" max="7186" width="2" style="1" customWidth="1"/>
    <col min="7187" max="7187" width="15.5703125" style="1" customWidth="1"/>
    <col min="7188" max="7188" width="1.85546875" style="1" customWidth="1"/>
    <col min="7189" max="7189" width="15.5703125" style="1" customWidth="1"/>
    <col min="7190" max="7190" width="1.85546875" style="1" customWidth="1"/>
    <col min="7191" max="7191" width="15.5703125" style="1" customWidth="1"/>
    <col min="7192" max="7192" width="1.85546875" style="1" customWidth="1"/>
    <col min="7193" max="7193" width="15.5703125" style="1" customWidth="1"/>
    <col min="7194" max="7194" width="3.140625" style="1" customWidth="1"/>
    <col min="7195" max="7195" width="15.5703125" style="1" customWidth="1"/>
    <col min="7196" max="7196" width="14.28515625" style="1" customWidth="1"/>
    <col min="7197" max="7197" width="15.5703125" style="1" customWidth="1"/>
    <col min="7198" max="7198" width="1.85546875" style="1" customWidth="1"/>
    <col min="7199" max="7199" width="15.5703125" style="1" customWidth="1"/>
    <col min="7200" max="7200" width="2.85546875" style="1" customWidth="1"/>
    <col min="7201" max="7433" width="13.85546875" style="1"/>
    <col min="7434" max="7434" width="7" style="1" customWidth="1"/>
    <col min="7435" max="7435" width="16.5703125" style="1" customWidth="1"/>
    <col min="7436" max="7436" width="4.28515625" style="1" customWidth="1"/>
    <col min="7437" max="7437" width="6.85546875" style="1" customWidth="1"/>
    <col min="7438" max="7439" width="2.28515625" style="1" customWidth="1"/>
    <col min="7440" max="7440" width="10.85546875" style="1" customWidth="1"/>
    <col min="7441" max="7441" width="3.85546875" style="1" customWidth="1"/>
    <col min="7442" max="7442" width="2" style="1" customWidth="1"/>
    <col min="7443" max="7443" width="15.5703125" style="1" customWidth="1"/>
    <col min="7444" max="7444" width="1.85546875" style="1" customWidth="1"/>
    <col min="7445" max="7445" width="15.5703125" style="1" customWidth="1"/>
    <col min="7446" max="7446" width="1.85546875" style="1" customWidth="1"/>
    <col min="7447" max="7447" width="15.5703125" style="1" customWidth="1"/>
    <col min="7448" max="7448" width="1.85546875" style="1" customWidth="1"/>
    <col min="7449" max="7449" width="15.5703125" style="1" customWidth="1"/>
    <col min="7450" max="7450" width="3.140625" style="1" customWidth="1"/>
    <col min="7451" max="7451" width="15.5703125" style="1" customWidth="1"/>
    <col min="7452" max="7452" width="14.28515625" style="1" customWidth="1"/>
    <col min="7453" max="7453" width="15.5703125" style="1" customWidth="1"/>
    <col min="7454" max="7454" width="1.85546875" style="1" customWidth="1"/>
    <col min="7455" max="7455" width="15.5703125" style="1" customWidth="1"/>
    <col min="7456" max="7456" width="2.85546875" style="1" customWidth="1"/>
    <col min="7457" max="7689" width="13.85546875" style="1"/>
    <col min="7690" max="7690" width="7" style="1" customWidth="1"/>
    <col min="7691" max="7691" width="16.5703125" style="1" customWidth="1"/>
    <col min="7692" max="7692" width="4.28515625" style="1" customWidth="1"/>
    <col min="7693" max="7693" width="6.85546875" style="1" customWidth="1"/>
    <col min="7694" max="7695" width="2.28515625" style="1" customWidth="1"/>
    <col min="7696" max="7696" width="10.85546875" style="1" customWidth="1"/>
    <col min="7697" max="7697" width="3.85546875" style="1" customWidth="1"/>
    <col min="7698" max="7698" width="2" style="1" customWidth="1"/>
    <col min="7699" max="7699" width="15.5703125" style="1" customWidth="1"/>
    <col min="7700" max="7700" width="1.85546875" style="1" customWidth="1"/>
    <col min="7701" max="7701" width="15.5703125" style="1" customWidth="1"/>
    <col min="7702" max="7702" width="1.85546875" style="1" customWidth="1"/>
    <col min="7703" max="7703" width="15.5703125" style="1" customWidth="1"/>
    <col min="7704" max="7704" width="1.85546875" style="1" customWidth="1"/>
    <col min="7705" max="7705" width="15.5703125" style="1" customWidth="1"/>
    <col min="7706" max="7706" width="3.140625" style="1" customWidth="1"/>
    <col min="7707" max="7707" width="15.5703125" style="1" customWidth="1"/>
    <col min="7708" max="7708" width="14.28515625" style="1" customWidth="1"/>
    <col min="7709" max="7709" width="15.5703125" style="1" customWidth="1"/>
    <col min="7710" max="7710" width="1.85546875" style="1" customWidth="1"/>
    <col min="7711" max="7711" width="15.5703125" style="1" customWidth="1"/>
    <col min="7712" max="7712" width="2.85546875" style="1" customWidth="1"/>
    <col min="7713" max="7945" width="13.85546875" style="1"/>
    <col min="7946" max="7946" width="7" style="1" customWidth="1"/>
    <col min="7947" max="7947" width="16.5703125" style="1" customWidth="1"/>
    <col min="7948" max="7948" width="4.28515625" style="1" customWidth="1"/>
    <col min="7949" max="7949" width="6.85546875" style="1" customWidth="1"/>
    <col min="7950" max="7951" width="2.28515625" style="1" customWidth="1"/>
    <col min="7952" max="7952" width="10.85546875" style="1" customWidth="1"/>
    <col min="7953" max="7953" width="3.85546875" style="1" customWidth="1"/>
    <col min="7954" max="7954" width="2" style="1" customWidth="1"/>
    <col min="7955" max="7955" width="15.5703125" style="1" customWidth="1"/>
    <col min="7956" max="7956" width="1.85546875" style="1" customWidth="1"/>
    <col min="7957" max="7957" width="15.5703125" style="1" customWidth="1"/>
    <col min="7958" max="7958" width="1.85546875" style="1" customWidth="1"/>
    <col min="7959" max="7959" width="15.5703125" style="1" customWidth="1"/>
    <col min="7960" max="7960" width="1.85546875" style="1" customWidth="1"/>
    <col min="7961" max="7961" width="15.5703125" style="1" customWidth="1"/>
    <col min="7962" max="7962" width="3.140625" style="1" customWidth="1"/>
    <col min="7963" max="7963" width="15.5703125" style="1" customWidth="1"/>
    <col min="7964" max="7964" width="14.28515625" style="1" customWidth="1"/>
    <col min="7965" max="7965" width="15.5703125" style="1" customWidth="1"/>
    <col min="7966" max="7966" width="1.85546875" style="1" customWidth="1"/>
    <col min="7967" max="7967" width="15.5703125" style="1" customWidth="1"/>
    <col min="7968" max="7968" width="2.85546875" style="1" customWidth="1"/>
    <col min="7969" max="8201" width="13.85546875" style="1"/>
    <col min="8202" max="8202" width="7" style="1" customWidth="1"/>
    <col min="8203" max="8203" width="16.5703125" style="1" customWidth="1"/>
    <col min="8204" max="8204" width="4.28515625" style="1" customWidth="1"/>
    <col min="8205" max="8205" width="6.85546875" style="1" customWidth="1"/>
    <col min="8206" max="8207" width="2.28515625" style="1" customWidth="1"/>
    <col min="8208" max="8208" width="10.85546875" style="1" customWidth="1"/>
    <col min="8209" max="8209" width="3.85546875" style="1" customWidth="1"/>
    <col min="8210" max="8210" width="2" style="1" customWidth="1"/>
    <col min="8211" max="8211" width="15.5703125" style="1" customWidth="1"/>
    <col min="8212" max="8212" width="1.85546875" style="1" customWidth="1"/>
    <col min="8213" max="8213" width="15.5703125" style="1" customWidth="1"/>
    <col min="8214" max="8214" width="1.85546875" style="1" customWidth="1"/>
    <col min="8215" max="8215" width="15.5703125" style="1" customWidth="1"/>
    <col min="8216" max="8216" width="1.85546875" style="1" customWidth="1"/>
    <col min="8217" max="8217" width="15.5703125" style="1" customWidth="1"/>
    <col min="8218" max="8218" width="3.140625" style="1" customWidth="1"/>
    <col min="8219" max="8219" width="15.5703125" style="1" customWidth="1"/>
    <col min="8220" max="8220" width="14.28515625" style="1" customWidth="1"/>
    <col min="8221" max="8221" width="15.5703125" style="1" customWidth="1"/>
    <col min="8222" max="8222" width="1.85546875" style="1" customWidth="1"/>
    <col min="8223" max="8223" width="15.5703125" style="1" customWidth="1"/>
    <col min="8224" max="8224" width="2.85546875" style="1" customWidth="1"/>
    <col min="8225" max="8457" width="13.85546875" style="1"/>
    <col min="8458" max="8458" width="7" style="1" customWidth="1"/>
    <col min="8459" max="8459" width="16.5703125" style="1" customWidth="1"/>
    <col min="8460" max="8460" width="4.28515625" style="1" customWidth="1"/>
    <col min="8461" max="8461" width="6.85546875" style="1" customWidth="1"/>
    <col min="8462" max="8463" width="2.28515625" style="1" customWidth="1"/>
    <col min="8464" max="8464" width="10.85546875" style="1" customWidth="1"/>
    <col min="8465" max="8465" width="3.85546875" style="1" customWidth="1"/>
    <col min="8466" max="8466" width="2" style="1" customWidth="1"/>
    <col min="8467" max="8467" width="15.5703125" style="1" customWidth="1"/>
    <col min="8468" max="8468" width="1.85546875" style="1" customWidth="1"/>
    <col min="8469" max="8469" width="15.5703125" style="1" customWidth="1"/>
    <col min="8470" max="8470" width="1.85546875" style="1" customWidth="1"/>
    <col min="8471" max="8471" width="15.5703125" style="1" customWidth="1"/>
    <col min="8472" max="8472" width="1.85546875" style="1" customWidth="1"/>
    <col min="8473" max="8473" width="15.5703125" style="1" customWidth="1"/>
    <col min="8474" max="8474" width="3.140625" style="1" customWidth="1"/>
    <col min="8475" max="8475" width="15.5703125" style="1" customWidth="1"/>
    <col min="8476" max="8476" width="14.28515625" style="1" customWidth="1"/>
    <col min="8477" max="8477" width="15.5703125" style="1" customWidth="1"/>
    <col min="8478" max="8478" width="1.85546875" style="1" customWidth="1"/>
    <col min="8479" max="8479" width="15.5703125" style="1" customWidth="1"/>
    <col min="8480" max="8480" width="2.85546875" style="1" customWidth="1"/>
    <col min="8481" max="8713" width="13.85546875" style="1"/>
    <col min="8714" max="8714" width="7" style="1" customWidth="1"/>
    <col min="8715" max="8715" width="16.5703125" style="1" customWidth="1"/>
    <col min="8716" max="8716" width="4.28515625" style="1" customWidth="1"/>
    <col min="8717" max="8717" width="6.85546875" style="1" customWidth="1"/>
    <col min="8718" max="8719" width="2.28515625" style="1" customWidth="1"/>
    <col min="8720" max="8720" width="10.85546875" style="1" customWidth="1"/>
    <col min="8721" max="8721" width="3.85546875" style="1" customWidth="1"/>
    <col min="8722" max="8722" width="2" style="1" customWidth="1"/>
    <col min="8723" max="8723" width="15.5703125" style="1" customWidth="1"/>
    <col min="8724" max="8724" width="1.85546875" style="1" customWidth="1"/>
    <col min="8725" max="8725" width="15.5703125" style="1" customWidth="1"/>
    <col min="8726" max="8726" width="1.85546875" style="1" customWidth="1"/>
    <col min="8727" max="8727" width="15.5703125" style="1" customWidth="1"/>
    <col min="8728" max="8728" width="1.85546875" style="1" customWidth="1"/>
    <col min="8729" max="8729" width="15.5703125" style="1" customWidth="1"/>
    <col min="8730" max="8730" width="3.140625" style="1" customWidth="1"/>
    <col min="8731" max="8731" width="15.5703125" style="1" customWidth="1"/>
    <col min="8732" max="8732" width="14.28515625" style="1" customWidth="1"/>
    <col min="8733" max="8733" width="15.5703125" style="1" customWidth="1"/>
    <col min="8734" max="8734" width="1.85546875" style="1" customWidth="1"/>
    <col min="8735" max="8735" width="15.5703125" style="1" customWidth="1"/>
    <col min="8736" max="8736" width="2.85546875" style="1" customWidth="1"/>
    <col min="8737" max="8969" width="13.85546875" style="1"/>
    <col min="8970" max="8970" width="7" style="1" customWidth="1"/>
    <col min="8971" max="8971" width="16.5703125" style="1" customWidth="1"/>
    <col min="8972" max="8972" width="4.28515625" style="1" customWidth="1"/>
    <col min="8973" max="8973" width="6.85546875" style="1" customWidth="1"/>
    <col min="8974" max="8975" width="2.28515625" style="1" customWidth="1"/>
    <col min="8976" max="8976" width="10.85546875" style="1" customWidth="1"/>
    <col min="8977" max="8977" width="3.85546875" style="1" customWidth="1"/>
    <col min="8978" max="8978" width="2" style="1" customWidth="1"/>
    <col min="8979" max="8979" width="15.5703125" style="1" customWidth="1"/>
    <col min="8980" max="8980" width="1.85546875" style="1" customWidth="1"/>
    <col min="8981" max="8981" width="15.5703125" style="1" customWidth="1"/>
    <col min="8982" max="8982" width="1.85546875" style="1" customWidth="1"/>
    <col min="8983" max="8983" width="15.5703125" style="1" customWidth="1"/>
    <col min="8984" max="8984" width="1.85546875" style="1" customWidth="1"/>
    <col min="8985" max="8985" width="15.5703125" style="1" customWidth="1"/>
    <col min="8986" max="8986" width="3.140625" style="1" customWidth="1"/>
    <col min="8987" max="8987" width="15.5703125" style="1" customWidth="1"/>
    <col min="8988" max="8988" width="14.28515625" style="1" customWidth="1"/>
    <col min="8989" max="8989" width="15.5703125" style="1" customWidth="1"/>
    <col min="8990" max="8990" width="1.85546875" style="1" customWidth="1"/>
    <col min="8991" max="8991" width="15.5703125" style="1" customWidth="1"/>
    <col min="8992" max="8992" width="2.85546875" style="1" customWidth="1"/>
    <col min="8993" max="9225" width="13.85546875" style="1"/>
    <col min="9226" max="9226" width="7" style="1" customWidth="1"/>
    <col min="9227" max="9227" width="16.5703125" style="1" customWidth="1"/>
    <col min="9228" max="9228" width="4.28515625" style="1" customWidth="1"/>
    <col min="9229" max="9229" width="6.85546875" style="1" customWidth="1"/>
    <col min="9230" max="9231" width="2.28515625" style="1" customWidth="1"/>
    <col min="9232" max="9232" width="10.85546875" style="1" customWidth="1"/>
    <col min="9233" max="9233" width="3.85546875" style="1" customWidth="1"/>
    <col min="9234" max="9234" width="2" style="1" customWidth="1"/>
    <col min="9235" max="9235" width="15.5703125" style="1" customWidth="1"/>
    <col min="9236" max="9236" width="1.85546875" style="1" customWidth="1"/>
    <col min="9237" max="9237" width="15.5703125" style="1" customWidth="1"/>
    <col min="9238" max="9238" width="1.85546875" style="1" customWidth="1"/>
    <col min="9239" max="9239" width="15.5703125" style="1" customWidth="1"/>
    <col min="9240" max="9240" width="1.85546875" style="1" customWidth="1"/>
    <col min="9241" max="9241" width="15.5703125" style="1" customWidth="1"/>
    <col min="9242" max="9242" width="3.140625" style="1" customWidth="1"/>
    <col min="9243" max="9243" width="15.5703125" style="1" customWidth="1"/>
    <col min="9244" max="9244" width="14.28515625" style="1" customWidth="1"/>
    <col min="9245" max="9245" width="15.5703125" style="1" customWidth="1"/>
    <col min="9246" max="9246" width="1.85546875" style="1" customWidth="1"/>
    <col min="9247" max="9247" width="15.5703125" style="1" customWidth="1"/>
    <col min="9248" max="9248" width="2.85546875" style="1" customWidth="1"/>
    <col min="9249" max="9481" width="13.85546875" style="1"/>
    <col min="9482" max="9482" width="7" style="1" customWidth="1"/>
    <col min="9483" max="9483" width="16.5703125" style="1" customWidth="1"/>
    <col min="9484" max="9484" width="4.28515625" style="1" customWidth="1"/>
    <col min="9485" max="9485" width="6.85546875" style="1" customWidth="1"/>
    <col min="9486" max="9487" width="2.28515625" style="1" customWidth="1"/>
    <col min="9488" max="9488" width="10.85546875" style="1" customWidth="1"/>
    <col min="9489" max="9489" width="3.85546875" style="1" customWidth="1"/>
    <col min="9490" max="9490" width="2" style="1" customWidth="1"/>
    <col min="9491" max="9491" width="15.5703125" style="1" customWidth="1"/>
    <col min="9492" max="9492" width="1.85546875" style="1" customWidth="1"/>
    <col min="9493" max="9493" width="15.5703125" style="1" customWidth="1"/>
    <col min="9494" max="9494" width="1.85546875" style="1" customWidth="1"/>
    <col min="9495" max="9495" width="15.5703125" style="1" customWidth="1"/>
    <col min="9496" max="9496" width="1.85546875" style="1" customWidth="1"/>
    <col min="9497" max="9497" width="15.5703125" style="1" customWidth="1"/>
    <col min="9498" max="9498" width="3.140625" style="1" customWidth="1"/>
    <col min="9499" max="9499" width="15.5703125" style="1" customWidth="1"/>
    <col min="9500" max="9500" width="14.28515625" style="1" customWidth="1"/>
    <col min="9501" max="9501" width="15.5703125" style="1" customWidth="1"/>
    <col min="9502" max="9502" width="1.85546875" style="1" customWidth="1"/>
    <col min="9503" max="9503" width="15.5703125" style="1" customWidth="1"/>
    <col min="9504" max="9504" width="2.85546875" style="1" customWidth="1"/>
    <col min="9505" max="9737" width="13.85546875" style="1"/>
    <col min="9738" max="9738" width="7" style="1" customWidth="1"/>
    <col min="9739" max="9739" width="16.5703125" style="1" customWidth="1"/>
    <col min="9740" max="9740" width="4.28515625" style="1" customWidth="1"/>
    <col min="9741" max="9741" width="6.85546875" style="1" customWidth="1"/>
    <col min="9742" max="9743" width="2.28515625" style="1" customWidth="1"/>
    <col min="9744" max="9744" width="10.85546875" style="1" customWidth="1"/>
    <col min="9745" max="9745" width="3.85546875" style="1" customWidth="1"/>
    <col min="9746" max="9746" width="2" style="1" customWidth="1"/>
    <col min="9747" max="9747" width="15.5703125" style="1" customWidth="1"/>
    <col min="9748" max="9748" width="1.85546875" style="1" customWidth="1"/>
    <col min="9749" max="9749" width="15.5703125" style="1" customWidth="1"/>
    <col min="9750" max="9750" width="1.85546875" style="1" customWidth="1"/>
    <col min="9751" max="9751" width="15.5703125" style="1" customWidth="1"/>
    <col min="9752" max="9752" width="1.85546875" style="1" customWidth="1"/>
    <col min="9753" max="9753" width="15.5703125" style="1" customWidth="1"/>
    <col min="9754" max="9754" width="3.140625" style="1" customWidth="1"/>
    <col min="9755" max="9755" width="15.5703125" style="1" customWidth="1"/>
    <col min="9756" max="9756" width="14.28515625" style="1" customWidth="1"/>
    <col min="9757" max="9757" width="15.5703125" style="1" customWidth="1"/>
    <col min="9758" max="9758" width="1.85546875" style="1" customWidth="1"/>
    <col min="9759" max="9759" width="15.5703125" style="1" customWidth="1"/>
    <col min="9760" max="9760" width="2.85546875" style="1" customWidth="1"/>
    <col min="9761" max="9993" width="13.85546875" style="1"/>
    <col min="9994" max="9994" width="7" style="1" customWidth="1"/>
    <col min="9995" max="9995" width="16.5703125" style="1" customWidth="1"/>
    <col min="9996" max="9996" width="4.28515625" style="1" customWidth="1"/>
    <col min="9997" max="9997" width="6.85546875" style="1" customWidth="1"/>
    <col min="9998" max="9999" width="2.28515625" style="1" customWidth="1"/>
    <col min="10000" max="10000" width="10.85546875" style="1" customWidth="1"/>
    <col min="10001" max="10001" width="3.85546875" style="1" customWidth="1"/>
    <col min="10002" max="10002" width="2" style="1" customWidth="1"/>
    <col min="10003" max="10003" width="15.5703125" style="1" customWidth="1"/>
    <col min="10004" max="10004" width="1.85546875" style="1" customWidth="1"/>
    <col min="10005" max="10005" width="15.5703125" style="1" customWidth="1"/>
    <col min="10006" max="10006" width="1.85546875" style="1" customWidth="1"/>
    <col min="10007" max="10007" width="15.5703125" style="1" customWidth="1"/>
    <col min="10008" max="10008" width="1.85546875" style="1" customWidth="1"/>
    <col min="10009" max="10009" width="15.5703125" style="1" customWidth="1"/>
    <col min="10010" max="10010" width="3.140625" style="1" customWidth="1"/>
    <col min="10011" max="10011" width="15.5703125" style="1" customWidth="1"/>
    <col min="10012" max="10012" width="14.28515625" style="1" customWidth="1"/>
    <col min="10013" max="10013" width="15.5703125" style="1" customWidth="1"/>
    <col min="10014" max="10014" width="1.85546875" style="1" customWidth="1"/>
    <col min="10015" max="10015" width="15.5703125" style="1" customWidth="1"/>
    <col min="10016" max="10016" width="2.85546875" style="1" customWidth="1"/>
    <col min="10017" max="10249" width="13.85546875" style="1"/>
    <col min="10250" max="10250" width="7" style="1" customWidth="1"/>
    <col min="10251" max="10251" width="16.5703125" style="1" customWidth="1"/>
    <col min="10252" max="10252" width="4.28515625" style="1" customWidth="1"/>
    <col min="10253" max="10253" width="6.85546875" style="1" customWidth="1"/>
    <col min="10254" max="10255" width="2.28515625" style="1" customWidth="1"/>
    <col min="10256" max="10256" width="10.85546875" style="1" customWidth="1"/>
    <col min="10257" max="10257" width="3.85546875" style="1" customWidth="1"/>
    <col min="10258" max="10258" width="2" style="1" customWidth="1"/>
    <col min="10259" max="10259" width="15.5703125" style="1" customWidth="1"/>
    <col min="10260" max="10260" width="1.85546875" style="1" customWidth="1"/>
    <col min="10261" max="10261" width="15.5703125" style="1" customWidth="1"/>
    <col min="10262" max="10262" width="1.85546875" style="1" customWidth="1"/>
    <col min="10263" max="10263" width="15.5703125" style="1" customWidth="1"/>
    <col min="10264" max="10264" width="1.85546875" style="1" customWidth="1"/>
    <col min="10265" max="10265" width="15.5703125" style="1" customWidth="1"/>
    <col min="10266" max="10266" width="3.140625" style="1" customWidth="1"/>
    <col min="10267" max="10267" width="15.5703125" style="1" customWidth="1"/>
    <col min="10268" max="10268" width="14.28515625" style="1" customWidth="1"/>
    <col min="10269" max="10269" width="15.5703125" style="1" customWidth="1"/>
    <col min="10270" max="10270" width="1.85546875" style="1" customWidth="1"/>
    <col min="10271" max="10271" width="15.5703125" style="1" customWidth="1"/>
    <col min="10272" max="10272" width="2.85546875" style="1" customWidth="1"/>
    <col min="10273" max="10505" width="13.85546875" style="1"/>
    <col min="10506" max="10506" width="7" style="1" customWidth="1"/>
    <col min="10507" max="10507" width="16.5703125" style="1" customWidth="1"/>
    <col min="10508" max="10508" width="4.28515625" style="1" customWidth="1"/>
    <col min="10509" max="10509" width="6.85546875" style="1" customWidth="1"/>
    <col min="10510" max="10511" width="2.28515625" style="1" customWidth="1"/>
    <col min="10512" max="10512" width="10.85546875" style="1" customWidth="1"/>
    <col min="10513" max="10513" width="3.85546875" style="1" customWidth="1"/>
    <col min="10514" max="10514" width="2" style="1" customWidth="1"/>
    <col min="10515" max="10515" width="15.5703125" style="1" customWidth="1"/>
    <col min="10516" max="10516" width="1.85546875" style="1" customWidth="1"/>
    <col min="10517" max="10517" width="15.5703125" style="1" customWidth="1"/>
    <col min="10518" max="10518" width="1.85546875" style="1" customWidth="1"/>
    <col min="10519" max="10519" width="15.5703125" style="1" customWidth="1"/>
    <col min="10520" max="10520" width="1.85546875" style="1" customWidth="1"/>
    <col min="10521" max="10521" width="15.5703125" style="1" customWidth="1"/>
    <col min="10522" max="10522" width="3.140625" style="1" customWidth="1"/>
    <col min="10523" max="10523" width="15.5703125" style="1" customWidth="1"/>
    <col min="10524" max="10524" width="14.28515625" style="1" customWidth="1"/>
    <col min="10525" max="10525" width="15.5703125" style="1" customWidth="1"/>
    <col min="10526" max="10526" width="1.85546875" style="1" customWidth="1"/>
    <col min="10527" max="10527" width="15.5703125" style="1" customWidth="1"/>
    <col min="10528" max="10528" width="2.85546875" style="1" customWidth="1"/>
    <col min="10529" max="10761" width="13.85546875" style="1"/>
    <col min="10762" max="10762" width="7" style="1" customWidth="1"/>
    <col min="10763" max="10763" width="16.5703125" style="1" customWidth="1"/>
    <col min="10764" max="10764" width="4.28515625" style="1" customWidth="1"/>
    <col min="10765" max="10765" width="6.85546875" style="1" customWidth="1"/>
    <col min="10766" max="10767" width="2.28515625" style="1" customWidth="1"/>
    <col min="10768" max="10768" width="10.85546875" style="1" customWidth="1"/>
    <col min="10769" max="10769" width="3.85546875" style="1" customWidth="1"/>
    <col min="10770" max="10770" width="2" style="1" customWidth="1"/>
    <col min="10771" max="10771" width="15.5703125" style="1" customWidth="1"/>
    <col min="10772" max="10772" width="1.85546875" style="1" customWidth="1"/>
    <col min="10773" max="10773" width="15.5703125" style="1" customWidth="1"/>
    <col min="10774" max="10774" width="1.85546875" style="1" customWidth="1"/>
    <col min="10775" max="10775" width="15.5703125" style="1" customWidth="1"/>
    <col min="10776" max="10776" width="1.85546875" style="1" customWidth="1"/>
    <col min="10777" max="10777" width="15.5703125" style="1" customWidth="1"/>
    <col min="10778" max="10778" width="3.140625" style="1" customWidth="1"/>
    <col min="10779" max="10779" width="15.5703125" style="1" customWidth="1"/>
    <col min="10780" max="10780" width="14.28515625" style="1" customWidth="1"/>
    <col min="10781" max="10781" width="15.5703125" style="1" customWidth="1"/>
    <col min="10782" max="10782" width="1.85546875" style="1" customWidth="1"/>
    <col min="10783" max="10783" width="15.5703125" style="1" customWidth="1"/>
    <col min="10784" max="10784" width="2.85546875" style="1" customWidth="1"/>
    <col min="10785" max="11017" width="13.85546875" style="1"/>
    <col min="11018" max="11018" width="7" style="1" customWidth="1"/>
    <col min="11019" max="11019" width="16.5703125" style="1" customWidth="1"/>
    <col min="11020" max="11020" width="4.28515625" style="1" customWidth="1"/>
    <col min="11021" max="11021" width="6.85546875" style="1" customWidth="1"/>
    <col min="11022" max="11023" width="2.28515625" style="1" customWidth="1"/>
    <col min="11024" max="11024" width="10.85546875" style="1" customWidth="1"/>
    <col min="11025" max="11025" width="3.85546875" style="1" customWidth="1"/>
    <col min="11026" max="11026" width="2" style="1" customWidth="1"/>
    <col min="11027" max="11027" width="15.5703125" style="1" customWidth="1"/>
    <col min="11028" max="11028" width="1.85546875" style="1" customWidth="1"/>
    <col min="11029" max="11029" width="15.5703125" style="1" customWidth="1"/>
    <col min="11030" max="11030" width="1.85546875" style="1" customWidth="1"/>
    <col min="11031" max="11031" width="15.5703125" style="1" customWidth="1"/>
    <col min="11032" max="11032" width="1.85546875" style="1" customWidth="1"/>
    <col min="11033" max="11033" width="15.5703125" style="1" customWidth="1"/>
    <col min="11034" max="11034" width="3.140625" style="1" customWidth="1"/>
    <col min="11035" max="11035" width="15.5703125" style="1" customWidth="1"/>
    <col min="11036" max="11036" width="14.28515625" style="1" customWidth="1"/>
    <col min="11037" max="11037" width="15.5703125" style="1" customWidth="1"/>
    <col min="11038" max="11038" width="1.85546875" style="1" customWidth="1"/>
    <col min="11039" max="11039" width="15.5703125" style="1" customWidth="1"/>
    <col min="11040" max="11040" width="2.85546875" style="1" customWidth="1"/>
    <col min="11041" max="11273" width="13.85546875" style="1"/>
    <col min="11274" max="11274" width="7" style="1" customWidth="1"/>
    <col min="11275" max="11275" width="16.5703125" style="1" customWidth="1"/>
    <col min="11276" max="11276" width="4.28515625" style="1" customWidth="1"/>
    <col min="11277" max="11277" width="6.85546875" style="1" customWidth="1"/>
    <col min="11278" max="11279" width="2.28515625" style="1" customWidth="1"/>
    <col min="11280" max="11280" width="10.85546875" style="1" customWidth="1"/>
    <col min="11281" max="11281" width="3.85546875" style="1" customWidth="1"/>
    <col min="11282" max="11282" width="2" style="1" customWidth="1"/>
    <col min="11283" max="11283" width="15.5703125" style="1" customWidth="1"/>
    <col min="11284" max="11284" width="1.85546875" style="1" customWidth="1"/>
    <col min="11285" max="11285" width="15.5703125" style="1" customWidth="1"/>
    <col min="11286" max="11286" width="1.85546875" style="1" customWidth="1"/>
    <col min="11287" max="11287" width="15.5703125" style="1" customWidth="1"/>
    <col min="11288" max="11288" width="1.85546875" style="1" customWidth="1"/>
    <col min="11289" max="11289" width="15.5703125" style="1" customWidth="1"/>
    <col min="11290" max="11290" width="3.140625" style="1" customWidth="1"/>
    <col min="11291" max="11291" width="15.5703125" style="1" customWidth="1"/>
    <col min="11292" max="11292" width="14.28515625" style="1" customWidth="1"/>
    <col min="11293" max="11293" width="15.5703125" style="1" customWidth="1"/>
    <col min="11294" max="11294" width="1.85546875" style="1" customWidth="1"/>
    <col min="11295" max="11295" width="15.5703125" style="1" customWidth="1"/>
    <col min="11296" max="11296" width="2.85546875" style="1" customWidth="1"/>
    <col min="11297" max="11529" width="13.85546875" style="1"/>
    <col min="11530" max="11530" width="7" style="1" customWidth="1"/>
    <col min="11531" max="11531" width="16.5703125" style="1" customWidth="1"/>
    <col min="11532" max="11532" width="4.28515625" style="1" customWidth="1"/>
    <col min="11533" max="11533" width="6.85546875" style="1" customWidth="1"/>
    <col min="11534" max="11535" width="2.28515625" style="1" customWidth="1"/>
    <col min="11536" max="11536" width="10.85546875" style="1" customWidth="1"/>
    <col min="11537" max="11537" width="3.85546875" style="1" customWidth="1"/>
    <col min="11538" max="11538" width="2" style="1" customWidth="1"/>
    <col min="11539" max="11539" width="15.5703125" style="1" customWidth="1"/>
    <col min="11540" max="11540" width="1.85546875" style="1" customWidth="1"/>
    <col min="11541" max="11541" width="15.5703125" style="1" customWidth="1"/>
    <col min="11542" max="11542" width="1.85546875" style="1" customWidth="1"/>
    <col min="11543" max="11543" width="15.5703125" style="1" customWidth="1"/>
    <col min="11544" max="11544" width="1.85546875" style="1" customWidth="1"/>
    <col min="11545" max="11545" width="15.5703125" style="1" customWidth="1"/>
    <col min="11546" max="11546" width="3.140625" style="1" customWidth="1"/>
    <col min="11547" max="11547" width="15.5703125" style="1" customWidth="1"/>
    <col min="11548" max="11548" width="14.28515625" style="1" customWidth="1"/>
    <col min="11549" max="11549" width="15.5703125" style="1" customWidth="1"/>
    <col min="11550" max="11550" width="1.85546875" style="1" customWidth="1"/>
    <col min="11551" max="11551" width="15.5703125" style="1" customWidth="1"/>
    <col min="11552" max="11552" width="2.85546875" style="1" customWidth="1"/>
    <col min="11553" max="11785" width="13.85546875" style="1"/>
    <col min="11786" max="11786" width="7" style="1" customWidth="1"/>
    <col min="11787" max="11787" width="16.5703125" style="1" customWidth="1"/>
    <col min="11788" max="11788" width="4.28515625" style="1" customWidth="1"/>
    <col min="11789" max="11789" width="6.85546875" style="1" customWidth="1"/>
    <col min="11790" max="11791" width="2.28515625" style="1" customWidth="1"/>
    <col min="11792" max="11792" width="10.85546875" style="1" customWidth="1"/>
    <col min="11793" max="11793" width="3.85546875" style="1" customWidth="1"/>
    <col min="11794" max="11794" width="2" style="1" customWidth="1"/>
    <col min="11795" max="11795" width="15.5703125" style="1" customWidth="1"/>
    <col min="11796" max="11796" width="1.85546875" style="1" customWidth="1"/>
    <col min="11797" max="11797" width="15.5703125" style="1" customWidth="1"/>
    <col min="11798" max="11798" width="1.85546875" style="1" customWidth="1"/>
    <col min="11799" max="11799" width="15.5703125" style="1" customWidth="1"/>
    <col min="11800" max="11800" width="1.85546875" style="1" customWidth="1"/>
    <col min="11801" max="11801" width="15.5703125" style="1" customWidth="1"/>
    <col min="11802" max="11802" width="3.140625" style="1" customWidth="1"/>
    <col min="11803" max="11803" width="15.5703125" style="1" customWidth="1"/>
    <col min="11804" max="11804" width="14.28515625" style="1" customWidth="1"/>
    <col min="11805" max="11805" width="15.5703125" style="1" customWidth="1"/>
    <col min="11806" max="11806" width="1.85546875" style="1" customWidth="1"/>
    <col min="11807" max="11807" width="15.5703125" style="1" customWidth="1"/>
    <col min="11808" max="11808" width="2.85546875" style="1" customWidth="1"/>
    <col min="11809" max="12041" width="13.85546875" style="1"/>
    <col min="12042" max="12042" width="7" style="1" customWidth="1"/>
    <col min="12043" max="12043" width="16.5703125" style="1" customWidth="1"/>
    <col min="12044" max="12044" width="4.28515625" style="1" customWidth="1"/>
    <col min="12045" max="12045" width="6.85546875" style="1" customWidth="1"/>
    <col min="12046" max="12047" width="2.28515625" style="1" customWidth="1"/>
    <col min="12048" max="12048" width="10.85546875" style="1" customWidth="1"/>
    <col min="12049" max="12049" width="3.85546875" style="1" customWidth="1"/>
    <col min="12050" max="12050" width="2" style="1" customWidth="1"/>
    <col min="12051" max="12051" width="15.5703125" style="1" customWidth="1"/>
    <col min="12052" max="12052" width="1.85546875" style="1" customWidth="1"/>
    <col min="12053" max="12053" width="15.5703125" style="1" customWidth="1"/>
    <col min="12054" max="12054" width="1.85546875" style="1" customWidth="1"/>
    <col min="12055" max="12055" width="15.5703125" style="1" customWidth="1"/>
    <col min="12056" max="12056" width="1.85546875" style="1" customWidth="1"/>
    <col min="12057" max="12057" width="15.5703125" style="1" customWidth="1"/>
    <col min="12058" max="12058" width="3.140625" style="1" customWidth="1"/>
    <col min="12059" max="12059" width="15.5703125" style="1" customWidth="1"/>
    <col min="12060" max="12060" width="14.28515625" style="1" customWidth="1"/>
    <col min="12061" max="12061" width="15.5703125" style="1" customWidth="1"/>
    <col min="12062" max="12062" width="1.85546875" style="1" customWidth="1"/>
    <col min="12063" max="12063" width="15.5703125" style="1" customWidth="1"/>
    <col min="12064" max="12064" width="2.85546875" style="1" customWidth="1"/>
    <col min="12065" max="12297" width="13.85546875" style="1"/>
    <col min="12298" max="12298" width="7" style="1" customWidth="1"/>
    <col min="12299" max="12299" width="16.5703125" style="1" customWidth="1"/>
    <col min="12300" max="12300" width="4.28515625" style="1" customWidth="1"/>
    <col min="12301" max="12301" width="6.85546875" style="1" customWidth="1"/>
    <col min="12302" max="12303" width="2.28515625" style="1" customWidth="1"/>
    <col min="12304" max="12304" width="10.85546875" style="1" customWidth="1"/>
    <col min="12305" max="12305" width="3.85546875" style="1" customWidth="1"/>
    <col min="12306" max="12306" width="2" style="1" customWidth="1"/>
    <col min="12307" max="12307" width="15.5703125" style="1" customWidth="1"/>
    <col min="12308" max="12308" width="1.85546875" style="1" customWidth="1"/>
    <col min="12309" max="12309" width="15.5703125" style="1" customWidth="1"/>
    <col min="12310" max="12310" width="1.85546875" style="1" customWidth="1"/>
    <col min="12311" max="12311" width="15.5703125" style="1" customWidth="1"/>
    <col min="12312" max="12312" width="1.85546875" style="1" customWidth="1"/>
    <col min="12313" max="12313" width="15.5703125" style="1" customWidth="1"/>
    <col min="12314" max="12314" width="3.140625" style="1" customWidth="1"/>
    <col min="12315" max="12315" width="15.5703125" style="1" customWidth="1"/>
    <col min="12316" max="12316" width="14.28515625" style="1" customWidth="1"/>
    <col min="12317" max="12317" width="15.5703125" style="1" customWidth="1"/>
    <col min="12318" max="12318" width="1.85546875" style="1" customWidth="1"/>
    <col min="12319" max="12319" width="15.5703125" style="1" customWidth="1"/>
    <col min="12320" max="12320" width="2.85546875" style="1" customWidth="1"/>
    <col min="12321" max="12553" width="13.85546875" style="1"/>
    <col min="12554" max="12554" width="7" style="1" customWidth="1"/>
    <col min="12555" max="12555" width="16.5703125" style="1" customWidth="1"/>
    <col min="12556" max="12556" width="4.28515625" style="1" customWidth="1"/>
    <col min="12557" max="12557" width="6.85546875" style="1" customWidth="1"/>
    <col min="12558" max="12559" width="2.28515625" style="1" customWidth="1"/>
    <col min="12560" max="12560" width="10.85546875" style="1" customWidth="1"/>
    <col min="12561" max="12561" width="3.85546875" style="1" customWidth="1"/>
    <col min="12562" max="12562" width="2" style="1" customWidth="1"/>
    <col min="12563" max="12563" width="15.5703125" style="1" customWidth="1"/>
    <col min="12564" max="12564" width="1.85546875" style="1" customWidth="1"/>
    <col min="12565" max="12565" width="15.5703125" style="1" customWidth="1"/>
    <col min="12566" max="12566" width="1.85546875" style="1" customWidth="1"/>
    <col min="12567" max="12567" width="15.5703125" style="1" customWidth="1"/>
    <col min="12568" max="12568" width="1.85546875" style="1" customWidth="1"/>
    <col min="12569" max="12569" width="15.5703125" style="1" customWidth="1"/>
    <col min="12570" max="12570" width="3.140625" style="1" customWidth="1"/>
    <col min="12571" max="12571" width="15.5703125" style="1" customWidth="1"/>
    <col min="12572" max="12572" width="14.28515625" style="1" customWidth="1"/>
    <col min="12573" max="12573" width="15.5703125" style="1" customWidth="1"/>
    <col min="12574" max="12574" width="1.85546875" style="1" customWidth="1"/>
    <col min="12575" max="12575" width="15.5703125" style="1" customWidth="1"/>
    <col min="12576" max="12576" width="2.85546875" style="1" customWidth="1"/>
    <col min="12577" max="12809" width="13.85546875" style="1"/>
    <col min="12810" max="12810" width="7" style="1" customWidth="1"/>
    <col min="12811" max="12811" width="16.5703125" style="1" customWidth="1"/>
    <col min="12812" max="12812" width="4.28515625" style="1" customWidth="1"/>
    <col min="12813" max="12813" width="6.85546875" style="1" customWidth="1"/>
    <col min="12814" max="12815" width="2.28515625" style="1" customWidth="1"/>
    <col min="12816" max="12816" width="10.85546875" style="1" customWidth="1"/>
    <col min="12817" max="12817" width="3.85546875" style="1" customWidth="1"/>
    <col min="12818" max="12818" width="2" style="1" customWidth="1"/>
    <col min="12819" max="12819" width="15.5703125" style="1" customWidth="1"/>
    <col min="12820" max="12820" width="1.85546875" style="1" customWidth="1"/>
    <col min="12821" max="12821" width="15.5703125" style="1" customWidth="1"/>
    <col min="12822" max="12822" width="1.85546875" style="1" customWidth="1"/>
    <col min="12823" max="12823" width="15.5703125" style="1" customWidth="1"/>
    <col min="12824" max="12824" width="1.85546875" style="1" customWidth="1"/>
    <col min="12825" max="12825" width="15.5703125" style="1" customWidth="1"/>
    <col min="12826" max="12826" width="3.140625" style="1" customWidth="1"/>
    <col min="12827" max="12827" width="15.5703125" style="1" customWidth="1"/>
    <col min="12828" max="12828" width="14.28515625" style="1" customWidth="1"/>
    <col min="12829" max="12829" width="15.5703125" style="1" customWidth="1"/>
    <col min="12830" max="12830" width="1.85546875" style="1" customWidth="1"/>
    <col min="12831" max="12831" width="15.5703125" style="1" customWidth="1"/>
    <col min="12832" max="12832" width="2.85546875" style="1" customWidth="1"/>
    <col min="12833" max="13065" width="13.85546875" style="1"/>
    <col min="13066" max="13066" width="7" style="1" customWidth="1"/>
    <col min="13067" max="13067" width="16.5703125" style="1" customWidth="1"/>
    <col min="13068" max="13068" width="4.28515625" style="1" customWidth="1"/>
    <col min="13069" max="13069" width="6.85546875" style="1" customWidth="1"/>
    <col min="13070" max="13071" width="2.28515625" style="1" customWidth="1"/>
    <col min="13072" max="13072" width="10.85546875" style="1" customWidth="1"/>
    <col min="13073" max="13073" width="3.85546875" style="1" customWidth="1"/>
    <col min="13074" max="13074" width="2" style="1" customWidth="1"/>
    <col min="13075" max="13075" width="15.5703125" style="1" customWidth="1"/>
    <col min="13076" max="13076" width="1.85546875" style="1" customWidth="1"/>
    <col min="13077" max="13077" width="15.5703125" style="1" customWidth="1"/>
    <col min="13078" max="13078" width="1.85546875" style="1" customWidth="1"/>
    <col min="13079" max="13079" width="15.5703125" style="1" customWidth="1"/>
    <col min="13080" max="13080" width="1.85546875" style="1" customWidth="1"/>
    <col min="13081" max="13081" width="15.5703125" style="1" customWidth="1"/>
    <col min="13082" max="13082" width="3.140625" style="1" customWidth="1"/>
    <col min="13083" max="13083" width="15.5703125" style="1" customWidth="1"/>
    <col min="13084" max="13084" width="14.28515625" style="1" customWidth="1"/>
    <col min="13085" max="13085" width="15.5703125" style="1" customWidth="1"/>
    <col min="13086" max="13086" width="1.85546875" style="1" customWidth="1"/>
    <col min="13087" max="13087" width="15.5703125" style="1" customWidth="1"/>
    <col min="13088" max="13088" width="2.85546875" style="1" customWidth="1"/>
    <col min="13089" max="13321" width="13.85546875" style="1"/>
    <col min="13322" max="13322" width="7" style="1" customWidth="1"/>
    <col min="13323" max="13323" width="16.5703125" style="1" customWidth="1"/>
    <col min="13324" max="13324" width="4.28515625" style="1" customWidth="1"/>
    <col min="13325" max="13325" width="6.85546875" style="1" customWidth="1"/>
    <col min="13326" max="13327" width="2.28515625" style="1" customWidth="1"/>
    <col min="13328" max="13328" width="10.85546875" style="1" customWidth="1"/>
    <col min="13329" max="13329" width="3.85546875" style="1" customWidth="1"/>
    <col min="13330" max="13330" width="2" style="1" customWidth="1"/>
    <col min="13331" max="13331" width="15.5703125" style="1" customWidth="1"/>
    <col min="13332" max="13332" width="1.85546875" style="1" customWidth="1"/>
    <col min="13333" max="13333" width="15.5703125" style="1" customWidth="1"/>
    <col min="13334" max="13334" width="1.85546875" style="1" customWidth="1"/>
    <col min="13335" max="13335" width="15.5703125" style="1" customWidth="1"/>
    <col min="13336" max="13336" width="1.85546875" style="1" customWidth="1"/>
    <col min="13337" max="13337" width="15.5703125" style="1" customWidth="1"/>
    <col min="13338" max="13338" width="3.140625" style="1" customWidth="1"/>
    <col min="13339" max="13339" width="15.5703125" style="1" customWidth="1"/>
    <col min="13340" max="13340" width="14.28515625" style="1" customWidth="1"/>
    <col min="13341" max="13341" width="15.5703125" style="1" customWidth="1"/>
    <col min="13342" max="13342" width="1.85546875" style="1" customWidth="1"/>
    <col min="13343" max="13343" width="15.5703125" style="1" customWidth="1"/>
    <col min="13344" max="13344" width="2.85546875" style="1" customWidth="1"/>
    <col min="13345" max="13577" width="13.85546875" style="1"/>
    <col min="13578" max="13578" width="7" style="1" customWidth="1"/>
    <col min="13579" max="13579" width="16.5703125" style="1" customWidth="1"/>
    <col min="13580" max="13580" width="4.28515625" style="1" customWidth="1"/>
    <col min="13581" max="13581" width="6.85546875" style="1" customWidth="1"/>
    <col min="13582" max="13583" width="2.28515625" style="1" customWidth="1"/>
    <col min="13584" max="13584" width="10.85546875" style="1" customWidth="1"/>
    <col min="13585" max="13585" width="3.85546875" style="1" customWidth="1"/>
    <col min="13586" max="13586" width="2" style="1" customWidth="1"/>
    <col min="13587" max="13587" width="15.5703125" style="1" customWidth="1"/>
    <col min="13588" max="13588" width="1.85546875" style="1" customWidth="1"/>
    <col min="13589" max="13589" width="15.5703125" style="1" customWidth="1"/>
    <col min="13590" max="13590" width="1.85546875" style="1" customWidth="1"/>
    <col min="13591" max="13591" width="15.5703125" style="1" customWidth="1"/>
    <col min="13592" max="13592" width="1.85546875" style="1" customWidth="1"/>
    <col min="13593" max="13593" width="15.5703125" style="1" customWidth="1"/>
    <col min="13594" max="13594" width="3.140625" style="1" customWidth="1"/>
    <col min="13595" max="13595" width="15.5703125" style="1" customWidth="1"/>
    <col min="13596" max="13596" width="14.28515625" style="1" customWidth="1"/>
    <col min="13597" max="13597" width="15.5703125" style="1" customWidth="1"/>
    <col min="13598" max="13598" width="1.85546875" style="1" customWidth="1"/>
    <col min="13599" max="13599" width="15.5703125" style="1" customWidth="1"/>
    <col min="13600" max="13600" width="2.85546875" style="1" customWidth="1"/>
    <col min="13601" max="13833" width="13.85546875" style="1"/>
    <col min="13834" max="13834" width="7" style="1" customWidth="1"/>
    <col min="13835" max="13835" width="16.5703125" style="1" customWidth="1"/>
    <col min="13836" max="13836" width="4.28515625" style="1" customWidth="1"/>
    <col min="13837" max="13837" width="6.85546875" style="1" customWidth="1"/>
    <col min="13838" max="13839" width="2.28515625" style="1" customWidth="1"/>
    <col min="13840" max="13840" width="10.85546875" style="1" customWidth="1"/>
    <col min="13841" max="13841" width="3.85546875" style="1" customWidth="1"/>
    <col min="13842" max="13842" width="2" style="1" customWidth="1"/>
    <col min="13843" max="13843" width="15.5703125" style="1" customWidth="1"/>
    <col min="13844" max="13844" width="1.85546875" style="1" customWidth="1"/>
    <col min="13845" max="13845" width="15.5703125" style="1" customWidth="1"/>
    <col min="13846" max="13846" width="1.85546875" style="1" customWidth="1"/>
    <col min="13847" max="13847" width="15.5703125" style="1" customWidth="1"/>
    <col min="13848" max="13848" width="1.85546875" style="1" customWidth="1"/>
    <col min="13849" max="13849" width="15.5703125" style="1" customWidth="1"/>
    <col min="13850" max="13850" width="3.140625" style="1" customWidth="1"/>
    <col min="13851" max="13851" width="15.5703125" style="1" customWidth="1"/>
    <col min="13852" max="13852" width="14.28515625" style="1" customWidth="1"/>
    <col min="13853" max="13853" width="15.5703125" style="1" customWidth="1"/>
    <col min="13854" max="13854" width="1.85546875" style="1" customWidth="1"/>
    <col min="13855" max="13855" width="15.5703125" style="1" customWidth="1"/>
    <col min="13856" max="13856" width="2.85546875" style="1" customWidth="1"/>
    <col min="13857" max="14089" width="13.85546875" style="1"/>
    <col min="14090" max="14090" width="7" style="1" customWidth="1"/>
    <col min="14091" max="14091" width="16.5703125" style="1" customWidth="1"/>
    <col min="14092" max="14092" width="4.28515625" style="1" customWidth="1"/>
    <col min="14093" max="14093" width="6.85546875" style="1" customWidth="1"/>
    <col min="14094" max="14095" width="2.28515625" style="1" customWidth="1"/>
    <col min="14096" max="14096" width="10.85546875" style="1" customWidth="1"/>
    <col min="14097" max="14097" width="3.85546875" style="1" customWidth="1"/>
    <col min="14098" max="14098" width="2" style="1" customWidth="1"/>
    <col min="14099" max="14099" width="15.5703125" style="1" customWidth="1"/>
    <col min="14100" max="14100" width="1.85546875" style="1" customWidth="1"/>
    <col min="14101" max="14101" width="15.5703125" style="1" customWidth="1"/>
    <col min="14102" max="14102" width="1.85546875" style="1" customWidth="1"/>
    <col min="14103" max="14103" width="15.5703125" style="1" customWidth="1"/>
    <col min="14104" max="14104" width="1.85546875" style="1" customWidth="1"/>
    <col min="14105" max="14105" width="15.5703125" style="1" customWidth="1"/>
    <col min="14106" max="14106" width="3.140625" style="1" customWidth="1"/>
    <col min="14107" max="14107" width="15.5703125" style="1" customWidth="1"/>
    <col min="14108" max="14108" width="14.28515625" style="1" customWidth="1"/>
    <col min="14109" max="14109" width="15.5703125" style="1" customWidth="1"/>
    <col min="14110" max="14110" width="1.85546875" style="1" customWidth="1"/>
    <col min="14111" max="14111" width="15.5703125" style="1" customWidth="1"/>
    <col min="14112" max="14112" width="2.85546875" style="1" customWidth="1"/>
    <col min="14113" max="14345" width="13.85546875" style="1"/>
    <col min="14346" max="14346" width="7" style="1" customWidth="1"/>
    <col min="14347" max="14347" width="16.5703125" style="1" customWidth="1"/>
    <col min="14348" max="14348" width="4.28515625" style="1" customWidth="1"/>
    <col min="14349" max="14349" width="6.85546875" style="1" customWidth="1"/>
    <col min="14350" max="14351" width="2.28515625" style="1" customWidth="1"/>
    <col min="14352" max="14352" width="10.85546875" style="1" customWidth="1"/>
    <col min="14353" max="14353" width="3.85546875" style="1" customWidth="1"/>
    <col min="14354" max="14354" width="2" style="1" customWidth="1"/>
    <col min="14355" max="14355" width="15.5703125" style="1" customWidth="1"/>
    <col min="14356" max="14356" width="1.85546875" style="1" customWidth="1"/>
    <col min="14357" max="14357" width="15.5703125" style="1" customWidth="1"/>
    <col min="14358" max="14358" width="1.85546875" style="1" customWidth="1"/>
    <col min="14359" max="14359" width="15.5703125" style="1" customWidth="1"/>
    <col min="14360" max="14360" width="1.85546875" style="1" customWidth="1"/>
    <col min="14361" max="14361" width="15.5703125" style="1" customWidth="1"/>
    <col min="14362" max="14362" width="3.140625" style="1" customWidth="1"/>
    <col min="14363" max="14363" width="15.5703125" style="1" customWidth="1"/>
    <col min="14364" max="14364" width="14.28515625" style="1" customWidth="1"/>
    <col min="14365" max="14365" width="15.5703125" style="1" customWidth="1"/>
    <col min="14366" max="14366" width="1.85546875" style="1" customWidth="1"/>
    <col min="14367" max="14367" width="15.5703125" style="1" customWidth="1"/>
    <col min="14368" max="14368" width="2.85546875" style="1" customWidth="1"/>
    <col min="14369" max="14601" width="13.85546875" style="1"/>
    <col min="14602" max="14602" width="7" style="1" customWidth="1"/>
    <col min="14603" max="14603" width="16.5703125" style="1" customWidth="1"/>
    <col min="14604" max="14604" width="4.28515625" style="1" customWidth="1"/>
    <col min="14605" max="14605" width="6.85546875" style="1" customWidth="1"/>
    <col min="14606" max="14607" width="2.28515625" style="1" customWidth="1"/>
    <col min="14608" max="14608" width="10.85546875" style="1" customWidth="1"/>
    <col min="14609" max="14609" width="3.85546875" style="1" customWidth="1"/>
    <col min="14610" max="14610" width="2" style="1" customWidth="1"/>
    <col min="14611" max="14611" width="15.5703125" style="1" customWidth="1"/>
    <col min="14612" max="14612" width="1.85546875" style="1" customWidth="1"/>
    <col min="14613" max="14613" width="15.5703125" style="1" customWidth="1"/>
    <col min="14614" max="14614" width="1.85546875" style="1" customWidth="1"/>
    <col min="14615" max="14615" width="15.5703125" style="1" customWidth="1"/>
    <col min="14616" max="14616" width="1.85546875" style="1" customWidth="1"/>
    <col min="14617" max="14617" width="15.5703125" style="1" customWidth="1"/>
    <col min="14618" max="14618" width="3.140625" style="1" customWidth="1"/>
    <col min="14619" max="14619" width="15.5703125" style="1" customWidth="1"/>
    <col min="14620" max="14620" width="14.28515625" style="1" customWidth="1"/>
    <col min="14621" max="14621" width="15.5703125" style="1" customWidth="1"/>
    <col min="14622" max="14622" width="1.85546875" style="1" customWidth="1"/>
    <col min="14623" max="14623" width="15.5703125" style="1" customWidth="1"/>
    <col min="14624" max="14624" width="2.85546875" style="1" customWidth="1"/>
    <col min="14625" max="14857" width="13.85546875" style="1"/>
    <col min="14858" max="14858" width="7" style="1" customWidth="1"/>
    <col min="14859" max="14859" width="16.5703125" style="1" customWidth="1"/>
    <col min="14860" max="14860" width="4.28515625" style="1" customWidth="1"/>
    <col min="14861" max="14861" width="6.85546875" style="1" customWidth="1"/>
    <col min="14862" max="14863" width="2.28515625" style="1" customWidth="1"/>
    <col min="14864" max="14864" width="10.85546875" style="1" customWidth="1"/>
    <col min="14865" max="14865" width="3.85546875" style="1" customWidth="1"/>
    <col min="14866" max="14866" width="2" style="1" customWidth="1"/>
    <col min="14867" max="14867" width="15.5703125" style="1" customWidth="1"/>
    <col min="14868" max="14868" width="1.85546875" style="1" customWidth="1"/>
    <col min="14869" max="14869" width="15.5703125" style="1" customWidth="1"/>
    <col min="14870" max="14870" width="1.85546875" style="1" customWidth="1"/>
    <col min="14871" max="14871" width="15.5703125" style="1" customWidth="1"/>
    <col min="14872" max="14872" width="1.85546875" style="1" customWidth="1"/>
    <col min="14873" max="14873" width="15.5703125" style="1" customWidth="1"/>
    <col min="14874" max="14874" width="3.140625" style="1" customWidth="1"/>
    <col min="14875" max="14875" width="15.5703125" style="1" customWidth="1"/>
    <col min="14876" max="14876" width="14.28515625" style="1" customWidth="1"/>
    <col min="14877" max="14877" width="15.5703125" style="1" customWidth="1"/>
    <col min="14878" max="14878" width="1.85546875" style="1" customWidth="1"/>
    <col min="14879" max="14879" width="15.5703125" style="1" customWidth="1"/>
    <col min="14880" max="14880" width="2.85546875" style="1" customWidth="1"/>
    <col min="14881" max="15113" width="13.85546875" style="1"/>
    <col min="15114" max="15114" width="7" style="1" customWidth="1"/>
    <col min="15115" max="15115" width="16.5703125" style="1" customWidth="1"/>
    <col min="15116" max="15116" width="4.28515625" style="1" customWidth="1"/>
    <col min="15117" max="15117" width="6.85546875" style="1" customWidth="1"/>
    <col min="15118" max="15119" width="2.28515625" style="1" customWidth="1"/>
    <col min="15120" max="15120" width="10.85546875" style="1" customWidth="1"/>
    <col min="15121" max="15121" width="3.85546875" style="1" customWidth="1"/>
    <col min="15122" max="15122" width="2" style="1" customWidth="1"/>
    <col min="15123" max="15123" width="15.5703125" style="1" customWidth="1"/>
    <col min="15124" max="15124" width="1.85546875" style="1" customWidth="1"/>
    <col min="15125" max="15125" width="15.5703125" style="1" customWidth="1"/>
    <col min="15126" max="15126" width="1.85546875" style="1" customWidth="1"/>
    <col min="15127" max="15127" width="15.5703125" style="1" customWidth="1"/>
    <col min="15128" max="15128" width="1.85546875" style="1" customWidth="1"/>
    <col min="15129" max="15129" width="15.5703125" style="1" customWidth="1"/>
    <col min="15130" max="15130" width="3.140625" style="1" customWidth="1"/>
    <col min="15131" max="15131" width="15.5703125" style="1" customWidth="1"/>
    <col min="15132" max="15132" width="14.28515625" style="1" customWidth="1"/>
    <col min="15133" max="15133" width="15.5703125" style="1" customWidth="1"/>
    <col min="15134" max="15134" width="1.85546875" style="1" customWidth="1"/>
    <col min="15135" max="15135" width="15.5703125" style="1" customWidth="1"/>
    <col min="15136" max="15136" width="2.85546875" style="1" customWidth="1"/>
    <col min="15137" max="15369" width="13.85546875" style="1"/>
    <col min="15370" max="15370" width="7" style="1" customWidth="1"/>
    <col min="15371" max="15371" width="16.5703125" style="1" customWidth="1"/>
    <col min="15372" max="15372" width="4.28515625" style="1" customWidth="1"/>
    <col min="15373" max="15373" width="6.85546875" style="1" customWidth="1"/>
    <col min="15374" max="15375" width="2.28515625" style="1" customWidth="1"/>
    <col min="15376" max="15376" width="10.85546875" style="1" customWidth="1"/>
    <col min="15377" max="15377" width="3.85546875" style="1" customWidth="1"/>
    <col min="15378" max="15378" width="2" style="1" customWidth="1"/>
    <col min="15379" max="15379" width="15.5703125" style="1" customWidth="1"/>
    <col min="15380" max="15380" width="1.85546875" style="1" customWidth="1"/>
    <col min="15381" max="15381" width="15.5703125" style="1" customWidth="1"/>
    <col min="15382" max="15382" width="1.85546875" style="1" customWidth="1"/>
    <col min="15383" max="15383" width="15.5703125" style="1" customWidth="1"/>
    <col min="15384" max="15384" width="1.85546875" style="1" customWidth="1"/>
    <col min="15385" max="15385" width="15.5703125" style="1" customWidth="1"/>
    <col min="15386" max="15386" width="3.140625" style="1" customWidth="1"/>
    <col min="15387" max="15387" width="15.5703125" style="1" customWidth="1"/>
    <col min="15388" max="15388" width="14.28515625" style="1" customWidth="1"/>
    <col min="15389" max="15389" width="15.5703125" style="1" customWidth="1"/>
    <col min="15390" max="15390" width="1.85546875" style="1" customWidth="1"/>
    <col min="15391" max="15391" width="15.5703125" style="1" customWidth="1"/>
    <col min="15392" max="15392" width="2.85546875" style="1" customWidth="1"/>
    <col min="15393" max="15625" width="13.85546875" style="1"/>
    <col min="15626" max="15626" width="7" style="1" customWidth="1"/>
    <col min="15627" max="15627" width="16.5703125" style="1" customWidth="1"/>
    <col min="15628" max="15628" width="4.28515625" style="1" customWidth="1"/>
    <col min="15629" max="15629" width="6.85546875" style="1" customWidth="1"/>
    <col min="15630" max="15631" width="2.28515625" style="1" customWidth="1"/>
    <col min="15632" max="15632" width="10.85546875" style="1" customWidth="1"/>
    <col min="15633" max="15633" width="3.85546875" style="1" customWidth="1"/>
    <col min="15634" max="15634" width="2" style="1" customWidth="1"/>
    <col min="15635" max="15635" width="15.5703125" style="1" customWidth="1"/>
    <col min="15636" max="15636" width="1.85546875" style="1" customWidth="1"/>
    <col min="15637" max="15637" width="15.5703125" style="1" customWidth="1"/>
    <col min="15638" max="15638" width="1.85546875" style="1" customWidth="1"/>
    <col min="15639" max="15639" width="15.5703125" style="1" customWidth="1"/>
    <col min="15640" max="15640" width="1.85546875" style="1" customWidth="1"/>
    <col min="15641" max="15641" width="15.5703125" style="1" customWidth="1"/>
    <col min="15642" max="15642" width="3.140625" style="1" customWidth="1"/>
    <col min="15643" max="15643" width="15.5703125" style="1" customWidth="1"/>
    <col min="15644" max="15644" width="14.28515625" style="1" customWidth="1"/>
    <col min="15645" max="15645" width="15.5703125" style="1" customWidth="1"/>
    <col min="15646" max="15646" width="1.85546875" style="1" customWidth="1"/>
    <col min="15647" max="15647" width="15.5703125" style="1" customWidth="1"/>
    <col min="15648" max="15648" width="2.85546875" style="1" customWidth="1"/>
    <col min="15649" max="15881" width="13.85546875" style="1"/>
    <col min="15882" max="15882" width="7" style="1" customWidth="1"/>
    <col min="15883" max="15883" width="16.5703125" style="1" customWidth="1"/>
    <col min="15884" max="15884" width="4.28515625" style="1" customWidth="1"/>
    <col min="15885" max="15885" width="6.85546875" style="1" customWidth="1"/>
    <col min="15886" max="15887" width="2.28515625" style="1" customWidth="1"/>
    <col min="15888" max="15888" width="10.85546875" style="1" customWidth="1"/>
    <col min="15889" max="15889" width="3.85546875" style="1" customWidth="1"/>
    <col min="15890" max="15890" width="2" style="1" customWidth="1"/>
    <col min="15891" max="15891" width="15.5703125" style="1" customWidth="1"/>
    <col min="15892" max="15892" width="1.85546875" style="1" customWidth="1"/>
    <col min="15893" max="15893" width="15.5703125" style="1" customWidth="1"/>
    <col min="15894" max="15894" width="1.85546875" style="1" customWidth="1"/>
    <col min="15895" max="15895" width="15.5703125" style="1" customWidth="1"/>
    <col min="15896" max="15896" width="1.85546875" style="1" customWidth="1"/>
    <col min="15897" max="15897" width="15.5703125" style="1" customWidth="1"/>
    <col min="15898" max="15898" width="3.140625" style="1" customWidth="1"/>
    <col min="15899" max="15899" width="15.5703125" style="1" customWidth="1"/>
    <col min="15900" max="15900" width="14.28515625" style="1" customWidth="1"/>
    <col min="15901" max="15901" width="15.5703125" style="1" customWidth="1"/>
    <col min="15902" max="15902" width="1.85546875" style="1" customWidth="1"/>
    <col min="15903" max="15903" width="15.5703125" style="1" customWidth="1"/>
    <col min="15904" max="15904" width="2.85546875" style="1" customWidth="1"/>
    <col min="15905" max="16137" width="13.85546875" style="1"/>
    <col min="16138" max="16138" width="7" style="1" customWidth="1"/>
    <col min="16139" max="16139" width="16.5703125" style="1" customWidth="1"/>
    <col min="16140" max="16140" width="4.28515625" style="1" customWidth="1"/>
    <col min="16141" max="16141" width="6.85546875" style="1" customWidth="1"/>
    <col min="16142" max="16143" width="2.28515625" style="1" customWidth="1"/>
    <col min="16144" max="16144" width="10.85546875" style="1" customWidth="1"/>
    <col min="16145" max="16145" width="3.85546875" style="1" customWidth="1"/>
    <col min="16146" max="16146" width="2" style="1" customWidth="1"/>
    <col min="16147" max="16147" width="15.5703125" style="1" customWidth="1"/>
    <col min="16148" max="16148" width="1.85546875" style="1" customWidth="1"/>
    <col min="16149" max="16149" width="15.5703125" style="1" customWidth="1"/>
    <col min="16150" max="16150" width="1.85546875" style="1" customWidth="1"/>
    <col min="16151" max="16151" width="15.5703125" style="1" customWidth="1"/>
    <col min="16152" max="16152" width="1.85546875" style="1" customWidth="1"/>
    <col min="16153" max="16153" width="15.5703125" style="1" customWidth="1"/>
    <col min="16154" max="16154" width="3.140625" style="1" customWidth="1"/>
    <col min="16155" max="16155" width="15.5703125" style="1" customWidth="1"/>
    <col min="16156" max="16156" width="14.28515625" style="1" customWidth="1"/>
    <col min="16157" max="16157" width="15.5703125" style="1" customWidth="1"/>
    <col min="16158" max="16158" width="1.85546875" style="1" customWidth="1"/>
    <col min="16159" max="16159" width="15.5703125" style="1" customWidth="1"/>
    <col min="16160" max="16160" width="2.85546875" style="1" customWidth="1"/>
    <col min="16161" max="16384" width="13.85546875" style="1"/>
  </cols>
  <sheetData>
    <row r="1" spans="1:32" s="13" customFormat="1" ht="15.75">
      <c r="A1" s="12" t="s">
        <v>218</v>
      </c>
      <c r="G1" s="168"/>
      <c r="H1" s="168"/>
      <c r="I1" s="169"/>
      <c r="J1" s="168"/>
      <c r="K1" s="170"/>
      <c r="L1" s="168"/>
      <c r="M1" s="169"/>
      <c r="N1" s="171"/>
      <c r="O1" s="172"/>
      <c r="P1" s="168"/>
      <c r="Q1" s="168"/>
      <c r="R1" s="168"/>
      <c r="S1" s="168"/>
      <c r="T1" s="168"/>
      <c r="U1" s="168"/>
      <c r="V1" s="168"/>
      <c r="W1" s="168"/>
      <c r="X1" s="168"/>
      <c r="Y1" s="168"/>
      <c r="Z1" s="168"/>
      <c r="AA1" s="168"/>
      <c r="AB1" s="168"/>
      <c r="AC1" s="168"/>
      <c r="AD1" s="168"/>
      <c r="AE1" s="168"/>
    </row>
    <row r="2" spans="1:32" s="13" customFormat="1" ht="15.75">
      <c r="A2" s="12" t="s">
        <v>382</v>
      </c>
      <c r="G2" s="168"/>
      <c r="H2" s="168"/>
      <c r="I2" s="168"/>
      <c r="J2" s="168"/>
      <c r="K2" s="168"/>
      <c r="L2" s="168"/>
      <c r="M2" s="169"/>
      <c r="N2" s="168"/>
      <c r="O2" s="170"/>
      <c r="P2" s="168"/>
      <c r="Q2" s="168"/>
      <c r="R2" s="168"/>
      <c r="S2" s="168"/>
      <c r="T2" s="168"/>
      <c r="U2" s="168"/>
      <c r="V2" s="168"/>
      <c r="W2" s="168"/>
      <c r="X2" s="168"/>
      <c r="Y2" s="168"/>
      <c r="Z2" s="168"/>
      <c r="AA2" s="168"/>
      <c r="AB2" s="168"/>
      <c r="AC2" s="168"/>
      <c r="AD2" s="168"/>
      <c r="AE2" s="168"/>
    </row>
    <row r="3" spans="1:32" s="13" customFormat="1" ht="15.75">
      <c r="A3" s="152" t="s">
        <v>383</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row>
    <row r="4" spans="1:32" s="20" customFormat="1" ht="15">
      <c r="AE4" s="13"/>
      <c r="AF4" s="13"/>
    </row>
    <row r="5" spans="1:32" s="20" customFormat="1" ht="15.75" thickBot="1">
      <c r="G5" s="24">
        <v>42098</v>
      </c>
      <c r="H5" s="6"/>
      <c r="I5" s="24">
        <v>42129</v>
      </c>
      <c r="J5" s="6"/>
      <c r="K5" s="24">
        <v>42161</v>
      </c>
      <c r="L5" s="6"/>
      <c r="M5" s="24">
        <v>42192</v>
      </c>
      <c r="N5" s="6"/>
      <c r="O5" s="24">
        <v>42224</v>
      </c>
      <c r="P5" s="6"/>
      <c r="Q5" s="24">
        <v>42256</v>
      </c>
      <c r="R5" s="6"/>
      <c r="S5" s="24">
        <v>42287</v>
      </c>
      <c r="T5" s="6"/>
      <c r="U5" s="24">
        <v>42319</v>
      </c>
      <c r="V5" s="6"/>
      <c r="W5" s="24">
        <v>42350</v>
      </c>
      <c r="X5" s="6"/>
      <c r="Y5" s="24">
        <v>42370</v>
      </c>
      <c r="Z5" s="6"/>
      <c r="AA5" s="24">
        <v>42402</v>
      </c>
      <c r="AB5" s="6"/>
      <c r="AC5" s="24">
        <v>42432</v>
      </c>
      <c r="AE5" s="13"/>
    </row>
    <row r="6" spans="1:32" s="20" customFormat="1" ht="5.25" customHeight="1">
      <c r="C6" s="160"/>
      <c r="G6" s="161"/>
      <c r="I6" s="161"/>
      <c r="K6" s="161"/>
      <c r="M6" s="161"/>
      <c r="O6" s="161"/>
      <c r="Q6" s="161"/>
      <c r="S6" s="161"/>
      <c r="U6" s="161"/>
      <c r="W6" s="161"/>
      <c r="Y6" s="161"/>
      <c r="AA6" s="161"/>
      <c r="AC6" s="161"/>
      <c r="AE6" s="13"/>
    </row>
    <row r="7" spans="1:32" s="6" customFormat="1" ht="4.5" customHeight="1">
      <c r="AE7" s="13"/>
    </row>
    <row r="8" spans="1:32" s="6" customFormat="1" outlineLevel="1">
      <c r="A8" s="4">
        <v>10050</v>
      </c>
      <c r="B8" s="4" t="s">
        <v>287</v>
      </c>
      <c r="C8" s="5"/>
      <c r="D8" s="5"/>
      <c r="G8" s="159">
        <v>-3667.39</v>
      </c>
      <c r="I8" s="159">
        <v>-4210.46</v>
      </c>
      <c r="K8" s="159">
        <v>0</v>
      </c>
      <c r="M8" s="159">
        <v>-29192.76</v>
      </c>
      <c r="O8" s="159">
        <v>-29805.06</v>
      </c>
      <c r="Q8" s="159">
        <v>555.41999999999996</v>
      </c>
      <c r="S8" s="159">
        <v>569.07000000000005</v>
      </c>
      <c r="U8" s="159">
        <v>1927.22</v>
      </c>
      <c r="W8" s="159">
        <v>399.51</v>
      </c>
      <c r="Y8" s="159">
        <v>616.54</v>
      </c>
      <c r="AA8" s="159">
        <v>1913.13</v>
      </c>
      <c r="AC8" s="159">
        <v>2219.08</v>
      </c>
    </row>
    <row r="9" spans="1:32" s="6" customFormat="1" outlineLevel="1">
      <c r="A9" s="4">
        <v>10070</v>
      </c>
      <c r="B9" s="4" t="s">
        <v>288</v>
      </c>
      <c r="C9" s="5"/>
      <c r="D9" s="5"/>
      <c r="G9" s="159">
        <v>-9474.4</v>
      </c>
      <c r="I9" s="159">
        <v>-9474.4</v>
      </c>
      <c r="K9" s="159">
        <v>-9474.4</v>
      </c>
      <c r="M9" s="159">
        <v>-9474.4</v>
      </c>
      <c r="O9" s="159">
        <v>-9474.4</v>
      </c>
      <c r="Q9" s="159">
        <v>-9474.4</v>
      </c>
      <c r="S9" s="159">
        <v>-9474.4</v>
      </c>
      <c r="U9" s="159">
        <v>-9474.4</v>
      </c>
      <c r="W9" s="159">
        <v>-9474.4</v>
      </c>
      <c r="Y9" s="159">
        <v>-9474.4</v>
      </c>
      <c r="AA9" s="159">
        <v>-13524.4</v>
      </c>
      <c r="AC9" s="159">
        <v>-15024.4</v>
      </c>
    </row>
    <row r="10" spans="1:32" s="6" customFormat="1" outlineLevel="1">
      <c r="A10" s="4">
        <v>10071</v>
      </c>
      <c r="B10" s="4" t="s">
        <v>289</v>
      </c>
      <c r="C10" s="5"/>
      <c r="D10" s="5"/>
      <c r="G10" s="159">
        <v>9474.4</v>
      </c>
      <c r="I10" s="159">
        <v>9474.4</v>
      </c>
      <c r="K10" s="159">
        <v>9474.4</v>
      </c>
      <c r="M10" s="159">
        <v>9474.4</v>
      </c>
      <c r="O10" s="159">
        <v>9474.4</v>
      </c>
      <c r="Q10" s="159">
        <v>9474.4</v>
      </c>
      <c r="S10" s="159">
        <v>9474.4</v>
      </c>
      <c r="U10" s="159">
        <v>9474.4</v>
      </c>
      <c r="W10" s="159">
        <v>9474.4</v>
      </c>
      <c r="Y10" s="159">
        <v>9474.4</v>
      </c>
      <c r="AA10" s="159">
        <v>13524.4</v>
      </c>
      <c r="AC10" s="159">
        <v>15024.4</v>
      </c>
    </row>
    <row r="11" spans="1:32" s="6" customFormat="1" outlineLevel="1">
      <c r="A11" s="4">
        <v>10095</v>
      </c>
      <c r="B11" s="4" t="s">
        <v>290</v>
      </c>
      <c r="C11" s="5"/>
      <c r="D11" s="5"/>
      <c r="G11" s="159">
        <v>0</v>
      </c>
      <c r="I11" s="159">
        <v>0</v>
      </c>
      <c r="K11" s="159">
        <v>0</v>
      </c>
      <c r="M11" s="159">
        <v>432.01</v>
      </c>
      <c r="O11" s="159">
        <v>432.01</v>
      </c>
      <c r="Q11" s="159">
        <v>251.48</v>
      </c>
      <c r="S11" s="159">
        <v>251.48</v>
      </c>
      <c r="U11" s="159">
        <v>332.3</v>
      </c>
      <c r="W11" s="159">
        <v>332.3</v>
      </c>
      <c r="Y11" s="159">
        <v>404.18</v>
      </c>
      <c r="AA11" s="159">
        <v>1681.26</v>
      </c>
      <c r="AC11" s="159">
        <v>1681.26</v>
      </c>
    </row>
    <row r="12" spans="1:32" s="6" customFormat="1" outlineLevel="1">
      <c r="A12" s="4">
        <v>10096</v>
      </c>
      <c r="B12" s="4" t="s">
        <v>291</v>
      </c>
      <c r="C12" s="5"/>
      <c r="D12" s="5"/>
      <c r="G12" s="159">
        <v>0</v>
      </c>
      <c r="I12" s="159">
        <v>1119.18</v>
      </c>
      <c r="K12" s="159">
        <v>0</v>
      </c>
      <c r="M12" s="159">
        <v>105.69</v>
      </c>
      <c r="O12" s="159">
        <v>0</v>
      </c>
      <c r="Q12" s="159">
        <v>0</v>
      </c>
      <c r="S12" s="159">
        <v>0</v>
      </c>
      <c r="U12" s="159">
        <v>0</v>
      </c>
      <c r="W12" s="159">
        <v>0</v>
      </c>
      <c r="Y12" s="159">
        <v>0</v>
      </c>
      <c r="AA12" s="159">
        <v>-2554.16</v>
      </c>
      <c r="AC12" s="159">
        <v>-2554.16</v>
      </c>
    </row>
    <row r="13" spans="1:32" s="6" customFormat="1" outlineLevel="1">
      <c r="A13" s="4">
        <v>10097</v>
      </c>
      <c r="B13" s="4" t="s">
        <v>377</v>
      </c>
      <c r="C13" s="5"/>
      <c r="D13" s="5"/>
      <c r="G13" s="159">
        <v>125.6</v>
      </c>
      <c r="I13" s="159">
        <v>-390.58</v>
      </c>
      <c r="K13" s="159">
        <v>-1794.85</v>
      </c>
      <c r="M13" s="159">
        <v>-1002.99</v>
      </c>
      <c r="O13" s="159">
        <v>-1965.9</v>
      </c>
      <c r="Q13" s="159">
        <v>-3141.31</v>
      </c>
      <c r="S13" s="159">
        <v>-3484.83</v>
      </c>
      <c r="U13" s="159">
        <v>-3396.93</v>
      </c>
      <c r="W13" s="159">
        <v>-3500.16</v>
      </c>
      <c r="Y13" s="159">
        <v>-3705.12</v>
      </c>
      <c r="AA13" s="159">
        <v>-3705.12</v>
      </c>
      <c r="AC13" s="159">
        <v>-4248.8900000000003</v>
      </c>
    </row>
    <row r="14" spans="1:32" s="6" customFormat="1" outlineLevel="1">
      <c r="A14" s="4">
        <v>10099</v>
      </c>
      <c r="B14" s="4" t="s">
        <v>292</v>
      </c>
      <c r="C14" s="5"/>
      <c r="D14" s="5"/>
      <c r="G14" s="159">
        <v>76.39</v>
      </c>
      <c r="I14" s="159">
        <v>76.39</v>
      </c>
      <c r="K14" s="159">
        <v>76.39</v>
      </c>
      <c r="M14" s="159">
        <v>76.39</v>
      </c>
      <c r="O14" s="159">
        <v>76.39</v>
      </c>
      <c r="Q14" s="159">
        <v>139.71</v>
      </c>
      <c r="S14" s="159">
        <v>139.71</v>
      </c>
      <c r="U14" s="159">
        <v>139.71</v>
      </c>
      <c r="W14" s="159">
        <v>420.3</v>
      </c>
      <c r="Y14" s="159">
        <v>420.3</v>
      </c>
      <c r="AA14" s="159">
        <v>420.3</v>
      </c>
      <c r="AC14" s="159">
        <v>93.86</v>
      </c>
    </row>
    <row r="15" spans="1:32" s="6" customFormat="1" ht="4.5" customHeight="1" outlineLevel="1">
      <c r="G15" s="162"/>
      <c r="I15" s="162"/>
      <c r="K15" s="162"/>
      <c r="M15" s="162"/>
      <c r="O15" s="162"/>
      <c r="Q15" s="162"/>
      <c r="S15" s="162"/>
      <c r="U15" s="162"/>
      <c r="W15" s="162"/>
      <c r="Y15" s="162"/>
      <c r="AA15" s="162"/>
      <c r="AC15" s="162"/>
    </row>
    <row r="16" spans="1:32" s="6" customFormat="1">
      <c r="C16" s="6" t="s">
        <v>293</v>
      </c>
      <c r="G16" s="33">
        <f>SUM(G8:G15)</f>
        <v>-3465.3999999999996</v>
      </c>
      <c r="I16" s="33">
        <f>SUM(I8:I15)</f>
        <v>-3405.4700000000007</v>
      </c>
      <c r="K16" s="33">
        <f>SUM(K8:K15)</f>
        <v>-1718.4599999999998</v>
      </c>
      <c r="M16" s="33">
        <f>SUM(M8:M15)</f>
        <v>-29581.66</v>
      </c>
      <c r="O16" s="33">
        <f>SUM(O8:O15)</f>
        <v>-31262.560000000001</v>
      </c>
      <c r="Q16" s="33">
        <f>SUM(Q8:Q15)</f>
        <v>-2194.6999999999998</v>
      </c>
      <c r="S16" s="33">
        <f>SUM(S8:S15)</f>
        <v>-2524.5700000000002</v>
      </c>
      <c r="U16" s="33">
        <f>SUM(U8:U15)</f>
        <v>-997.69999999999936</v>
      </c>
      <c r="W16" s="33">
        <f>SUM(W8:W15)</f>
        <v>-2348.0499999999993</v>
      </c>
      <c r="Y16" s="33">
        <f>SUM(Y8:Y15)</f>
        <v>-2264.1000000000004</v>
      </c>
      <c r="AA16" s="33">
        <f>SUM(AA8:AA15)</f>
        <v>-2244.59</v>
      </c>
      <c r="AC16" s="33">
        <f>SUM(AC8:AC15)</f>
        <v>-2808.85</v>
      </c>
    </row>
    <row r="17" spans="1:29" s="6" customFormat="1" outlineLevel="1">
      <c r="A17" s="4">
        <v>11501</v>
      </c>
      <c r="B17" s="4" t="s">
        <v>294</v>
      </c>
      <c r="C17" s="5"/>
      <c r="D17" s="5"/>
      <c r="G17" s="159">
        <v>89690.45</v>
      </c>
      <c r="I17" s="159">
        <v>85532.98</v>
      </c>
      <c r="K17" s="159">
        <v>87967.679999999993</v>
      </c>
      <c r="M17" s="159">
        <v>70269.679999999993</v>
      </c>
      <c r="O17" s="159">
        <v>78188.92</v>
      </c>
      <c r="Q17" s="159">
        <v>87913.63</v>
      </c>
      <c r="S17" s="159">
        <v>89117.61</v>
      </c>
      <c r="U17" s="159">
        <v>84108.41</v>
      </c>
      <c r="W17" s="159">
        <v>94125.15</v>
      </c>
      <c r="Y17" s="159">
        <v>90433.14</v>
      </c>
      <c r="AA17" s="159">
        <v>101560.43</v>
      </c>
      <c r="AC17" s="159">
        <v>89676.96</v>
      </c>
    </row>
    <row r="18" spans="1:29" s="6" customFormat="1" outlineLevel="1">
      <c r="A18" s="4">
        <v>11901</v>
      </c>
      <c r="B18" s="4" t="s">
        <v>295</v>
      </c>
      <c r="C18" s="5"/>
      <c r="D18" s="5"/>
      <c r="G18" s="159">
        <v>-5827</v>
      </c>
      <c r="I18" s="159">
        <v>-6077.64</v>
      </c>
      <c r="K18" s="159">
        <v>-8266.43</v>
      </c>
      <c r="M18" s="159">
        <v>-8606.7199999999993</v>
      </c>
      <c r="O18" s="159">
        <v>-14683.91</v>
      </c>
      <c r="Q18" s="159">
        <v>-14741.76</v>
      </c>
      <c r="S18" s="159">
        <v>-14427.49</v>
      </c>
      <c r="U18" s="159">
        <v>-13744.46</v>
      </c>
      <c r="W18" s="159">
        <v>-12228.45</v>
      </c>
      <c r="Y18" s="159">
        <v>-12764.25</v>
      </c>
      <c r="AA18" s="159">
        <v>-14486.51</v>
      </c>
      <c r="AC18" s="159">
        <v>-16199</v>
      </c>
    </row>
    <row r="19" spans="1:29" s="6" customFormat="1" outlineLevel="1">
      <c r="A19" s="4">
        <v>11902</v>
      </c>
      <c r="B19" s="4" t="s">
        <v>296</v>
      </c>
      <c r="C19" s="5"/>
      <c r="D19" s="5"/>
      <c r="G19" s="159">
        <v>4259.07</v>
      </c>
      <c r="I19" s="159">
        <v>4912.82</v>
      </c>
      <c r="K19" s="159">
        <v>8099.32</v>
      </c>
      <c r="M19" s="159">
        <v>8576.66</v>
      </c>
      <c r="O19" s="159">
        <v>8590.2000000000007</v>
      </c>
      <c r="Q19" s="159">
        <v>9815.86</v>
      </c>
      <c r="S19" s="159">
        <v>10620.75</v>
      </c>
      <c r="U19" s="159">
        <v>12000.19</v>
      </c>
      <c r="W19" s="159">
        <v>10422.030000000001</v>
      </c>
      <c r="Y19" s="159">
        <v>11334.42</v>
      </c>
      <c r="AA19" s="159">
        <v>11479.25</v>
      </c>
      <c r="AC19" s="159">
        <v>12862.2</v>
      </c>
    </row>
    <row r="20" spans="1:29" s="6" customFormat="1" outlineLevel="1">
      <c r="A20" s="4">
        <v>11903</v>
      </c>
      <c r="B20" s="4" t="s">
        <v>297</v>
      </c>
      <c r="C20" s="5"/>
      <c r="D20" s="5"/>
      <c r="G20" s="159">
        <v>-163.5</v>
      </c>
      <c r="I20" s="159">
        <v>-205.5</v>
      </c>
      <c r="K20" s="159">
        <v>-205.5</v>
      </c>
      <c r="M20" s="159">
        <v>-810.53</v>
      </c>
      <c r="O20" s="159">
        <v>-1271.8499999999999</v>
      </c>
      <c r="Q20" s="159">
        <v>-1271.8499999999999</v>
      </c>
      <c r="S20" s="159">
        <v>-1321.85</v>
      </c>
      <c r="U20" s="159">
        <v>-1448.44</v>
      </c>
      <c r="W20" s="159">
        <v>-2147.89</v>
      </c>
      <c r="Y20" s="159">
        <v>-2329.4</v>
      </c>
      <c r="AA20" s="159">
        <v>-2668.77</v>
      </c>
      <c r="AC20" s="159">
        <v>-2669.95</v>
      </c>
    </row>
    <row r="21" spans="1:29" s="6" customFormat="1" outlineLevel="1">
      <c r="A21" s="4">
        <v>11905</v>
      </c>
      <c r="B21" s="4" t="s">
        <v>298</v>
      </c>
      <c r="C21" s="5"/>
      <c r="D21" s="5"/>
      <c r="G21" s="159">
        <v>-2080.1799999999998</v>
      </c>
      <c r="I21" s="159">
        <v>-2080.1799999999998</v>
      </c>
      <c r="K21" s="159">
        <v>-2080.1799999999998</v>
      </c>
      <c r="M21" s="159">
        <v>-2080.1799999999998</v>
      </c>
      <c r="O21" s="159">
        <v>-2080.1799999999998</v>
      </c>
      <c r="Q21" s="159">
        <v>-2080.1799999999998</v>
      </c>
      <c r="S21" s="159">
        <v>-2080.1799999999998</v>
      </c>
      <c r="U21" s="159">
        <v>-2080.1799999999998</v>
      </c>
      <c r="W21" s="159">
        <v>0</v>
      </c>
      <c r="Y21" s="159">
        <v>0</v>
      </c>
      <c r="AA21" s="159">
        <v>0</v>
      </c>
      <c r="AC21" s="159">
        <v>0</v>
      </c>
    </row>
    <row r="22" spans="1:29" s="6" customFormat="1" ht="5.0999999999999996" customHeight="1" outlineLevel="1">
      <c r="A22" s="5"/>
      <c r="B22" s="5"/>
      <c r="C22" s="5"/>
      <c r="D22" s="5"/>
      <c r="G22" s="36"/>
      <c r="I22" s="36"/>
      <c r="K22" s="36"/>
      <c r="M22" s="36"/>
      <c r="O22" s="36"/>
      <c r="Q22" s="36"/>
      <c r="S22" s="36"/>
      <c r="U22" s="36"/>
      <c r="W22" s="36"/>
      <c r="Y22" s="36"/>
      <c r="AA22" s="36"/>
      <c r="AC22" s="36"/>
    </row>
    <row r="23" spans="1:29" s="6" customFormat="1">
      <c r="C23" s="4" t="s">
        <v>299</v>
      </c>
      <c r="G23" s="33">
        <f>SUM(G17:G22)</f>
        <v>85878.84</v>
      </c>
      <c r="I23" s="33">
        <f>SUM(I17:I22)</f>
        <v>82082.48000000001</v>
      </c>
      <c r="K23" s="33">
        <f>SUM(K17:K22)</f>
        <v>85514.890000000014</v>
      </c>
      <c r="M23" s="33">
        <f>SUM(M17:M22)</f>
        <v>67348.91</v>
      </c>
      <c r="O23" s="33">
        <f>SUM(O17:O22)</f>
        <v>68743.179999999993</v>
      </c>
      <c r="Q23" s="33">
        <f>SUM(Q17:Q22)</f>
        <v>79635.700000000012</v>
      </c>
      <c r="S23" s="33">
        <f>SUM(S17:S22)</f>
        <v>81908.84</v>
      </c>
      <c r="U23" s="33">
        <f>SUM(U17:U22)</f>
        <v>78835.520000000019</v>
      </c>
      <c r="W23" s="33">
        <f>SUM(W17:W22)</f>
        <v>90170.84</v>
      </c>
      <c r="Y23" s="33">
        <f>SUM(Y17:Y22)</f>
        <v>86673.91</v>
      </c>
      <c r="AA23" s="33">
        <f>SUM(AA17:AA22)</f>
        <v>95884.4</v>
      </c>
      <c r="AC23" s="33">
        <f>SUM(AC17:AC22)</f>
        <v>83670.210000000006</v>
      </c>
    </row>
    <row r="24" spans="1:29" s="6" customFormat="1" outlineLevel="1">
      <c r="A24" s="4">
        <v>12005</v>
      </c>
      <c r="B24" s="4" t="s">
        <v>300</v>
      </c>
      <c r="C24" s="5"/>
      <c r="D24" s="5"/>
      <c r="G24" s="159">
        <v>0</v>
      </c>
      <c r="I24" s="159">
        <v>0</v>
      </c>
      <c r="K24" s="159">
        <v>0</v>
      </c>
      <c r="M24" s="159">
        <v>0</v>
      </c>
      <c r="O24" s="159">
        <v>0</v>
      </c>
      <c r="Q24" s="159">
        <v>1900</v>
      </c>
      <c r="S24" s="159">
        <v>1900</v>
      </c>
      <c r="U24" s="159">
        <v>1900</v>
      </c>
      <c r="W24" s="159">
        <v>1900</v>
      </c>
      <c r="Y24" s="159">
        <v>1900</v>
      </c>
      <c r="AA24" s="159">
        <v>1900</v>
      </c>
      <c r="AC24" s="159">
        <v>1900</v>
      </c>
    </row>
    <row r="25" spans="1:29" s="6" customFormat="1" ht="5.0999999999999996" customHeight="1" outlineLevel="1">
      <c r="A25" s="5"/>
      <c r="B25" s="5"/>
      <c r="C25" s="5"/>
      <c r="D25" s="5"/>
      <c r="G25" s="36"/>
      <c r="I25" s="36"/>
      <c r="K25" s="36"/>
      <c r="M25" s="36"/>
      <c r="O25" s="36"/>
      <c r="Q25" s="36"/>
      <c r="S25" s="36"/>
      <c r="U25" s="36"/>
      <c r="W25" s="36"/>
      <c r="Y25" s="36"/>
      <c r="AA25" s="36"/>
      <c r="AC25" s="36"/>
    </row>
    <row r="26" spans="1:29" s="6" customFormat="1">
      <c r="C26" s="4" t="s">
        <v>301</v>
      </c>
      <c r="G26" s="33">
        <f>SUM(G24:G25)</f>
        <v>0</v>
      </c>
      <c r="I26" s="33">
        <f>SUM(I24:I25)</f>
        <v>0</v>
      </c>
      <c r="K26" s="33">
        <f>SUM(K24:K25)</f>
        <v>0</v>
      </c>
      <c r="M26" s="33">
        <f>SUM(M24:M25)</f>
        <v>0</v>
      </c>
      <c r="O26" s="33">
        <f>SUM(O24:O25)</f>
        <v>0</v>
      </c>
      <c r="Q26" s="33">
        <f>SUM(Q24:Q25)</f>
        <v>1900</v>
      </c>
      <c r="S26" s="33">
        <f>SUM(S24:S25)</f>
        <v>1900</v>
      </c>
      <c r="U26" s="33">
        <f>SUM(U24:U25)</f>
        <v>1900</v>
      </c>
      <c r="W26" s="33">
        <f>SUM(W24:W25)</f>
        <v>1900</v>
      </c>
      <c r="Y26" s="33">
        <f>SUM(Y24:Y25)</f>
        <v>1900</v>
      </c>
      <c r="AA26" s="33">
        <f>SUM(AA24:AA25)</f>
        <v>1900</v>
      </c>
      <c r="AC26" s="33">
        <f>SUM(AC24:AC25)</f>
        <v>1900</v>
      </c>
    </row>
    <row r="27" spans="1:29" s="6" customFormat="1" outlineLevel="1">
      <c r="A27" s="4">
        <v>13001</v>
      </c>
      <c r="B27" s="4" t="s">
        <v>302</v>
      </c>
      <c r="C27" s="5"/>
      <c r="D27" s="5"/>
      <c r="G27" s="159">
        <v>7545.9</v>
      </c>
      <c r="I27" s="159">
        <v>6602.68</v>
      </c>
      <c r="K27" s="159">
        <v>5659.46</v>
      </c>
      <c r="M27" s="159">
        <v>4716.24</v>
      </c>
      <c r="O27" s="159">
        <v>3773.02</v>
      </c>
      <c r="Q27" s="159">
        <v>2829.8</v>
      </c>
      <c r="S27" s="159">
        <v>1886.58</v>
      </c>
      <c r="U27" s="159">
        <v>943.36</v>
      </c>
      <c r="W27" s="159">
        <v>0.09</v>
      </c>
      <c r="Y27" s="159">
        <v>0.09</v>
      </c>
      <c r="AA27" s="159">
        <v>3174.12</v>
      </c>
      <c r="AC27" s="159">
        <v>2856.8</v>
      </c>
    </row>
    <row r="28" spans="1:29" s="6" customFormat="1" outlineLevel="1">
      <c r="A28" s="4">
        <v>13007</v>
      </c>
      <c r="B28" s="4" t="s">
        <v>303</v>
      </c>
      <c r="C28" s="5"/>
      <c r="D28" s="5"/>
      <c r="G28" s="159">
        <v>750</v>
      </c>
      <c r="I28" s="159">
        <v>750</v>
      </c>
      <c r="K28" s="159">
        <v>750</v>
      </c>
      <c r="M28" s="159">
        <v>750</v>
      </c>
      <c r="O28" s="159">
        <v>750</v>
      </c>
      <c r="Q28" s="159">
        <v>750</v>
      </c>
      <c r="S28" s="159">
        <v>750</v>
      </c>
      <c r="U28" s="159">
        <v>750</v>
      </c>
      <c r="W28" s="159">
        <v>750</v>
      </c>
      <c r="Y28" s="159">
        <v>750</v>
      </c>
      <c r="AA28" s="159">
        <v>750</v>
      </c>
      <c r="AC28" s="159">
        <v>750</v>
      </c>
    </row>
    <row r="29" spans="1:29" s="6" customFormat="1" outlineLevel="1">
      <c r="A29" s="4">
        <v>13008</v>
      </c>
      <c r="B29" s="4" t="s">
        <v>304</v>
      </c>
      <c r="C29" s="5"/>
      <c r="D29" s="5"/>
      <c r="G29" s="159">
        <v>376.02</v>
      </c>
      <c r="I29" s="159">
        <v>2855.71</v>
      </c>
      <c r="K29" s="159">
        <v>0</v>
      </c>
      <c r="M29" s="159">
        <v>12.87</v>
      </c>
      <c r="O29" s="159">
        <v>0</v>
      </c>
      <c r="Q29" s="159">
        <v>0</v>
      </c>
      <c r="S29" s="159">
        <v>0</v>
      </c>
      <c r="U29" s="159">
        <v>0</v>
      </c>
      <c r="W29" s="159">
        <v>0</v>
      </c>
      <c r="Y29" s="159">
        <v>0</v>
      </c>
      <c r="AA29" s="159">
        <v>0</v>
      </c>
      <c r="AC29" s="159">
        <v>0</v>
      </c>
    </row>
    <row r="30" spans="1:29" s="6" customFormat="1" ht="3.75" customHeight="1" outlineLevel="1">
      <c r="A30" s="5"/>
      <c r="B30" s="5"/>
      <c r="C30" s="5"/>
      <c r="D30" s="5"/>
      <c r="G30" s="36"/>
      <c r="I30" s="36"/>
      <c r="K30" s="36"/>
      <c r="M30" s="36"/>
      <c r="O30" s="36"/>
      <c r="Q30" s="36"/>
      <c r="S30" s="36"/>
      <c r="U30" s="36"/>
      <c r="W30" s="36"/>
      <c r="Y30" s="36"/>
      <c r="AA30" s="36"/>
      <c r="AC30" s="36"/>
    </row>
    <row r="31" spans="1:29" s="6" customFormat="1">
      <c r="C31" s="4" t="s">
        <v>305</v>
      </c>
      <c r="G31" s="33">
        <f>SUM(G27:G30)</f>
        <v>8671.92</v>
      </c>
      <c r="I31" s="33">
        <f>SUM(I27:I30)</f>
        <v>10208.39</v>
      </c>
      <c r="K31" s="33">
        <f>SUM(K27:K30)</f>
        <v>6409.46</v>
      </c>
      <c r="M31" s="33">
        <f>SUM(M27:M30)</f>
        <v>5479.11</v>
      </c>
      <c r="O31" s="33">
        <f>SUM(O27:O30)</f>
        <v>4523.0200000000004</v>
      </c>
      <c r="Q31" s="33">
        <f>SUM(Q27:Q30)</f>
        <v>3579.8</v>
      </c>
      <c r="S31" s="33">
        <f>SUM(S27:S30)</f>
        <v>2636.58</v>
      </c>
      <c r="U31" s="33">
        <f>SUM(U27:U30)</f>
        <v>1693.3600000000001</v>
      </c>
      <c r="W31" s="33">
        <f>SUM(W27:W30)</f>
        <v>750.09</v>
      </c>
      <c r="Y31" s="33">
        <f>SUM(Y27:Y30)</f>
        <v>750.09</v>
      </c>
      <c r="AA31" s="33">
        <f>SUM(AA27:AA30)</f>
        <v>3924.12</v>
      </c>
      <c r="AC31" s="33">
        <f>SUM(AC27:AC30)</f>
        <v>3606.8</v>
      </c>
    </row>
    <row r="32" spans="1:29" s="150" customFormat="1" outlineLevel="1"/>
    <row r="33" spans="1:29" s="6" customFormat="1" ht="3.75" customHeight="1" outlineLevel="1">
      <c r="A33" s="5"/>
      <c r="B33" s="5"/>
      <c r="C33" s="5"/>
      <c r="D33" s="5"/>
      <c r="G33" s="36"/>
      <c r="I33" s="36"/>
      <c r="K33" s="36"/>
      <c r="M33" s="36"/>
      <c r="O33" s="36"/>
      <c r="Q33" s="36"/>
      <c r="S33" s="36"/>
      <c r="U33" s="36"/>
      <c r="W33" s="36"/>
      <c r="Y33" s="36"/>
      <c r="AA33" s="36"/>
      <c r="AC33" s="36"/>
    </row>
    <row r="34" spans="1:29" s="6" customFormat="1">
      <c r="C34" s="4" t="s">
        <v>306</v>
      </c>
      <c r="G34" s="33">
        <f>SUM(G32:G33)</f>
        <v>0</v>
      </c>
      <c r="I34" s="33">
        <f>SUM(I32:I33)</f>
        <v>0</v>
      </c>
      <c r="K34" s="33">
        <f>SUM(K32:K33)</f>
        <v>0</v>
      </c>
      <c r="M34" s="33">
        <f>SUM(M32:M33)</f>
        <v>0</v>
      </c>
      <c r="O34" s="33">
        <f>SUM(O32:O33)</f>
        <v>0</v>
      </c>
      <c r="Q34" s="33">
        <f>SUM(Q32:Q33)</f>
        <v>0</v>
      </c>
      <c r="S34" s="33">
        <f>SUM(S32:S33)</f>
        <v>0</v>
      </c>
      <c r="U34" s="33">
        <f>SUM(U32:U33)</f>
        <v>0</v>
      </c>
      <c r="W34" s="33">
        <f>SUM(W32:W33)</f>
        <v>0</v>
      </c>
      <c r="Y34" s="33">
        <f>SUM(Y32:Y33)</f>
        <v>0</v>
      </c>
      <c r="AA34" s="33">
        <f>SUM(AA32:AA33)</f>
        <v>0</v>
      </c>
      <c r="AC34" s="33">
        <f>SUM(AC32:AC33)</f>
        <v>0</v>
      </c>
    </row>
    <row r="35" spans="1:29" s="6" customFormat="1" ht="7.5" customHeight="1">
      <c r="G35" s="35"/>
      <c r="I35" s="35"/>
      <c r="K35" s="35"/>
      <c r="M35" s="35"/>
      <c r="O35" s="35"/>
      <c r="Q35" s="35"/>
      <c r="S35" s="35"/>
      <c r="U35" s="35"/>
      <c r="W35" s="35"/>
      <c r="Y35" s="35"/>
      <c r="AA35" s="35"/>
      <c r="AC35" s="35"/>
    </row>
    <row r="36" spans="1:29" s="6" customFormat="1">
      <c r="B36" s="38" t="s">
        <v>307</v>
      </c>
      <c r="G36" s="39">
        <f>SUM(G16,G23,G26,G31,G34)</f>
        <v>91085.36</v>
      </c>
      <c r="I36" s="39">
        <f>SUM(I16,I23,I26,I31,I34)</f>
        <v>88885.400000000009</v>
      </c>
      <c r="K36" s="39">
        <f>SUM(K16,K23,K26,K31,K34)</f>
        <v>90205.890000000014</v>
      </c>
      <c r="M36" s="39">
        <f>SUM(M16,M23,M26,M31,M34)</f>
        <v>43246.36</v>
      </c>
      <c r="O36" s="39">
        <f>SUM(O16,O23,O26,O31,O34)</f>
        <v>42003.64</v>
      </c>
      <c r="Q36" s="39">
        <f>SUM(Q16,Q23,Q26,Q31,Q34)</f>
        <v>82920.800000000017</v>
      </c>
      <c r="S36" s="39">
        <f>SUM(S16,S23,S26,S31,S34)</f>
        <v>83920.849999999991</v>
      </c>
      <c r="U36" s="39">
        <f>SUM(U16,U23,U26,U31,U34)</f>
        <v>81431.180000000022</v>
      </c>
      <c r="W36" s="39">
        <f>SUM(W16,W23,W26,W31,W34)</f>
        <v>90472.87999999999</v>
      </c>
      <c r="Y36" s="39">
        <f>SUM(Y16,Y23,Y26,Y31,Y34)</f>
        <v>87059.9</v>
      </c>
      <c r="AA36" s="39">
        <f>SUM(AA16,AA23,AA26,AA31,AA34)</f>
        <v>99463.93</v>
      </c>
      <c r="AC36" s="39">
        <f>SUM(AC16,AC23,AC26,AC31,AC34)</f>
        <v>86368.16</v>
      </c>
    </row>
    <row r="37" spans="1:29" s="6" customFormat="1" ht="7.5" customHeight="1">
      <c r="G37" s="35"/>
      <c r="I37" s="35"/>
      <c r="K37" s="35"/>
      <c r="M37" s="35"/>
      <c r="O37" s="35"/>
      <c r="Q37" s="35"/>
      <c r="S37" s="35"/>
      <c r="U37" s="35"/>
      <c r="W37" s="35"/>
      <c r="Y37" s="35"/>
      <c r="AA37" s="35"/>
      <c r="AC37" s="35"/>
    </row>
    <row r="38" spans="1:29" s="6" customFormat="1" outlineLevel="1">
      <c r="G38" s="35"/>
      <c r="I38" s="35"/>
      <c r="K38" s="35"/>
      <c r="M38" s="35"/>
      <c r="O38" s="35"/>
      <c r="Q38" s="35"/>
      <c r="S38" s="35"/>
      <c r="U38" s="35"/>
      <c r="W38" s="35"/>
      <c r="Y38" s="35"/>
      <c r="AA38" s="35"/>
      <c r="AC38" s="35"/>
    </row>
    <row r="39" spans="1:29" s="6" customFormat="1" outlineLevel="1">
      <c r="A39" s="4">
        <v>14032</v>
      </c>
      <c r="B39" s="4" t="s">
        <v>308</v>
      </c>
      <c r="C39" s="5"/>
      <c r="D39" s="5"/>
      <c r="G39" s="159">
        <v>4500</v>
      </c>
      <c r="I39" s="159">
        <v>4500</v>
      </c>
      <c r="K39" s="159">
        <v>4500</v>
      </c>
      <c r="M39" s="159">
        <v>4500</v>
      </c>
      <c r="O39" s="159">
        <v>4500</v>
      </c>
      <c r="Q39" s="159">
        <v>4500</v>
      </c>
      <c r="S39" s="159">
        <v>4500</v>
      </c>
      <c r="U39" s="159">
        <v>4500</v>
      </c>
      <c r="W39" s="159">
        <v>4500</v>
      </c>
      <c r="Y39" s="159">
        <v>4500</v>
      </c>
      <c r="AA39" s="159">
        <v>4500</v>
      </c>
      <c r="AC39" s="159">
        <v>4500</v>
      </c>
    </row>
    <row r="40" spans="1:29" s="6" customFormat="1" outlineLevel="1">
      <c r="A40" s="4">
        <v>14034</v>
      </c>
      <c r="B40" s="4" t="s">
        <v>309</v>
      </c>
      <c r="C40" s="5"/>
      <c r="D40" s="5"/>
      <c r="G40" s="159">
        <v>-4500</v>
      </c>
      <c r="I40" s="159">
        <v>-4500</v>
      </c>
      <c r="K40" s="159">
        <v>-4500</v>
      </c>
      <c r="M40" s="159">
        <v>-4500</v>
      </c>
      <c r="O40" s="159">
        <v>-4500</v>
      </c>
      <c r="Q40" s="159">
        <v>-4500</v>
      </c>
      <c r="S40" s="159">
        <v>-4500</v>
      </c>
      <c r="U40" s="159">
        <v>-4500</v>
      </c>
      <c r="W40" s="159">
        <v>-4500</v>
      </c>
      <c r="Y40" s="159">
        <v>-4500</v>
      </c>
      <c r="AA40" s="159">
        <v>-4500</v>
      </c>
      <c r="AC40" s="159">
        <v>-4500</v>
      </c>
    </row>
    <row r="41" spans="1:29" s="6" customFormat="1" outlineLevel="1">
      <c r="A41" s="4">
        <v>14036</v>
      </c>
      <c r="B41" s="4" t="s">
        <v>310</v>
      </c>
      <c r="C41" s="5"/>
      <c r="D41" s="5"/>
      <c r="G41" s="159">
        <v>-125.01</v>
      </c>
      <c r="I41" s="159">
        <v>-125.01</v>
      </c>
      <c r="K41" s="159">
        <v>-125.01</v>
      </c>
      <c r="M41" s="159">
        <v>-125.01</v>
      </c>
      <c r="O41" s="159">
        <v>-125.01</v>
      </c>
      <c r="Q41" s="159">
        <v>-125.01</v>
      </c>
      <c r="S41" s="159">
        <v>-125.01</v>
      </c>
      <c r="U41" s="159">
        <v>-125.01</v>
      </c>
      <c r="W41" s="159">
        <v>-125.01</v>
      </c>
      <c r="Y41" s="159">
        <v>-125.01</v>
      </c>
      <c r="AA41" s="159">
        <v>-125.01</v>
      </c>
      <c r="AC41" s="159">
        <v>-125.01</v>
      </c>
    </row>
    <row r="42" spans="1:29" s="6" customFormat="1" outlineLevel="1">
      <c r="A42" s="4">
        <v>14038</v>
      </c>
      <c r="B42" s="4" t="s">
        <v>309</v>
      </c>
      <c r="C42" s="5"/>
      <c r="D42" s="5"/>
      <c r="G42" s="159">
        <v>125.01</v>
      </c>
      <c r="I42" s="159">
        <v>125.01</v>
      </c>
      <c r="K42" s="159">
        <v>125.01</v>
      </c>
      <c r="M42" s="159">
        <v>125.01</v>
      </c>
      <c r="O42" s="159">
        <v>125.01</v>
      </c>
      <c r="Q42" s="159">
        <v>125.01</v>
      </c>
      <c r="S42" s="159">
        <v>125.01</v>
      </c>
      <c r="U42" s="159">
        <v>125.01</v>
      </c>
      <c r="W42" s="159">
        <v>125.01</v>
      </c>
      <c r="Y42" s="159">
        <v>125.01</v>
      </c>
      <c r="AA42" s="159">
        <v>125.01</v>
      </c>
      <c r="AC42" s="159">
        <v>125.01</v>
      </c>
    </row>
    <row r="43" spans="1:29" s="6" customFormat="1" outlineLevel="1">
      <c r="A43" s="4">
        <v>14041</v>
      </c>
      <c r="B43" s="4" t="s">
        <v>311</v>
      </c>
      <c r="C43" s="5"/>
      <c r="D43" s="5"/>
      <c r="G43" s="159">
        <v>187599.65</v>
      </c>
      <c r="I43" s="159">
        <v>187599.65</v>
      </c>
      <c r="K43" s="159">
        <v>187599.65</v>
      </c>
      <c r="M43" s="159">
        <v>252804.82</v>
      </c>
      <c r="O43" s="159">
        <v>252804.82</v>
      </c>
      <c r="Q43" s="159">
        <v>265314.75</v>
      </c>
      <c r="S43" s="159">
        <v>265314.75</v>
      </c>
      <c r="U43" s="159">
        <v>265314.75</v>
      </c>
      <c r="W43" s="159">
        <v>403496.84</v>
      </c>
      <c r="Y43" s="159">
        <v>607685.68999999994</v>
      </c>
      <c r="AA43" s="159">
        <v>607685.68999999994</v>
      </c>
      <c r="AC43" s="159">
        <v>607685.68999999994</v>
      </c>
    </row>
    <row r="44" spans="1:29" s="6" customFormat="1" outlineLevel="1">
      <c r="A44" s="4">
        <v>14042</v>
      </c>
      <c r="B44" s="4" t="s">
        <v>312</v>
      </c>
      <c r="C44" s="5"/>
      <c r="D44" s="5"/>
      <c r="G44" s="159">
        <v>57883.199999999997</v>
      </c>
      <c r="I44" s="159">
        <v>57883.199999999997</v>
      </c>
      <c r="K44" s="159">
        <v>57883.199999999997</v>
      </c>
      <c r="M44" s="159">
        <v>57883.199999999997</v>
      </c>
      <c r="O44" s="159">
        <v>57883.199999999997</v>
      </c>
      <c r="Q44" s="159">
        <v>57883.199999999997</v>
      </c>
      <c r="S44" s="159">
        <v>57883.199999999997</v>
      </c>
      <c r="U44" s="159">
        <v>57883.199999999997</v>
      </c>
      <c r="W44" s="159">
        <v>57883.199999999997</v>
      </c>
      <c r="Y44" s="159">
        <v>57883.199999999997</v>
      </c>
      <c r="AA44" s="159">
        <v>57883.199999999997</v>
      </c>
      <c r="AC44" s="159">
        <v>57883.199999999997</v>
      </c>
    </row>
    <row r="45" spans="1:29" s="6" customFormat="1" outlineLevel="1">
      <c r="A45" s="4">
        <v>14043</v>
      </c>
      <c r="B45" s="4" t="s">
        <v>313</v>
      </c>
      <c r="C45" s="5"/>
      <c r="D45" s="5"/>
      <c r="G45" s="159">
        <v>190786.88</v>
      </c>
      <c r="I45" s="159">
        <v>190786.88</v>
      </c>
      <c r="K45" s="159">
        <v>190786.88</v>
      </c>
      <c r="M45" s="159">
        <v>190786.88</v>
      </c>
      <c r="O45" s="159">
        <v>190786.88</v>
      </c>
      <c r="Q45" s="159">
        <v>190786.88</v>
      </c>
      <c r="S45" s="159">
        <v>190786.88</v>
      </c>
      <c r="U45" s="159">
        <v>190786.88</v>
      </c>
      <c r="W45" s="159">
        <v>190786.88</v>
      </c>
      <c r="Y45" s="159">
        <v>207786.88</v>
      </c>
      <c r="AA45" s="159">
        <v>207786.88</v>
      </c>
      <c r="AC45" s="159">
        <v>207786.88</v>
      </c>
    </row>
    <row r="46" spans="1:29" s="6" customFormat="1" outlineLevel="1">
      <c r="A46" s="4">
        <v>14044</v>
      </c>
      <c r="B46" s="4" t="s">
        <v>314</v>
      </c>
      <c r="C46" s="5"/>
      <c r="D46" s="5"/>
      <c r="G46" s="159">
        <v>-883.2</v>
      </c>
      <c r="I46" s="159">
        <v>-883.2</v>
      </c>
      <c r="K46" s="159">
        <v>-883.2</v>
      </c>
      <c r="M46" s="159">
        <v>-883.2</v>
      </c>
      <c r="O46" s="159">
        <v>-883.2</v>
      </c>
      <c r="Q46" s="159">
        <v>-883.2</v>
      </c>
      <c r="S46" s="159">
        <v>-883.2</v>
      </c>
      <c r="U46" s="159">
        <v>-883.2</v>
      </c>
      <c r="W46" s="159">
        <v>-883.2</v>
      </c>
      <c r="Y46" s="159">
        <v>-883.2</v>
      </c>
      <c r="AA46" s="159">
        <v>-40009.550000000003</v>
      </c>
      <c r="AC46" s="159">
        <v>-57954.15</v>
      </c>
    </row>
    <row r="47" spans="1:29" s="6" customFormat="1" outlineLevel="1">
      <c r="A47" s="4">
        <v>14046</v>
      </c>
      <c r="B47" s="4" t="s">
        <v>315</v>
      </c>
      <c r="C47" s="5"/>
      <c r="D47" s="5"/>
      <c r="G47" s="159">
        <v>-16039.38</v>
      </c>
      <c r="I47" s="159">
        <v>-22185.84</v>
      </c>
      <c r="K47" s="159">
        <v>-28332.35</v>
      </c>
      <c r="M47" s="159">
        <v>-35010.71</v>
      </c>
      <c r="O47" s="159">
        <v>-42761.57</v>
      </c>
      <c r="Q47" s="159">
        <v>-50512.51</v>
      </c>
      <c r="S47" s="159">
        <v>-58610.86</v>
      </c>
      <c r="U47" s="159">
        <v>-66501.75</v>
      </c>
      <c r="W47" s="159">
        <v>-74392.62</v>
      </c>
      <c r="Y47" s="159">
        <v>-85325.67</v>
      </c>
      <c r="AA47" s="159">
        <v>-96157.17</v>
      </c>
      <c r="AC47" s="159">
        <v>-106490.19</v>
      </c>
    </row>
    <row r="48" spans="1:29" s="6" customFormat="1" outlineLevel="1">
      <c r="A48" s="4">
        <v>14047</v>
      </c>
      <c r="B48" s="4" t="s">
        <v>313</v>
      </c>
      <c r="C48" s="5"/>
      <c r="D48" s="5"/>
      <c r="G48" s="159">
        <v>-102911.25</v>
      </c>
      <c r="I48" s="159">
        <v>-102911.25</v>
      </c>
      <c r="K48" s="159">
        <v>-102911.25</v>
      </c>
      <c r="M48" s="159">
        <v>-102911.25</v>
      </c>
      <c r="O48" s="159">
        <v>-102911.25</v>
      </c>
      <c r="Q48" s="159">
        <v>-102911.25</v>
      </c>
      <c r="S48" s="159">
        <v>-102911.25</v>
      </c>
      <c r="U48" s="159">
        <v>-102911.25</v>
      </c>
      <c r="W48" s="159">
        <v>-102911.25</v>
      </c>
      <c r="Y48" s="159">
        <v>-119911.25</v>
      </c>
      <c r="AA48" s="159">
        <v>-119911.25</v>
      </c>
      <c r="AC48" s="159">
        <v>-119911.25</v>
      </c>
    </row>
    <row r="49" spans="1:29" s="6" customFormat="1" outlineLevel="1">
      <c r="A49" s="4">
        <v>14048</v>
      </c>
      <c r="B49" s="4" t="s">
        <v>314</v>
      </c>
      <c r="C49" s="5"/>
      <c r="D49" s="5"/>
      <c r="G49" s="159">
        <v>49.07</v>
      </c>
      <c r="I49" s="159">
        <v>49.07</v>
      </c>
      <c r="K49" s="159">
        <v>49.07</v>
      </c>
      <c r="M49" s="159">
        <v>49.07</v>
      </c>
      <c r="O49" s="159">
        <v>49.07</v>
      </c>
      <c r="Q49" s="159">
        <v>49.07</v>
      </c>
      <c r="S49" s="159">
        <v>49.07</v>
      </c>
      <c r="U49" s="159">
        <v>49.07</v>
      </c>
      <c r="W49" s="159">
        <v>49.07</v>
      </c>
      <c r="Y49" s="159">
        <v>49.07</v>
      </c>
      <c r="AA49" s="159">
        <v>36785.32</v>
      </c>
      <c r="AC49" s="159">
        <v>40833.51</v>
      </c>
    </row>
    <row r="50" spans="1:29" s="6" customFormat="1" outlineLevel="1">
      <c r="A50" s="4">
        <v>14051</v>
      </c>
      <c r="B50" s="4" t="s">
        <v>316</v>
      </c>
      <c r="C50" s="5"/>
      <c r="D50" s="5"/>
      <c r="G50" s="159">
        <v>0</v>
      </c>
      <c r="I50" s="159">
        <v>0</v>
      </c>
      <c r="K50" s="159">
        <v>33501.160000000003</v>
      </c>
      <c r="M50" s="159">
        <v>33501.160000000003</v>
      </c>
      <c r="O50" s="159">
        <v>33501.160000000003</v>
      </c>
      <c r="Q50" s="159">
        <v>33501.160000000003</v>
      </c>
      <c r="S50" s="159">
        <v>33501.160000000003</v>
      </c>
      <c r="U50" s="159">
        <v>33501.160000000003</v>
      </c>
      <c r="W50" s="159">
        <v>43311.16</v>
      </c>
      <c r="Y50" s="159">
        <v>43311.16</v>
      </c>
      <c r="AA50" s="159">
        <v>43311.16</v>
      </c>
      <c r="AC50" s="159">
        <v>43311.16</v>
      </c>
    </row>
    <row r="51" spans="1:29" s="6" customFormat="1" outlineLevel="1">
      <c r="A51" s="4">
        <v>14052</v>
      </c>
      <c r="B51" s="4" t="s">
        <v>317</v>
      </c>
      <c r="C51" s="5"/>
      <c r="D51" s="5"/>
      <c r="G51" s="159">
        <v>85500</v>
      </c>
      <c r="I51" s="159">
        <v>85500</v>
      </c>
      <c r="K51" s="159">
        <v>85500</v>
      </c>
      <c r="M51" s="159">
        <v>85500</v>
      </c>
      <c r="O51" s="159">
        <v>85500</v>
      </c>
      <c r="Q51" s="159">
        <v>85500</v>
      </c>
      <c r="S51" s="159">
        <v>85500</v>
      </c>
      <c r="U51" s="159">
        <v>85500</v>
      </c>
      <c r="W51" s="159">
        <v>85500</v>
      </c>
      <c r="Y51" s="159">
        <v>85500</v>
      </c>
      <c r="AA51" s="159">
        <v>85500</v>
      </c>
      <c r="AC51" s="159">
        <v>85500</v>
      </c>
    </row>
    <row r="52" spans="1:29" s="6" customFormat="1" outlineLevel="1">
      <c r="A52" s="4">
        <v>14056</v>
      </c>
      <c r="B52" s="4" t="s">
        <v>318</v>
      </c>
      <c r="C52" s="5"/>
      <c r="D52" s="5"/>
      <c r="G52" s="159">
        <v>-4071.43</v>
      </c>
      <c r="I52" s="159">
        <v>-5089.3100000000004</v>
      </c>
      <c r="K52" s="159">
        <v>-6107.18</v>
      </c>
      <c r="M52" s="159">
        <v>-7357.65</v>
      </c>
      <c r="O52" s="159">
        <v>-8608.17</v>
      </c>
      <c r="Q52" s="159">
        <v>-9858.69</v>
      </c>
      <c r="S52" s="159">
        <v>-11109.2</v>
      </c>
      <c r="U52" s="159">
        <v>-12359.66</v>
      </c>
      <c r="W52" s="159">
        <v>-13610.17</v>
      </c>
      <c r="Y52" s="159">
        <v>-14928.81</v>
      </c>
      <c r="AA52" s="159">
        <v>-16247.43</v>
      </c>
      <c r="AC52" s="159">
        <v>-17566.09</v>
      </c>
    </row>
    <row r="53" spans="1:29" s="6" customFormat="1" outlineLevel="1">
      <c r="A53" s="4">
        <v>14072</v>
      </c>
      <c r="B53" s="4" t="s">
        <v>319</v>
      </c>
      <c r="C53" s="5"/>
      <c r="D53" s="5"/>
      <c r="G53" s="159">
        <v>2500</v>
      </c>
      <c r="I53" s="159">
        <v>2500</v>
      </c>
      <c r="K53" s="159">
        <v>2500</v>
      </c>
      <c r="M53" s="159">
        <v>2500</v>
      </c>
      <c r="O53" s="159">
        <v>2500</v>
      </c>
      <c r="Q53" s="159">
        <v>2500</v>
      </c>
      <c r="S53" s="159">
        <v>2500</v>
      </c>
      <c r="U53" s="159">
        <v>2500</v>
      </c>
      <c r="W53" s="159">
        <v>2500</v>
      </c>
      <c r="Y53" s="159">
        <v>2500</v>
      </c>
      <c r="AA53" s="159">
        <v>2500</v>
      </c>
      <c r="AC53" s="159">
        <v>2500</v>
      </c>
    </row>
    <row r="54" spans="1:29" s="6" customFormat="1" outlineLevel="1">
      <c r="A54" s="4">
        <v>14076</v>
      </c>
      <c r="B54" s="4" t="s">
        <v>378</v>
      </c>
      <c r="C54" s="5"/>
      <c r="D54" s="5"/>
      <c r="G54" s="159">
        <v>-166.67</v>
      </c>
      <c r="I54" s="159">
        <v>-208.33</v>
      </c>
      <c r="K54" s="159">
        <v>-250</v>
      </c>
      <c r="M54" s="159">
        <v>-291.67</v>
      </c>
      <c r="O54" s="159">
        <v>-333.33</v>
      </c>
      <c r="Q54" s="159">
        <v>-375</v>
      </c>
      <c r="S54" s="159">
        <v>-416.67</v>
      </c>
      <c r="U54" s="159">
        <v>-458.33</v>
      </c>
      <c r="W54" s="159">
        <v>-500</v>
      </c>
      <c r="Y54" s="159">
        <v>-541.66999999999996</v>
      </c>
      <c r="AA54" s="159">
        <v>-583.33000000000004</v>
      </c>
      <c r="AC54" s="159">
        <v>-625</v>
      </c>
    </row>
    <row r="55" spans="1:29" s="6" customFormat="1" outlineLevel="1">
      <c r="A55" s="4">
        <v>14101</v>
      </c>
      <c r="B55" s="4" t="s">
        <v>320</v>
      </c>
      <c r="C55" s="5"/>
      <c r="D55" s="5"/>
      <c r="G55" s="159">
        <v>3474.44</v>
      </c>
      <c r="I55" s="159">
        <v>3474.44</v>
      </c>
      <c r="K55" s="159">
        <v>3474.44</v>
      </c>
      <c r="M55" s="159">
        <v>3474.44</v>
      </c>
      <c r="O55" s="159">
        <v>3474.44</v>
      </c>
      <c r="Q55" s="159">
        <v>3474.44</v>
      </c>
      <c r="S55" s="159">
        <v>3474.44</v>
      </c>
      <c r="U55" s="159">
        <v>3474.44</v>
      </c>
      <c r="W55" s="159">
        <v>3474.44</v>
      </c>
      <c r="Y55" s="159">
        <v>3474.44</v>
      </c>
      <c r="AA55" s="159">
        <v>3474.44</v>
      </c>
      <c r="AC55" s="159">
        <v>3474.44</v>
      </c>
    </row>
    <row r="56" spans="1:29" s="6" customFormat="1" outlineLevel="1">
      <c r="A56" s="4">
        <v>14102</v>
      </c>
      <c r="B56" s="4" t="s">
        <v>321</v>
      </c>
      <c r="C56" s="5"/>
      <c r="D56" s="5"/>
      <c r="G56" s="159">
        <v>2500</v>
      </c>
      <c r="I56" s="159">
        <v>2500</v>
      </c>
      <c r="K56" s="159">
        <v>2500</v>
      </c>
      <c r="M56" s="159">
        <v>2500</v>
      </c>
      <c r="O56" s="159">
        <v>2500</v>
      </c>
      <c r="Q56" s="159">
        <v>2500</v>
      </c>
      <c r="S56" s="159">
        <v>2500</v>
      </c>
      <c r="U56" s="159">
        <v>2500</v>
      </c>
      <c r="W56" s="159">
        <v>2500</v>
      </c>
      <c r="Y56" s="159">
        <v>2500</v>
      </c>
      <c r="AA56" s="159">
        <v>2500</v>
      </c>
      <c r="AC56" s="159">
        <v>2500</v>
      </c>
    </row>
    <row r="57" spans="1:29" s="6" customFormat="1" outlineLevel="1">
      <c r="A57" s="4">
        <v>14106</v>
      </c>
      <c r="B57" s="4" t="s">
        <v>379</v>
      </c>
      <c r="C57" s="5"/>
      <c r="D57" s="5"/>
      <c r="G57" s="159">
        <v>-195.62</v>
      </c>
      <c r="I57" s="159">
        <v>-266.24</v>
      </c>
      <c r="K57" s="159">
        <v>-336.86</v>
      </c>
      <c r="M57" s="159">
        <v>-407.48</v>
      </c>
      <c r="O57" s="159">
        <v>-478.1</v>
      </c>
      <c r="Q57" s="159">
        <v>-548.72</v>
      </c>
      <c r="S57" s="159">
        <v>-619.34</v>
      </c>
      <c r="U57" s="159">
        <v>-689.96</v>
      </c>
      <c r="W57" s="159">
        <v>-760.58</v>
      </c>
      <c r="Y57" s="159">
        <v>-831.2</v>
      </c>
      <c r="AA57" s="159">
        <v>-901.82</v>
      </c>
      <c r="AC57" s="159">
        <v>-972.44</v>
      </c>
    </row>
    <row r="58" spans="1:29" s="6" customFormat="1" outlineLevel="1">
      <c r="A58" s="4">
        <v>14111</v>
      </c>
      <c r="B58" s="4" t="s">
        <v>322</v>
      </c>
      <c r="C58" s="5"/>
      <c r="D58" s="5"/>
      <c r="G58" s="159">
        <v>2584.8000000000002</v>
      </c>
      <c r="I58" s="159">
        <v>2584.8000000000002</v>
      </c>
      <c r="K58" s="159">
        <v>2584.8000000000002</v>
      </c>
      <c r="M58" s="159">
        <v>2584.8000000000002</v>
      </c>
      <c r="O58" s="159">
        <v>2584.8000000000002</v>
      </c>
      <c r="Q58" s="159">
        <v>2584.8000000000002</v>
      </c>
      <c r="S58" s="159">
        <v>2584.8000000000002</v>
      </c>
      <c r="U58" s="159">
        <v>2584.8000000000002</v>
      </c>
      <c r="W58" s="159">
        <v>2584.8000000000002</v>
      </c>
      <c r="Y58" s="159">
        <v>2584.8000000000002</v>
      </c>
      <c r="AA58" s="159">
        <v>2584.8000000000002</v>
      </c>
      <c r="AC58" s="159">
        <v>2584.8000000000002</v>
      </c>
    </row>
    <row r="59" spans="1:29" s="6" customFormat="1" outlineLevel="1">
      <c r="A59" s="4">
        <v>14116</v>
      </c>
      <c r="B59" s="4" t="s">
        <v>323</v>
      </c>
      <c r="C59" s="5"/>
      <c r="D59" s="5"/>
      <c r="G59" s="159">
        <v>-143.6</v>
      </c>
      <c r="I59" s="159">
        <v>-215.4</v>
      </c>
      <c r="K59" s="159">
        <v>-287.2</v>
      </c>
      <c r="M59" s="159">
        <v>-359.01</v>
      </c>
      <c r="O59" s="159">
        <v>-430.8</v>
      </c>
      <c r="Q59" s="159">
        <v>-502.6</v>
      </c>
      <c r="S59" s="159">
        <v>-574.4</v>
      </c>
      <c r="U59" s="159">
        <v>-646.20000000000005</v>
      </c>
      <c r="W59" s="159">
        <v>-718</v>
      </c>
      <c r="Y59" s="159">
        <v>-789.8</v>
      </c>
      <c r="AA59" s="159">
        <v>-861.6</v>
      </c>
      <c r="AC59" s="159">
        <v>-933.4</v>
      </c>
    </row>
    <row r="60" spans="1:29" s="6" customFormat="1" outlineLevel="1">
      <c r="A60" s="4">
        <v>14121</v>
      </c>
      <c r="B60" s="4" t="s">
        <v>324</v>
      </c>
      <c r="C60" s="5"/>
      <c r="D60" s="5"/>
      <c r="G60" s="159">
        <v>0</v>
      </c>
      <c r="I60" s="159">
        <v>0</v>
      </c>
      <c r="K60" s="159">
        <v>0</v>
      </c>
      <c r="M60" s="159">
        <v>0</v>
      </c>
      <c r="O60" s="159">
        <v>0</v>
      </c>
      <c r="Q60" s="159">
        <v>0</v>
      </c>
      <c r="S60" s="159">
        <v>0</v>
      </c>
      <c r="U60" s="159">
        <v>0</v>
      </c>
      <c r="W60" s="159">
        <v>4361.8500000000004</v>
      </c>
      <c r="Y60" s="159">
        <v>0</v>
      </c>
      <c r="AA60" s="159">
        <v>0</v>
      </c>
      <c r="AC60" s="159">
        <v>0</v>
      </c>
    </row>
    <row r="61" spans="1:29" s="6" customFormat="1" outlineLevel="1">
      <c r="A61" s="4">
        <v>14201</v>
      </c>
      <c r="B61" s="4" t="s">
        <v>325</v>
      </c>
      <c r="C61" s="5"/>
      <c r="D61" s="5"/>
      <c r="G61" s="159">
        <v>40111.72</v>
      </c>
      <c r="I61" s="159">
        <v>40111.72</v>
      </c>
      <c r="K61" s="159">
        <v>50133.52</v>
      </c>
      <c r="M61" s="159">
        <v>0</v>
      </c>
      <c r="O61" s="159">
        <v>0</v>
      </c>
      <c r="Q61" s="159">
        <v>104822.42</v>
      </c>
      <c r="S61" s="159">
        <v>104822.42</v>
      </c>
      <c r="U61" s="159">
        <v>129597.42</v>
      </c>
      <c r="W61" s="159">
        <v>199827</v>
      </c>
      <c r="Y61" s="159">
        <v>0</v>
      </c>
      <c r="AA61" s="159">
        <v>0</v>
      </c>
      <c r="AC61" s="159">
        <v>0</v>
      </c>
    </row>
    <row r="62" spans="1:29" s="6" customFormat="1" ht="4.5" customHeight="1" outlineLevel="1">
      <c r="A62" s="37"/>
      <c r="G62" s="36"/>
      <c r="I62" s="36"/>
      <c r="K62" s="36"/>
      <c r="M62" s="36"/>
      <c r="O62" s="36"/>
      <c r="Q62" s="36"/>
      <c r="S62" s="36"/>
      <c r="U62" s="36"/>
      <c r="W62" s="36"/>
      <c r="Y62" s="36"/>
      <c r="AA62" s="36"/>
      <c r="AC62" s="36"/>
    </row>
    <row r="63" spans="1:29" s="6" customFormat="1">
      <c r="C63" s="6" t="s">
        <v>326</v>
      </c>
      <c r="G63" s="33">
        <f>SUM(G39:G62)</f>
        <v>448578.61</v>
      </c>
      <c r="I63" s="33">
        <f>SUM(I39:I62)</f>
        <v>441230.18999999994</v>
      </c>
      <c r="K63" s="33">
        <f>SUM(K39:K62)</f>
        <v>477404.68000000005</v>
      </c>
      <c r="M63" s="33">
        <f>SUM(M39:M62)</f>
        <v>484363.39999999997</v>
      </c>
      <c r="O63" s="33">
        <f>SUM(O39:O62)</f>
        <v>475177.95</v>
      </c>
      <c r="Q63" s="33">
        <f>SUM(Q39:Q62)</f>
        <v>583324.75</v>
      </c>
      <c r="S63" s="33">
        <f>SUM(S39:S62)</f>
        <v>573791.79999999993</v>
      </c>
      <c r="U63" s="33">
        <f>SUM(U39:U62)</f>
        <v>589241.37</v>
      </c>
      <c r="W63" s="33">
        <f>SUM(W39:W62)</f>
        <v>802499.42</v>
      </c>
      <c r="Y63" s="33">
        <f>SUM(Y39:Y62)</f>
        <v>790063.63999999978</v>
      </c>
      <c r="AA63" s="33">
        <f>SUM(AA39:AA62)</f>
        <v>775339.33999999985</v>
      </c>
      <c r="AC63" s="33">
        <f>SUM(AC39:AC62)</f>
        <v>749607.16</v>
      </c>
    </row>
    <row r="64" spans="1:29" s="150" customFormat="1" outlineLevel="1"/>
    <row r="65" spans="1:29" s="6" customFormat="1" ht="5.0999999999999996" customHeight="1" outlineLevel="1">
      <c r="A65" s="5"/>
      <c r="B65" s="5"/>
      <c r="C65" s="5"/>
      <c r="D65" s="5"/>
      <c r="G65" s="36"/>
      <c r="I65" s="36"/>
      <c r="K65" s="36"/>
      <c r="M65" s="36"/>
      <c r="O65" s="36"/>
      <c r="Q65" s="36"/>
      <c r="S65" s="36"/>
      <c r="U65" s="36"/>
      <c r="W65" s="36"/>
      <c r="Y65" s="36"/>
      <c r="AA65" s="36"/>
      <c r="AC65" s="36"/>
    </row>
    <row r="66" spans="1:29" s="6" customFormat="1">
      <c r="C66" s="4" t="s">
        <v>327</v>
      </c>
      <c r="G66" s="33">
        <f>SUM(G64:G65)</f>
        <v>0</v>
      </c>
      <c r="I66" s="33">
        <f>SUM(I64:I65)</f>
        <v>0</v>
      </c>
      <c r="K66" s="33">
        <f>SUM(K64:K65)</f>
        <v>0</v>
      </c>
      <c r="M66" s="33">
        <f>SUM(M64:M65)</f>
        <v>0</v>
      </c>
      <c r="O66" s="33">
        <f>SUM(O64:O65)</f>
        <v>0</v>
      </c>
      <c r="Q66" s="33">
        <f>SUM(Q64:Q65)</f>
        <v>0</v>
      </c>
      <c r="S66" s="33">
        <f>SUM(S64:S65)</f>
        <v>0</v>
      </c>
      <c r="U66" s="33">
        <f>SUM(U64:U65)</f>
        <v>0</v>
      </c>
      <c r="W66" s="33">
        <f>SUM(W64:W65)</f>
        <v>0</v>
      </c>
      <c r="Y66" s="33">
        <f>SUM(Y64:Y65)</f>
        <v>0</v>
      </c>
      <c r="AA66" s="33">
        <f>SUM(AA64:AA65)</f>
        <v>0</v>
      </c>
      <c r="AC66" s="33">
        <f>SUM(AC64:AC65)</f>
        <v>0</v>
      </c>
    </row>
    <row r="67" spans="1:29" s="6" customFormat="1" outlineLevel="1">
      <c r="A67" s="4">
        <v>15111</v>
      </c>
      <c r="B67" s="4" t="s">
        <v>328</v>
      </c>
      <c r="C67" s="5"/>
      <c r="D67" s="5"/>
      <c r="G67" s="159">
        <v>75000</v>
      </c>
      <c r="I67" s="159">
        <v>75000</v>
      </c>
      <c r="K67" s="159">
        <v>75000</v>
      </c>
      <c r="M67" s="159">
        <v>75000</v>
      </c>
      <c r="O67" s="159">
        <v>75000</v>
      </c>
      <c r="Q67" s="159">
        <v>75000</v>
      </c>
      <c r="S67" s="159">
        <v>75000</v>
      </c>
      <c r="U67" s="159">
        <v>75000</v>
      </c>
      <c r="W67" s="159">
        <v>75000</v>
      </c>
      <c r="Y67" s="159">
        <v>75000</v>
      </c>
      <c r="AA67" s="159">
        <v>75000</v>
      </c>
      <c r="AC67" s="159">
        <v>75000</v>
      </c>
    </row>
    <row r="68" spans="1:29" s="6" customFormat="1" ht="4.5" customHeight="1" outlineLevel="1">
      <c r="A68" s="37"/>
      <c r="G68" s="36"/>
      <c r="I68" s="36"/>
      <c r="K68" s="36"/>
      <c r="M68" s="36"/>
      <c r="O68" s="36"/>
      <c r="Q68" s="36"/>
      <c r="S68" s="36"/>
      <c r="U68" s="36"/>
      <c r="W68" s="36"/>
      <c r="Y68" s="36"/>
      <c r="AA68" s="36"/>
      <c r="AC68" s="36"/>
    </row>
    <row r="69" spans="1:29" s="6" customFormat="1">
      <c r="C69" s="6" t="s">
        <v>329</v>
      </c>
      <c r="G69" s="33">
        <f>SUM(G67:G68)</f>
        <v>75000</v>
      </c>
      <c r="I69" s="33">
        <f>SUM(I67:I68)</f>
        <v>75000</v>
      </c>
      <c r="K69" s="33">
        <f>SUM(K67:K68)</f>
        <v>75000</v>
      </c>
      <c r="M69" s="33">
        <f>SUM(M67:M68)</f>
        <v>75000</v>
      </c>
      <c r="O69" s="33">
        <f>SUM(O67:O68)</f>
        <v>75000</v>
      </c>
      <c r="Q69" s="33">
        <f>SUM(Q67:Q68)</f>
        <v>75000</v>
      </c>
      <c r="S69" s="33">
        <f>SUM(S67:S68)</f>
        <v>75000</v>
      </c>
      <c r="U69" s="33">
        <f>SUM(U67:U68)</f>
        <v>75000</v>
      </c>
      <c r="W69" s="33">
        <f>SUM(W67:W68)</f>
        <v>75000</v>
      </c>
      <c r="Y69" s="33">
        <f>SUM(Y67:Y68)</f>
        <v>75000</v>
      </c>
      <c r="AA69" s="33">
        <f>SUM(AA67:AA68)</f>
        <v>75000</v>
      </c>
      <c r="AC69" s="33">
        <f>SUM(AC67:AC68)</f>
        <v>75000</v>
      </c>
    </row>
    <row r="70" spans="1:29" s="6" customFormat="1" outlineLevel="1">
      <c r="A70" s="4">
        <v>15261</v>
      </c>
      <c r="B70" s="4" t="s">
        <v>380</v>
      </c>
      <c r="C70" s="5"/>
      <c r="D70" s="5"/>
      <c r="G70" s="159">
        <v>1256674.8</v>
      </c>
      <c r="I70" s="159">
        <v>1256674.8</v>
      </c>
      <c r="K70" s="159">
        <v>1256674.8</v>
      </c>
      <c r="M70" s="159">
        <v>1256674.8</v>
      </c>
      <c r="O70" s="159">
        <v>1256674.8</v>
      </c>
      <c r="Q70" s="159">
        <v>1256674.8</v>
      </c>
      <c r="S70" s="159">
        <v>1256674.8</v>
      </c>
      <c r="U70" s="159">
        <v>1256674.8</v>
      </c>
      <c r="W70" s="159">
        <v>1256674.8</v>
      </c>
      <c r="Y70" s="159">
        <v>1256674.8</v>
      </c>
      <c r="AA70" s="159">
        <v>1256674.8</v>
      </c>
      <c r="AC70" s="159">
        <v>1256674.8</v>
      </c>
    </row>
    <row r="71" spans="1:29" s="6" customFormat="1" ht="5.0999999999999996" customHeight="1" outlineLevel="1">
      <c r="A71" s="5"/>
      <c r="B71" s="5"/>
      <c r="C71" s="5"/>
      <c r="D71" s="5"/>
      <c r="G71" s="36"/>
      <c r="I71" s="36"/>
      <c r="K71" s="36"/>
      <c r="M71" s="36"/>
      <c r="O71" s="36"/>
      <c r="Q71" s="36"/>
      <c r="S71" s="36"/>
      <c r="U71" s="36"/>
      <c r="W71" s="36"/>
      <c r="Y71" s="36"/>
      <c r="AA71" s="36"/>
      <c r="AC71" s="36"/>
    </row>
    <row r="72" spans="1:29" s="6" customFormat="1">
      <c r="C72" s="4" t="s">
        <v>330</v>
      </c>
      <c r="D72" s="40"/>
      <c r="E72" s="40"/>
      <c r="F72" s="40"/>
      <c r="G72" s="33">
        <f>SUM(G70:G71)</f>
        <v>1256674.8</v>
      </c>
      <c r="I72" s="33">
        <f>SUM(I70:I71)</f>
        <v>1256674.8</v>
      </c>
      <c r="K72" s="33">
        <f>SUM(K70:K71)</f>
        <v>1256674.8</v>
      </c>
      <c r="M72" s="33">
        <f>SUM(M70:M71)</f>
        <v>1256674.8</v>
      </c>
      <c r="O72" s="33">
        <f>SUM(O70:O71)</f>
        <v>1256674.8</v>
      </c>
      <c r="Q72" s="33">
        <f>SUM(Q70:Q71)</f>
        <v>1256674.8</v>
      </c>
      <c r="S72" s="33">
        <f>SUM(S70:S71)</f>
        <v>1256674.8</v>
      </c>
      <c r="U72" s="33">
        <f>SUM(U70:U71)</f>
        <v>1256674.8</v>
      </c>
      <c r="W72" s="33">
        <f>SUM(W70:W71)</f>
        <v>1256674.8</v>
      </c>
      <c r="Y72" s="33">
        <f>SUM(Y70:Y71)</f>
        <v>1256674.8</v>
      </c>
      <c r="AA72" s="33">
        <f>SUM(AA70:AA71)</f>
        <v>1256674.8</v>
      </c>
      <c r="AC72" s="33">
        <f>SUM(AC70:AC71)</f>
        <v>1256674.8</v>
      </c>
    </row>
    <row r="73" spans="1:29" s="150" customFormat="1" outlineLevel="1"/>
    <row r="74" spans="1:29" s="6" customFormat="1" ht="5.0999999999999996" customHeight="1" outlineLevel="1">
      <c r="A74" s="5"/>
      <c r="B74" s="5"/>
      <c r="C74" s="5"/>
      <c r="D74" s="5"/>
      <c r="G74" s="36"/>
      <c r="I74" s="36"/>
      <c r="K74" s="36"/>
      <c r="M74" s="36"/>
      <c r="O74" s="36"/>
      <c r="Q74" s="36"/>
      <c r="S74" s="36"/>
      <c r="U74" s="36"/>
      <c r="W74" s="36"/>
      <c r="Y74" s="36"/>
      <c r="AA74" s="36"/>
      <c r="AC74" s="36"/>
    </row>
    <row r="75" spans="1:29" s="6" customFormat="1">
      <c r="C75" s="4" t="s">
        <v>331</v>
      </c>
      <c r="D75" s="40"/>
      <c r="E75" s="40"/>
      <c r="F75" s="40"/>
      <c r="G75" s="33">
        <f>SUM(G73:G74)</f>
        <v>0</v>
      </c>
      <c r="I75" s="33">
        <f>SUM(I73:I74)</f>
        <v>0</v>
      </c>
      <c r="K75" s="33">
        <f>SUM(K73:K74)</f>
        <v>0</v>
      </c>
      <c r="M75" s="33">
        <f>SUM(M73:M74)</f>
        <v>0</v>
      </c>
      <c r="O75" s="33">
        <f>SUM(O73:O74)</f>
        <v>0</v>
      </c>
      <c r="Q75" s="33">
        <f>SUM(Q73:Q74)</f>
        <v>0</v>
      </c>
      <c r="S75" s="33">
        <f>SUM(S73:S74)</f>
        <v>0</v>
      </c>
      <c r="U75" s="33">
        <f>SUM(U73:U74)</f>
        <v>0</v>
      </c>
      <c r="W75" s="33">
        <f>SUM(W73:W74)</f>
        <v>0</v>
      </c>
      <c r="Y75" s="33">
        <f>SUM(Y73:Y74)</f>
        <v>0</v>
      </c>
      <c r="AA75" s="33">
        <f>SUM(AA73:AA74)</f>
        <v>0</v>
      </c>
      <c r="AC75" s="33">
        <f>SUM(AC73:AC74)</f>
        <v>0</v>
      </c>
    </row>
    <row r="76" spans="1:29" s="150" customFormat="1" outlineLevel="1"/>
    <row r="77" spans="1:29" s="6" customFormat="1" ht="4.5" customHeight="1" outlineLevel="1">
      <c r="A77" s="37"/>
      <c r="G77" s="36"/>
      <c r="I77" s="36"/>
      <c r="K77" s="36"/>
      <c r="M77" s="36"/>
      <c r="O77" s="36"/>
      <c r="Q77" s="36"/>
      <c r="S77" s="36"/>
      <c r="U77" s="36"/>
      <c r="W77" s="36"/>
      <c r="Y77" s="36"/>
      <c r="AA77" s="36"/>
      <c r="AC77" s="36"/>
    </row>
    <row r="78" spans="1:29" s="6" customFormat="1">
      <c r="C78" s="6" t="s">
        <v>332</v>
      </c>
      <c r="G78" s="33">
        <f>SUM(G76:G77)</f>
        <v>0</v>
      </c>
      <c r="I78" s="33">
        <f>SUM(I76:I77)</f>
        <v>0</v>
      </c>
      <c r="K78" s="33">
        <f>SUM(K76:K77)</f>
        <v>0</v>
      </c>
      <c r="M78" s="33">
        <f>SUM(M76:M77)</f>
        <v>0</v>
      </c>
      <c r="O78" s="33">
        <f>SUM(O76:O77)</f>
        <v>0</v>
      </c>
      <c r="Q78" s="33">
        <f>SUM(Q76:Q77)</f>
        <v>0</v>
      </c>
      <c r="S78" s="33">
        <f>SUM(S76:S77)</f>
        <v>0</v>
      </c>
      <c r="U78" s="33">
        <f>SUM(U76:U77)</f>
        <v>0</v>
      </c>
      <c r="W78" s="33">
        <f>SUM(W76:W77)</f>
        <v>0</v>
      </c>
      <c r="Y78" s="33">
        <f>SUM(Y76:Y77)</f>
        <v>0</v>
      </c>
      <c r="AA78" s="33">
        <f>SUM(AA76:AA77)</f>
        <v>0</v>
      </c>
      <c r="AC78" s="33">
        <f>SUM(AC76:AC77)</f>
        <v>0</v>
      </c>
    </row>
    <row r="79" spans="1:29" s="150" customFormat="1" outlineLevel="1"/>
    <row r="80" spans="1:29" s="6" customFormat="1" ht="5.0999999999999996" customHeight="1" outlineLevel="1">
      <c r="A80" s="5"/>
      <c r="B80" s="5"/>
      <c r="C80" s="5"/>
      <c r="D80" s="5"/>
      <c r="G80" s="36"/>
      <c r="I80" s="36"/>
      <c r="K80" s="36"/>
      <c r="M80" s="36"/>
      <c r="O80" s="36"/>
      <c r="Q80" s="36"/>
      <c r="S80" s="36"/>
      <c r="U80" s="36"/>
      <c r="W80" s="36"/>
      <c r="Y80" s="36"/>
      <c r="AA80" s="36"/>
      <c r="AC80" s="36"/>
    </row>
    <row r="81" spans="1:29" s="6" customFormat="1">
      <c r="C81" s="4" t="s">
        <v>333</v>
      </c>
      <c r="G81" s="33">
        <f>SUM(G79:G80)</f>
        <v>0</v>
      </c>
      <c r="I81" s="33">
        <f>SUM(I79:I80)</f>
        <v>0</v>
      </c>
      <c r="K81" s="33">
        <f>SUM(K79:K80)</f>
        <v>0</v>
      </c>
      <c r="M81" s="33">
        <f>SUM(M79:M80)</f>
        <v>0</v>
      </c>
      <c r="O81" s="33">
        <f>SUM(O79:O80)</f>
        <v>0</v>
      </c>
      <c r="Q81" s="33">
        <f>SUM(Q79:Q80)</f>
        <v>0</v>
      </c>
      <c r="S81" s="33">
        <f>SUM(S79:S80)</f>
        <v>0</v>
      </c>
      <c r="U81" s="33">
        <f>SUM(U79:U80)</f>
        <v>0</v>
      </c>
      <c r="W81" s="33">
        <f>SUM(W79:W80)</f>
        <v>0</v>
      </c>
      <c r="Y81" s="33">
        <f>SUM(Y79:Y80)</f>
        <v>0</v>
      </c>
      <c r="AA81" s="33">
        <f>SUM(AA79:AA80)</f>
        <v>0</v>
      </c>
      <c r="AC81" s="33">
        <f>SUM(AC79:AC80)</f>
        <v>0</v>
      </c>
    </row>
    <row r="82" spans="1:29" s="150" customFormat="1" outlineLevel="1"/>
    <row r="83" spans="1:29" s="6" customFormat="1" ht="5.0999999999999996" customHeight="1" outlineLevel="1">
      <c r="A83" s="5"/>
      <c r="B83" s="5"/>
      <c r="C83" s="5"/>
      <c r="D83" s="5"/>
      <c r="G83" s="36"/>
      <c r="I83" s="36"/>
      <c r="K83" s="36"/>
      <c r="M83" s="36"/>
      <c r="O83" s="36"/>
      <c r="Q83" s="36"/>
      <c r="S83" s="36"/>
      <c r="U83" s="36"/>
      <c r="W83" s="36"/>
      <c r="Y83" s="36"/>
      <c r="AA83" s="36"/>
      <c r="AC83" s="36"/>
    </row>
    <row r="84" spans="1:29" s="6" customFormat="1">
      <c r="C84" s="4" t="s">
        <v>361</v>
      </c>
      <c r="G84" s="33">
        <f>SUM(G82:G83)</f>
        <v>0</v>
      </c>
      <c r="I84" s="33">
        <f>SUM(I82:I83)</f>
        <v>0</v>
      </c>
      <c r="K84" s="33">
        <f>SUM(K82:K83)</f>
        <v>0</v>
      </c>
      <c r="M84" s="33">
        <f>SUM(M82:M83)</f>
        <v>0</v>
      </c>
      <c r="O84" s="33">
        <f>SUM(O82:O83)</f>
        <v>0</v>
      </c>
      <c r="Q84" s="33">
        <f>SUM(Q82:Q83)</f>
        <v>0</v>
      </c>
      <c r="S84" s="33">
        <f>SUM(S82:S83)</f>
        <v>0</v>
      </c>
      <c r="U84" s="33">
        <f>SUM(U82:U83)</f>
        <v>0</v>
      </c>
      <c r="W84" s="33">
        <f>SUM(W82:W83)</f>
        <v>0</v>
      </c>
      <c r="Y84" s="33">
        <f>SUM(Y82:Y83)</f>
        <v>0</v>
      </c>
      <c r="AA84" s="33">
        <f>SUM(AA82:AA83)</f>
        <v>0</v>
      </c>
      <c r="AC84" s="33">
        <f>SUM(AC82:AC83)</f>
        <v>0</v>
      </c>
    </row>
    <row r="85" spans="1:29" s="6" customFormat="1" outlineLevel="1">
      <c r="A85" s="4">
        <v>17100</v>
      </c>
      <c r="B85" s="4" t="s">
        <v>334</v>
      </c>
      <c r="C85" s="5"/>
      <c r="D85" s="5"/>
      <c r="G85" s="159">
        <v>-380858.17</v>
      </c>
      <c r="I85" s="159">
        <v>-394026</v>
      </c>
      <c r="K85" s="159">
        <v>-443697.7</v>
      </c>
      <c r="M85" s="159">
        <v>-422847.89</v>
      </c>
      <c r="O85" s="159">
        <v>-422058.32</v>
      </c>
      <c r="Q85" s="159">
        <v>-563419.38</v>
      </c>
      <c r="S85" s="159">
        <v>-559027.25</v>
      </c>
      <c r="U85" s="159">
        <v>-576735.34</v>
      </c>
      <c r="W85" s="159">
        <v>-794945.19</v>
      </c>
      <c r="Y85" s="159">
        <v>-799404.66</v>
      </c>
      <c r="AA85" s="159">
        <v>-801841.64</v>
      </c>
      <c r="AC85" s="159">
        <v>-781949.87</v>
      </c>
    </row>
    <row r="86" spans="1:29" s="6" customFormat="1" outlineLevel="1">
      <c r="A86" s="4">
        <v>18100</v>
      </c>
      <c r="B86" s="4" t="s">
        <v>335</v>
      </c>
      <c r="C86" s="5"/>
      <c r="D86" s="5"/>
      <c r="G86" s="159">
        <v>-1388542.12</v>
      </c>
      <c r="I86" s="159">
        <v>-1388542.12</v>
      </c>
      <c r="K86" s="159">
        <v>-1388542.12</v>
      </c>
      <c r="M86" s="159">
        <v>-1388542.12</v>
      </c>
      <c r="O86" s="159">
        <v>-1388542.12</v>
      </c>
      <c r="Q86" s="159">
        <v>-1388542.12</v>
      </c>
      <c r="S86" s="159">
        <v>-1388542.12</v>
      </c>
      <c r="U86" s="159">
        <v>-1388542.12</v>
      </c>
      <c r="W86" s="159">
        <v>-1388542.12</v>
      </c>
      <c r="Y86" s="159">
        <v>-1388542.12</v>
      </c>
      <c r="AA86" s="159">
        <v>-1388542.12</v>
      </c>
      <c r="AC86" s="159">
        <v>-1388542.12</v>
      </c>
    </row>
    <row r="87" spans="1:29" s="6" customFormat="1" ht="5.0999999999999996" customHeight="1" outlineLevel="1">
      <c r="A87" s="5"/>
      <c r="B87" s="5"/>
      <c r="C87" s="5"/>
      <c r="D87" s="5"/>
      <c r="G87" s="36"/>
      <c r="I87" s="36"/>
      <c r="K87" s="36"/>
      <c r="M87" s="36"/>
      <c r="O87" s="36"/>
      <c r="Q87" s="36"/>
      <c r="S87" s="36"/>
      <c r="U87" s="36"/>
      <c r="W87" s="36"/>
      <c r="Y87" s="36"/>
      <c r="AA87" s="36"/>
      <c r="AC87" s="36"/>
    </row>
    <row r="88" spans="1:29" s="6" customFormat="1">
      <c r="C88" s="4" t="s">
        <v>336</v>
      </c>
      <c r="G88" s="33">
        <f>SUM(G85:G87)</f>
        <v>-1769400.29</v>
      </c>
      <c r="I88" s="33">
        <f>SUM(I85:I87)</f>
        <v>-1782568.12</v>
      </c>
      <c r="K88" s="33">
        <f>SUM(K85:K87)</f>
        <v>-1832239.82</v>
      </c>
      <c r="M88" s="33">
        <f>SUM(M85:M87)</f>
        <v>-1811390.0100000002</v>
      </c>
      <c r="O88" s="33">
        <f>SUM(O85:O87)</f>
        <v>-1810600.4400000002</v>
      </c>
      <c r="Q88" s="33">
        <f>SUM(Q85:Q87)</f>
        <v>-1951961.5</v>
      </c>
      <c r="S88" s="33">
        <f>SUM(S85:S87)</f>
        <v>-1947569.37</v>
      </c>
      <c r="U88" s="33">
        <f>SUM(U85:U87)</f>
        <v>-1965277.46</v>
      </c>
      <c r="W88" s="33">
        <f>SUM(W85:W87)</f>
        <v>-2183487.31</v>
      </c>
      <c r="Y88" s="33">
        <f>SUM(Y85:Y87)</f>
        <v>-2187946.7800000003</v>
      </c>
      <c r="AA88" s="33">
        <f>SUM(AA85:AA87)</f>
        <v>-2190383.7600000002</v>
      </c>
      <c r="AC88" s="33">
        <f>SUM(AC85:AC87)</f>
        <v>-2170491.9900000002</v>
      </c>
    </row>
    <row r="89" spans="1:29" s="6" customFormat="1" ht="7.5" customHeight="1">
      <c r="G89" s="35"/>
      <c r="I89" s="35"/>
      <c r="K89" s="35"/>
      <c r="M89" s="35"/>
      <c r="O89" s="35"/>
      <c r="Q89" s="35"/>
      <c r="S89" s="35"/>
      <c r="U89" s="35"/>
      <c r="W89" s="35"/>
      <c r="Y89" s="35"/>
      <c r="AA89" s="35"/>
      <c r="AC89" s="35"/>
    </row>
    <row r="90" spans="1:29" s="6" customFormat="1" ht="13.5" thickBot="1">
      <c r="B90" s="38" t="s">
        <v>337</v>
      </c>
      <c r="G90" s="58">
        <f>SUM(G63,G66,G69,G72,G75,G78,G81,G84,G88,G36)</f>
        <v>101938.48000000011</v>
      </c>
      <c r="I90" s="58">
        <f>SUM(I63,I66,I69,I72,I75,I78,I81,I84,I88,I36)</f>
        <v>79222.269999999888</v>
      </c>
      <c r="K90" s="58">
        <f>SUM(K63,K66,K69,K72,K75,K78,K81,K84,K88,K36)</f>
        <v>67045.54999999993</v>
      </c>
      <c r="M90" s="58">
        <f>SUM(M63,M66,M69,M72,M75,M78,M81,M84,M88,M36)</f>
        <v>47894.549999999712</v>
      </c>
      <c r="O90" s="58">
        <f>SUM(O63,O66,O69,O72,O75,O78,O81,O84,O88,O36)</f>
        <v>38255.949999999822</v>
      </c>
      <c r="Q90" s="58">
        <f>SUM(Q63,Q66,Q69,Q72,Q75,Q78,Q81,Q84,Q88,Q36)</f>
        <v>45958.850000000064</v>
      </c>
      <c r="S90" s="58">
        <f>SUM(S63,S66,S69,S72,S75,S78,S81,S84,S88,S36)</f>
        <v>41818.079999999973</v>
      </c>
      <c r="U90" s="58">
        <f>SUM(U63,U66,U69,U72,U75,U78,U81,U84,U88,U36)</f>
        <v>37069.889999999985</v>
      </c>
      <c r="W90" s="58">
        <f>SUM(W63,W66,W69,W72,W75,W78,W81,W84,W88,W36)</f>
        <v>41159.790000000139</v>
      </c>
      <c r="Y90" s="58">
        <f>SUM(Y63,Y66,Y69,Y72,Y75,Y78,Y81,Y84,Y88,Y36)</f>
        <v>20851.559999999678</v>
      </c>
      <c r="AA90" s="58">
        <f>SUM(AA63,AA66,AA69,AA72,AA75,AA78,AA81,AA84,AA88,AA36)</f>
        <v>16094.309999999416</v>
      </c>
      <c r="AC90" s="58">
        <f>SUM(AC63,AC66,AC69,AC72,AC75,AC78,AC81,AC84,AC88,AC36)</f>
        <v>-2841.8700000002573</v>
      </c>
    </row>
    <row r="91" spans="1:29" s="6" customFormat="1" ht="7.5" customHeight="1" thickTop="1">
      <c r="G91" s="35"/>
      <c r="I91" s="35"/>
      <c r="K91" s="35"/>
      <c r="M91" s="35"/>
      <c r="O91" s="35"/>
      <c r="Q91" s="35"/>
      <c r="S91" s="35"/>
      <c r="U91" s="35"/>
      <c r="W91" s="35"/>
      <c r="Y91" s="35"/>
      <c r="AA91" s="35"/>
      <c r="AC91" s="35"/>
    </row>
    <row r="92" spans="1:29" s="6" customFormat="1" outlineLevel="1">
      <c r="G92" s="35"/>
      <c r="I92" s="35"/>
      <c r="K92" s="35"/>
      <c r="M92" s="35"/>
      <c r="O92" s="35"/>
      <c r="Q92" s="35"/>
      <c r="S92" s="35"/>
      <c r="U92" s="35"/>
      <c r="W92" s="35"/>
      <c r="Y92" s="35"/>
      <c r="AA92" s="35"/>
      <c r="AC92" s="35"/>
    </row>
    <row r="93" spans="1:29" s="150" customFormat="1" outlineLevel="1"/>
    <row r="94" spans="1:29" s="6" customFormat="1" ht="5.0999999999999996" customHeight="1" outlineLevel="1">
      <c r="A94" s="5"/>
      <c r="B94" s="5"/>
      <c r="C94" s="5"/>
      <c r="D94" s="5"/>
      <c r="G94" s="36"/>
      <c r="I94" s="36"/>
      <c r="K94" s="36"/>
      <c r="M94" s="36"/>
      <c r="O94" s="36"/>
      <c r="Q94" s="36"/>
      <c r="S94" s="36"/>
      <c r="U94" s="36"/>
      <c r="W94" s="36"/>
      <c r="Y94" s="36"/>
      <c r="AA94" s="36"/>
      <c r="AC94" s="36"/>
    </row>
    <row r="95" spans="1:29" s="6" customFormat="1">
      <c r="C95" s="4" t="s">
        <v>338</v>
      </c>
      <c r="G95" s="33">
        <f>SUM(G93:G94)</f>
        <v>0</v>
      </c>
      <c r="I95" s="33">
        <f>SUM(I93:I94)</f>
        <v>0</v>
      </c>
      <c r="K95" s="33">
        <f>SUM(K93:K94)</f>
        <v>0</v>
      </c>
      <c r="M95" s="33">
        <f>SUM(M93:M94)</f>
        <v>0</v>
      </c>
      <c r="O95" s="33">
        <f>SUM(O93:O94)</f>
        <v>0</v>
      </c>
      <c r="Q95" s="33">
        <f>SUM(Q93:Q94)</f>
        <v>0</v>
      </c>
      <c r="S95" s="33">
        <f>SUM(S93:S94)</f>
        <v>0</v>
      </c>
      <c r="U95" s="33">
        <f>SUM(U93:U94)</f>
        <v>0</v>
      </c>
      <c r="W95" s="33">
        <f>SUM(W93:W94)</f>
        <v>0</v>
      </c>
      <c r="Y95" s="33">
        <f>SUM(Y93:Y94)</f>
        <v>0</v>
      </c>
      <c r="AA95" s="33">
        <f>SUM(AA93:AA94)</f>
        <v>0</v>
      </c>
      <c r="AC95" s="33">
        <f>SUM(AC93:AC94)</f>
        <v>0</v>
      </c>
    </row>
    <row r="96" spans="1:29" s="6" customFormat="1" outlineLevel="1">
      <c r="A96" s="4">
        <v>20120</v>
      </c>
      <c r="B96" s="4" t="s">
        <v>339</v>
      </c>
      <c r="C96" s="5"/>
      <c r="D96" s="5"/>
      <c r="G96" s="159">
        <v>56192.08</v>
      </c>
      <c r="I96" s="159">
        <v>30453.78</v>
      </c>
      <c r="K96" s="159">
        <v>33696.76</v>
      </c>
      <c r="M96" s="159">
        <v>26188.85</v>
      </c>
      <c r="O96" s="159">
        <v>23892.58</v>
      </c>
      <c r="Q96" s="159">
        <v>26427.71</v>
      </c>
      <c r="S96" s="159">
        <v>26719.439999999999</v>
      </c>
      <c r="U96" s="159">
        <v>21890.77</v>
      </c>
      <c r="W96" s="159">
        <v>25606.16</v>
      </c>
      <c r="Y96" s="159">
        <v>21910.75</v>
      </c>
      <c r="AA96" s="159">
        <v>29746.12</v>
      </c>
      <c r="AC96" s="159">
        <v>26806.47</v>
      </c>
    </row>
    <row r="97" spans="1:29" s="6" customFormat="1" outlineLevel="1">
      <c r="A97" s="4">
        <v>20121</v>
      </c>
      <c r="B97" s="4" t="s">
        <v>340</v>
      </c>
      <c r="C97" s="5"/>
      <c r="D97" s="5"/>
      <c r="G97" s="159">
        <v>0</v>
      </c>
      <c r="I97" s="159">
        <v>0</v>
      </c>
      <c r="K97" s="159">
        <v>0</v>
      </c>
      <c r="M97" s="159">
        <v>0</v>
      </c>
      <c r="O97" s="159">
        <v>0</v>
      </c>
      <c r="Q97" s="159">
        <v>0</v>
      </c>
      <c r="S97" s="159">
        <v>0</v>
      </c>
      <c r="U97" s="159">
        <v>0</v>
      </c>
      <c r="W97" s="159">
        <v>4361.8500000000004</v>
      </c>
      <c r="Y97" s="159">
        <v>0</v>
      </c>
      <c r="AA97" s="159">
        <v>0</v>
      </c>
      <c r="AC97" s="159">
        <v>0</v>
      </c>
    </row>
    <row r="98" spans="1:29" s="6" customFormat="1" outlineLevel="1">
      <c r="A98" s="4">
        <v>20123</v>
      </c>
      <c r="B98" s="4" t="s">
        <v>341</v>
      </c>
      <c r="C98" s="5"/>
      <c r="D98" s="5"/>
      <c r="G98" s="159">
        <v>1092.3900000000001</v>
      </c>
      <c r="I98" s="159">
        <v>731.39</v>
      </c>
      <c r="K98" s="159">
        <v>0</v>
      </c>
      <c r="M98" s="159">
        <v>1034.49</v>
      </c>
      <c r="O98" s="159">
        <v>437.19</v>
      </c>
      <c r="Q98" s="159">
        <v>210</v>
      </c>
      <c r="S98" s="159">
        <v>7.69</v>
      </c>
      <c r="U98" s="159">
        <v>0</v>
      </c>
      <c r="W98" s="159">
        <v>1055.6099999999999</v>
      </c>
      <c r="Y98" s="159">
        <v>0</v>
      </c>
      <c r="AA98" s="159">
        <v>0</v>
      </c>
      <c r="AC98" s="159">
        <v>0</v>
      </c>
    </row>
    <row r="99" spans="1:29" s="6" customFormat="1" outlineLevel="1">
      <c r="A99" s="4">
        <v>20140</v>
      </c>
      <c r="B99" s="4" t="s">
        <v>342</v>
      </c>
      <c r="C99" s="5"/>
      <c r="D99" s="5"/>
      <c r="G99" s="159">
        <v>913.97</v>
      </c>
      <c r="I99" s="159">
        <v>0</v>
      </c>
      <c r="K99" s="159">
        <v>0</v>
      </c>
      <c r="M99" s="159">
        <v>1509.98</v>
      </c>
      <c r="O99" s="159">
        <v>2348.9</v>
      </c>
      <c r="Q99" s="159">
        <v>0</v>
      </c>
      <c r="S99" s="159">
        <v>1202.8599999999999</v>
      </c>
      <c r="U99" s="159">
        <v>0</v>
      </c>
      <c r="W99" s="159">
        <v>988.62</v>
      </c>
      <c r="Y99" s="159">
        <v>1635.76</v>
      </c>
      <c r="AA99" s="159">
        <v>2266.35</v>
      </c>
      <c r="AC99" s="159">
        <v>2724.17</v>
      </c>
    </row>
    <row r="100" spans="1:29" s="6" customFormat="1" outlineLevel="1">
      <c r="A100" s="4">
        <v>20175</v>
      </c>
      <c r="B100" s="4" t="s">
        <v>343</v>
      </c>
      <c r="C100" s="5"/>
      <c r="D100" s="5"/>
      <c r="G100" s="159">
        <v>4468.97</v>
      </c>
      <c r="I100" s="159">
        <v>5464</v>
      </c>
      <c r="K100" s="159">
        <v>5066.96</v>
      </c>
      <c r="M100" s="159">
        <v>4784.38</v>
      </c>
      <c r="O100" s="159">
        <v>3291.94</v>
      </c>
      <c r="Q100" s="159">
        <v>6131.17</v>
      </c>
      <c r="S100" s="159">
        <v>4178.18</v>
      </c>
      <c r="U100" s="159">
        <v>4722.16</v>
      </c>
      <c r="W100" s="159">
        <v>4442.2</v>
      </c>
      <c r="Y100" s="159">
        <v>2983.94</v>
      </c>
      <c r="AA100" s="159">
        <v>2929.26</v>
      </c>
      <c r="AC100" s="159">
        <v>2001.62</v>
      </c>
    </row>
    <row r="101" spans="1:29" s="6" customFormat="1" outlineLevel="1">
      <c r="A101" s="4">
        <v>20178</v>
      </c>
      <c r="B101" s="4" t="s">
        <v>344</v>
      </c>
      <c r="C101" s="5"/>
      <c r="D101" s="5"/>
      <c r="G101" s="159">
        <v>1336.37</v>
      </c>
      <c r="I101" s="159">
        <v>1689</v>
      </c>
      <c r="K101" s="159">
        <v>2016.96</v>
      </c>
      <c r="M101" s="159">
        <v>2348.4299999999998</v>
      </c>
      <c r="O101" s="159">
        <v>2694.31</v>
      </c>
      <c r="Q101" s="159">
        <v>3084.74</v>
      </c>
      <c r="S101" s="159">
        <v>3460.08</v>
      </c>
      <c r="U101" s="159">
        <v>3806.79</v>
      </c>
      <c r="W101" s="159">
        <v>4194.8</v>
      </c>
      <c r="Y101" s="159">
        <v>4527.6400000000003</v>
      </c>
      <c r="AA101" s="159">
        <v>4898.1400000000003</v>
      </c>
      <c r="AC101" s="159">
        <v>5241.6000000000004</v>
      </c>
    </row>
    <row r="102" spans="1:29" s="6" customFormat="1" outlineLevel="1">
      <c r="A102" s="4">
        <v>20180</v>
      </c>
      <c r="B102" s="4" t="s">
        <v>345</v>
      </c>
      <c r="C102" s="5"/>
      <c r="D102" s="5"/>
      <c r="G102" s="159">
        <v>1602.38</v>
      </c>
      <c r="I102" s="159">
        <v>3067.42</v>
      </c>
      <c r="K102" s="159">
        <v>4549.2700000000004</v>
      </c>
      <c r="M102" s="159">
        <v>1565.42</v>
      </c>
      <c r="O102" s="159">
        <v>3177.98</v>
      </c>
      <c r="Q102" s="159">
        <v>4943.58</v>
      </c>
      <c r="S102" s="159">
        <v>1815.81</v>
      </c>
      <c r="U102" s="159">
        <v>3292.24</v>
      </c>
      <c r="W102" s="159">
        <v>5024.5</v>
      </c>
      <c r="Y102" s="159">
        <v>1439.57</v>
      </c>
      <c r="AA102" s="159">
        <v>2974.81</v>
      </c>
      <c r="AC102" s="159">
        <v>-115.88</v>
      </c>
    </row>
    <row r="103" spans="1:29" s="6" customFormat="1" ht="5.0999999999999996" customHeight="1" outlineLevel="1">
      <c r="A103" s="5"/>
      <c r="B103" s="5"/>
      <c r="C103" s="5"/>
      <c r="D103" s="5"/>
      <c r="G103" s="36"/>
      <c r="I103" s="36"/>
      <c r="K103" s="36"/>
      <c r="M103" s="36"/>
      <c r="O103" s="36"/>
      <c r="Q103" s="36"/>
      <c r="S103" s="36"/>
      <c r="U103" s="36"/>
      <c r="W103" s="36"/>
      <c r="Y103" s="36"/>
      <c r="AA103" s="36"/>
      <c r="AC103" s="36"/>
    </row>
    <row r="104" spans="1:29" s="6" customFormat="1">
      <c r="C104" s="4" t="s">
        <v>346</v>
      </c>
      <c r="G104" s="33">
        <f>SUM(G96:G103)</f>
        <v>65606.16</v>
      </c>
      <c r="I104" s="33">
        <f>SUM(I96:I103)</f>
        <v>41405.589999999997</v>
      </c>
      <c r="K104" s="33">
        <f>SUM(K96:K103)</f>
        <v>45329.95</v>
      </c>
      <c r="M104" s="33">
        <f>SUM(M96:M103)</f>
        <v>37431.549999999996</v>
      </c>
      <c r="O104" s="33">
        <f>SUM(O96:O103)</f>
        <v>35842.9</v>
      </c>
      <c r="Q104" s="33">
        <f>SUM(Q96:Q103)</f>
        <v>40797.199999999997</v>
      </c>
      <c r="S104" s="33">
        <f>SUM(S96:S103)</f>
        <v>37384.06</v>
      </c>
      <c r="U104" s="33">
        <f>SUM(U96:U103)</f>
        <v>33711.96</v>
      </c>
      <c r="W104" s="33">
        <f>SUM(W96:W103)</f>
        <v>45673.740000000005</v>
      </c>
      <c r="Y104" s="33">
        <f>SUM(Y96:Y103)</f>
        <v>32497.659999999996</v>
      </c>
      <c r="AA104" s="33">
        <f>SUM(AA96:AA103)</f>
        <v>42814.679999999993</v>
      </c>
      <c r="AC104" s="33">
        <f>SUM(AC96:AC103)</f>
        <v>36657.980000000003</v>
      </c>
    </row>
    <row r="105" spans="1:29" s="6" customFormat="1" outlineLevel="1">
      <c r="A105" s="4">
        <v>20300</v>
      </c>
      <c r="B105" s="4" t="s">
        <v>347</v>
      </c>
      <c r="C105" s="5"/>
      <c r="D105" s="5"/>
      <c r="G105" s="159">
        <v>744.61</v>
      </c>
      <c r="I105" s="159">
        <v>969.8</v>
      </c>
      <c r="K105" s="159">
        <v>1098.95</v>
      </c>
      <c r="M105" s="159">
        <v>1043.1600000000001</v>
      </c>
      <c r="O105" s="159">
        <v>1039.72</v>
      </c>
      <c r="Q105" s="159">
        <v>987.27</v>
      </c>
      <c r="S105" s="159">
        <v>1071.8599999999999</v>
      </c>
      <c r="U105" s="159">
        <v>1187.55</v>
      </c>
      <c r="W105" s="159">
        <v>1230.8599999999999</v>
      </c>
      <c r="Y105" s="159">
        <v>1269.8399999999999</v>
      </c>
      <c r="AA105" s="159">
        <v>1285.1099999999999</v>
      </c>
      <c r="AC105" s="159">
        <v>979.44</v>
      </c>
    </row>
    <row r="106" spans="1:29" s="6" customFormat="1" ht="5.0999999999999996" customHeight="1" outlineLevel="1">
      <c r="A106" s="5"/>
      <c r="B106" s="5"/>
      <c r="C106" s="5"/>
      <c r="D106" s="5"/>
      <c r="G106" s="36"/>
      <c r="I106" s="36"/>
      <c r="K106" s="36"/>
      <c r="M106" s="36"/>
      <c r="O106" s="36"/>
      <c r="Q106" s="36"/>
      <c r="S106" s="36"/>
      <c r="U106" s="36"/>
      <c r="W106" s="36"/>
      <c r="Y106" s="36"/>
      <c r="AA106" s="36"/>
      <c r="AC106" s="36"/>
    </row>
    <row r="107" spans="1:29" s="6" customFormat="1">
      <c r="C107" s="4" t="s">
        <v>348</v>
      </c>
      <c r="G107" s="33">
        <f>SUM(G105:G106)</f>
        <v>744.61</v>
      </c>
      <c r="I107" s="33">
        <f>SUM(I105:I106)</f>
        <v>969.8</v>
      </c>
      <c r="K107" s="33">
        <f>SUM(K105:K106)</f>
        <v>1098.95</v>
      </c>
      <c r="M107" s="33">
        <f>SUM(M105:M106)</f>
        <v>1043.1600000000001</v>
      </c>
      <c r="O107" s="33">
        <f>SUM(O105:O106)</f>
        <v>1039.72</v>
      </c>
      <c r="Q107" s="33">
        <f>SUM(Q105:Q106)</f>
        <v>987.27</v>
      </c>
      <c r="S107" s="33">
        <f>SUM(S105:S106)</f>
        <v>1071.8599999999999</v>
      </c>
      <c r="U107" s="33">
        <f>SUM(U105:U106)</f>
        <v>1187.55</v>
      </c>
      <c r="W107" s="33">
        <f>SUM(W105:W106)</f>
        <v>1230.8599999999999</v>
      </c>
      <c r="Y107" s="33">
        <f>SUM(Y105:Y106)</f>
        <v>1269.8399999999999</v>
      </c>
      <c r="AA107" s="33">
        <f>SUM(AA105:AA106)</f>
        <v>1285.1099999999999</v>
      </c>
      <c r="AC107" s="33">
        <f>SUM(AC105:AC106)</f>
        <v>979.44</v>
      </c>
    </row>
    <row r="108" spans="1:29" s="6" customFormat="1" outlineLevel="1">
      <c r="A108" s="4">
        <v>20320</v>
      </c>
      <c r="B108" s="4" t="s">
        <v>349</v>
      </c>
      <c r="C108" s="5"/>
      <c r="D108" s="5"/>
      <c r="G108" s="159">
        <v>9324.09</v>
      </c>
      <c r="I108" s="159">
        <v>11800.15</v>
      </c>
      <c r="K108" s="159">
        <v>2076.59</v>
      </c>
      <c r="M108" s="159">
        <v>5076.87</v>
      </c>
      <c r="O108" s="159">
        <v>7131.34</v>
      </c>
      <c r="Q108" s="159">
        <v>9603.61</v>
      </c>
      <c r="S108" s="159">
        <v>12610.1</v>
      </c>
      <c r="U108" s="159">
        <v>12548.69</v>
      </c>
      <c r="W108" s="159">
        <v>4404.18</v>
      </c>
      <c r="Y108" s="159">
        <v>6503.03</v>
      </c>
      <c r="AA108" s="159">
        <v>6600.07</v>
      </c>
      <c r="AC108" s="159">
        <v>10881.22</v>
      </c>
    </row>
    <row r="109" spans="1:29" s="6" customFormat="1" outlineLevel="1">
      <c r="A109" s="4">
        <v>20321</v>
      </c>
      <c r="B109" s="4" t="s">
        <v>350</v>
      </c>
      <c r="C109" s="5"/>
      <c r="D109" s="5"/>
      <c r="G109" s="159">
        <v>1797.18</v>
      </c>
      <c r="I109" s="159">
        <v>2267.7600000000002</v>
      </c>
      <c r="K109" s="159">
        <v>2080.1799999999998</v>
      </c>
      <c r="M109" s="159">
        <v>2499.11</v>
      </c>
      <c r="O109" s="159">
        <v>2379.79</v>
      </c>
      <c r="Q109" s="159">
        <v>2634.49</v>
      </c>
      <c r="S109" s="159">
        <v>3229.9</v>
      </c>
      <c r="U109" s="159">
        <v>3241.65</v>
      </c>
      <c r="W109" s="159">
        <v>1956.07</v>
      </c>
      <c r="Y109" s="159">
        <v>2669.04</v>
      </c>
      <c r="AA109" s="159">
        <v>4401</v>
      </c>
      <c r="AC109" s="159">
        <v>4166.42</v>
      </c>
    </row>
    <row r="110" spans="1:29" s="6" customFormat="1" outlineLevel="1">
      <c r="A110" s="4">
        <v>20340</v>
      </c>
      <c r="B110" s="4" t="s">
        <v>351</v>
      </c>
      <c r="C110" s="5"/>
      <c r="D110" s="5"/>
      <c r="G110" s="159">
        <v>1299.5999999999999</v>
      </c>
      <c r="I110" s="159">
        <v>1624.5</v>
      </c>
      <c r="K110" s="159">
        <v>2373.67</v>
      </c>
      <c r="M110" s="159">
        <v>2339.2800000000002</v>
      </c>
      <c r="O110" s="159">
        <v>2599.1999999999998</v>
      </c>
      <c r="Q110" s="159">
        <v>2859.12</v>
      </c>
      <c r="S110" s="159">
        <v>2072.7199999999998</v>
      </c>
      <c r="U110" s="159">
        <v>1727.8</v>
      </c>
      <c r="W110" s="159">
        <v>265.82</v>
      </c>
      <c r="Y110" s="159">
        <v>398.73</v>
      </c>
      <c r="AA110" s="159">
        <v>531.64</v>
      </c>
      <c r="AC110" s="159">
        <v>664.55</v>
      </c>
    </row>
    <row r="111" spans="1:29" s="6" customFormat="1" outlineLevel="1">
      <c r="A111" s="4">
        <v>20351</v>
      </c>
      <c r="B111" s="4" t="s">
        <v>352</v>
      </c>
      <c r="C111" s="5"/>
      <c r="D111" s="5"/>
      <c r="G111" s="159">
        <v>71.75</v>
      </c>
      <c r="I111" s="159">
        <v>-7.91</v>
      </c>
      <c r="K111" s="159">
        <v>30.69</v>
      </c>
      <c r="M111" s="159">
        <v>80.349999999999994</v>
      </c>
      <c r="O111" s="159">
        <v>-148.69</v>
      </c>
      <c r="Q111" s="159">
        <v>-96.92</v>
      </c>
      <c r="S111" s="159">
        <v>-332.8</v>
      </c>
      <c r="U111" s="159">
        <v>-278.45999999999998</v>
      </c>
      <c r="W111" s="159">
        <v>-199.28</v>
      </c>
      <c r="Y111" s="159">
        <v>-147.02000000000001</v>
      </c>
      <c r="AA111" s="159">
        <v>-415.58</v>
      </c>
      <c r="AC111" s="159">
        <v>-366.16</v>
      </c>
    </row>
    <row r="112" spans="1:29" s="6" customFormat="1" outlineLevel="1">
      <c r="A112" s="4">
        <v>20360</v>
      </c>
      <c r="B112" s="4" t="s">
        <v>381</v>
      </c>
      <c r="C112" s="5"/>
      <c r="D112" s="5"/>
      <c r="G112" s="159">
        <v>0</v>
      </c>
      <c r="I112" s="159">
        <v>0</v>
      </c>
      <c r="K112" s="159">
        <v>0</v>
      </c>
      <c r="M112" s="159">
        <v>0</v>
      </c>
      <c r="O112" s="159">
        <v>0</v>
      </c>
      <c r="Q112" s="159">
        <v>0</v>
      </c>
      <c r="S112" s="159">
        <v>0</v>
      </c>
      <c r="U112" s="159">
        <v>0</v>
      </c>
      <c r="W112" s="159">
        <v>0</v>
      </c>
      <c r="Y112" s="159">
        <v>-132.63999999999999</v>
      </c>
      <c r="AA112" s="159">
        <v>0</v>
      </c>
      <c r="AC112" s="159">
        <v>-96.87</v>
      </c>
    </row>
    <row r="113" spans="1:29" s="6" customFormat="1" outlineLevel="1">
      <c r="A113" s="4">
        <v>20397</v>
      </c>
      <c r="B113" s="4" t="s">
        <v>353</v>
      </c>
      <c r="C113" s="5"/>
      <c r="D113" s="5"/>
      <c r="G113" s="159">
        <v>0</v>
      </c>
      <c r="I113" s="159">
        <v>0</v>
      </c>
      <c r="K113" s="159">
        <v>21.34</v>
      </c>
      <c r="M113" s="159">
        <v>0</v>
      </c>
      <c r="O113" s="159">
        <v>0</v>
      </c>
      <c r="Q113" s="159">
        <v>0</v>
      </c>
      <c r="S113" s="159">
        <v>0</v>
      </c>
      <c r="U113" s="159">
        <v>0</v>
      </c>
      <c r="W113" s="159">
        <v>0</v>
      </c>
      <c r="Y113" s="159">
        <v>0</v>
      </c>
      <c r="AA113" s="159">
        <v>0</v>
      </c>
      <c r="AC113" s="159">
        <v>0</v>
      </c>
    </row>
    <row r="114" spans="1:29" s="6" customFormat="1" ht="4.5" customHeight="1" outlineLevel="1">
      <c r="A114" s="37"/>
      <c r="G114" s="36"/>
      <c r="I114" s="36"/>
      <c r="K114" s="36"/>
      <c r="M114" s="36"/>
      <c r="O114" s="36"/>
      <c r="Q114" s="36"/>
      <c r="S114" s="36"/>
      <c r="U114" s="36"/>
      <c r="W114" s="36"/>
      <c r="Y114" s="36"/>
      <c r="AA114" s="36"/>
      <c r="AC114" s="36"/>
    </row>
    <row r="115" spans="1:29" s="6" customFormat="1">
      <c r="C115" s="6" t="s">
        <v>354</v>
      </c>
      <c r="G115" s="33">
        <f>SUM(G108:G114)</f>
        <v>12492.62</v>
      </c>
      <c r="I115" s="33">
        <f>SUM(I108:I114)</f>
        <v>15684.5</v>
      </c>
      <c r="K115" s="33">
        <f>SUM(K108:K114)</f>
        <v>6582.47</v>
      </c>
      <c r="M115" s="33">
        <f>SUM(M108:M114)</f>
        <v>9995.61</v>
      </c>
      <c r="O115" s="33">
        <f>SUM(O108:O114)</f>
        <v>11961.640000000001</v>
      </c>
      <c r="Q115" s="33">
        <f>SUM(Q108:Q114)</f>
        <v>15000.300000000001</v>
      </c>
      <c r="S115" s="33">
        <f>SUM(S108:S114)</f>
        <v>17579.920000000002</v>
      </c>
      <c r="U115" s="33">
        <f>SUM(U108:U114)</f>
        <v>17239.68</v>
      </c>
      <c r="W115" s="33">
        <f>SUM(W108:W114)</f>
        <v>6426.79</v>
      </c>
      <c r="Y115" s="33">
        <f>SUM(Y108:Y114)</f>
        <v>9291.14</v>
      </c>
      <c r="AA115" s="33">
        <f>SUM(AA108:AA114)</f>
        <v>11117.13</v>
      </c>
      <c r="AC115" s="33">
        <f>SUM(AC108:AC114)</f>
        <v>15249.159999999998</v>
      </c>
    </row>
    <row r="116" spans="1:29" s="6" customFormat="1" ht="7.5" customHeight="1">
      <c r="G116" s="35"/>
      <c r="I116" s="35"/>
      <c r="K116" s="35"/>
      <c r="M116" s="35"/>
      <c r="O116" s="35"/>
      <c r="Q116" s="35"/>
      <c r="S116" s="35"/>
      <c r="U116" s="35"/>
      <c r="W116" s="35"/>
      <c r="Y116" s="35"/>
      <c r="AA116" s="35"/>
      <c r="AC116" s="35"/>
    </row>
    <row r="117" spans="1:29" s="6" customFormat="1">
      <c r="B117" s="38" t="s">
        <v>355</v>
      </c>
      <c r="G117" s="39">
        <f>SUM(G95,G104,G107,G115)</f>
        <v>78843.39</v>
      </c>
      <c r="I117" s="39">
        <f>SUM(I95,I104,I107,I115)</f>
        <v>58059.89</v>
      </c>
      <c r="K117" s="39">
        <f>SUM(K95,K104,K107,K115)</f>
        <v>53011.369999999995</v>
      </c>
      <c r="M117" s="39">
        <f>SUM(M95,M104,M107,M115)</f>
        <v>48470.32</v>
      </c>
      <c r="O117" s="39">
        <f>SUM(O95,O104,O107,O115)</f>
        <v>48844.26</v>
      </c>
      <c r="Q117" s="39">
        <f>SUM(Q95,Q104,Q107,Q115)</f>
        <v>56784.77</v>
      </c>
      <c r="S117" s="39">
        <f>SUM(S95,S104,S107,S115)</f>
        <v>56035.839999999997</v>
      </c>
      <c r="U117" s="39">
        <f>SUM(U95,U104,U107,U115)</f>
        <v>52139.19</v>
      </c>
      <c r="W117" s="39">
        <f>SUM(W95,W104,W107,W115)</f>
        <v>53331.390000000007</v>
      </c>
      <c r="Y117" s="39">
        <f>SUM(Y95,Y104,Y107,Y115)</f>
        <v>43058.639999999992</v>
      </c>
      <c r="AA117" s="39">
        <f>SUM(AA95,AA104,AA107,AA115)</f>
        <v>55216.919999999991</v>
      </c>
      <c r="AC117" s="39">
        <f>SUM(AC95,AC104,AC107,AC115)</f>
        <v>52886.58</v>
      </c>
    </row>
    <row r="118" spans="1:29" s="6" customFormat="1" ht="7.5" customHeight="1">
      <c r="G118" s="35"/>
      <c r="I118" s="35"/>
      <c r="K118" s="35"/>
      <c r="M118" s="35"/>
      <c r="O118" s="35"/>
      <c r="Q118" s="35"/>
      <c r="S118" s="35"/>
      <c r="U118" s="35"/>
      <c r="W118" s="35"/>
      <c r="Y118" s="35"/>
      <c r="AA118" s="35"/>
      <c r="AC118" s="35"/>
    </row>
    <row r="119" spans="1:29" s="6" customFormat="1" outlineLevel="1">
      <c r="G119" s="35"/>
      <c r="I119" s="35"/>
      <c r="K119" s="35"/>
      <c r="M119" s="35"/>
      <c r="O119" s="35"/>
      <c r="Q119" s="35"/>
      <c r="S119" s="35"/>
      <c r="U119" s="35"/>
      <c r="W119" s="35"/>
      <c r="Y119" s="35"/>
      <c r="AA119" s="35"/>
      <c r="AC119" s="35"/>
    </row>
    <row r="120" spans="1:29" s="150" customFormat="1" outlineLevel="1"/>
    <row r="121" spans="1:29" s="6" customFormat="1" ht="5.0999999999999996" customHeight="1" outlineLevel="1">
      <c r="A121" s="5"/>
      <c r="B121" s="5"/>
      <c r="C121" s="5"/>
      <c r="D121" s="5"/>
      <c r="G121" s="36"/>
      <c r="I121" s="36"/>
      <c r="K121" s="36"/>
      <c r="M121" s="36"/>
      <c r="O121" s="36"/>
      <c r="Q121" s="36"/>
      <c r="S121" s="36"/>
      <c r="U121" s="36"/>
      <c r="W121" s="36"/>
      <c r="Y121" s="36"/>
      <c r="AA121" s="36"/>
      <c r="AC121" s="36"/>
    </row>
    <row r="122" spans="1:29" s="6" customFormat="1">
      <c r="C122" s="4" t="s">
        <v>356</v>
      </c>
      <c r="G122" s="33">
        <f>SUM(G120:G121)</f>
        <v>0</v>
      </c>
      <c r="I122" s="33">
        <f>SUM(I120:I121)</f>
        <v>0</v>
      </c>
      <c r="K122" s="33">
        <f>SUM(K120:K121)</f>
        <v>0</v>
      </c>
      <c r="M122" s="33">
        <f>SUM(M120:M121)</f>
        <v>0</v>
      </c>
      <c r="O122" s="33">
        <f>SUM(O120:O121)</f>
        <v>0</v>
      </c>
      <c r="Q122" s="33">
        <f>SUM(Q120:Q121)</f>
        <v>0</v>
      </c>
      <c r="S122" s="33">
        <f>SUM(S120:S121)</f>
        <v>0</v>
      </c>
      <c r="U122" s="33">
        <f>SUM(U120:U121)</f>
        <v>0</v>
      </c>
      <c r="W122" s="33">
        <f>SUM(W120:W121)</f>
        <v>0</v>
      </c>
      <c r="Y122" s="33">
        <f>SUM(Y120:Y121)</f>
        <v>0</v>
      </c>
      <c r="AA122" s="33">
        <f>SUM(AA120:AA121)</f>
        <v>0</v>
      </c>
      <c r="AC122" s="33">
        <f>SUM(AC120:AC121)</f>
        <v>0</v>
      </c>
    </row>
    <row r="123" spans="1:29" s="150" customFormat="1" outlineLevel="1"/>
    <row r="124" spans="1:29" s="6" customFormat="1" ht="5.0999999999999996" customHeight="1" outlineLevel="1">
      <c r="A124" s="5"/>
      <c r="B124" s="5"/>
      <c r="C124" s="5"/>
      <c r="D124" s="5"/>
      <c r="G124" s="36"/>
      <c r="I124" s="36"/>
      <c r="K124" s="36"/>
      <c r="M124" s="36"/>
      <c r="O124" s="36"/>
      <c r="Q124" s="36"/>
      <c r="S124" s="36"/>
      <c r="U124" s="36"/>
      <c r="W124" s="36"/>
      <c r="Y124" s="36"/>
      <c r="AA124" s="36"/>
      <c r="AC124" s="36"/>
    </row>
    <row r="125" spans="1:29" s="6" customFormat="1">
      <c r="C125" s="4" t="s">
        <v>357</v>
      </c>
      <c r="G125" s="33">
        <f>SUM(G123:G124)</f>
        <v>0</v>
      </c>
      <c r="I125" s="33">
        <f>SUM(I123:I124)</f>
        <v>0</v>
      </c>
      <c r="K125" s="33">
        <f>SUM(K123:K124)</f>
        <v>0</v>
      </c>
      <c r="M125" s="33">
        <f>SUM(M123:M124)</f>
        <v>0</v>
      </c>
      <c r="O125" s="33">
        <f>SUM(O123:O124)</f>
        <v>0</v>
      </c>
      <c r="Q125" s="33">
        <f>SUM(Q123:Q124)</f>
        <v>0</v>
      </c>
      <c r="S125" s="33">
        <f>SUM(S123:S124)</f>
        <v>0</v>
      </c>
      <c r="U125" s="33">
        <f>SUM(U123:U124)</f>
        <v>0</v>
      </c>
      <c r="W125" s="33">
        <f>SUM(W123:W124)</f>
        <v>0</v>
      </c>
      <c r="Y125" s="33">
        <f>SUM(Y123:Y124)</f>
        <v>0</v>
      </c>
      <c r="AA125" s="33">
        <f>SUM(AA123:AA124)</f>
        <v>0</v>
      </c>
      <c r="AC125" s="33">
        <f>SUM(AC123:AC124)</f>
        <v>0</v>
      </c>
    </row>
    <row r="126" spans="1:29" s="150" customFormat="1" outlineLevel="1"/>
    <row r="127" spans="1:29" s="6" customFormat="1" ht="5.0999999999999996" customHeight="1" outlineLevel="1">
      <c r="A127" s="5"/>
      <c r="B127" s="5"/>
      <c r="C127" s="5"/>
      <c r="D127" s="5"/>
      <c r="G127" s="36"/>
      <c r="I127" s="36"/>
      <c r="K127" s="36"/>
      <c r="M127" s="36"/>
      <c r="O127" s="36"/>
      <c r="Q127" s="36"/>
      <c r="S127" s="36"/>
      <c r="U127" s="36"/>
      <c r="W127" s="36"/>
      <c r="Y127" s="36"/>
      <c r="AA127" s="36"/>
      <c r="AC127" s="36"/>
    </row>
    <row r="128" spans="1:29" s="6" customFormat="1">
      <c r="C128" s="4" t="s">
        <v>358</v>
      </c>
      <c r="G128" s="33">
        <f>SUM(G126:G127)</f>
        <v>0</v>
      </c>
      <c r="I128" s="33">
        <f>SUM(I126:I127)</f>
        <v>0</v>
      </c>
      <c r="K128" s="33">
        <f>SUM(K126:K127)</f>
        <v>0</v>
      </c>
      <c r="M128" s="33">
        <f>SUM(M126:M127)</f>
        <v>0</v>
      </c>
      <c r="O128" s="33">
        <f>SUM(O126:O127)</f>
        <v>0</v>
      </c>
      <c r="Q128" s="33">
        <f>SUM(Q126:Q127)</f>
        <v>0</v>
      </c>
      <c r="S128" s="33">
        <f>SUM(S126:S127)</f>
        <v>0</v>
      </c>
      <c r="U128" s="33">
        <f>SUM(U126:U127)</f>
        <v>0</v>
      </c>
      <c r="W128" s="33">
        <f>SUM(W126:W127)</f>
        <v>0</v>
      </c>
      <c r="Y128" s="33">
        <f>SUM(Y126:Y127)</f>
        <v>0</v>
      </c>
      <c r="AA128" s="33">
        <f>SUM(AA126:AA127)</f>
        <v>0</v>
      </c>
      <c r="AC128" s="33">
        <f>SUM(AC126:AC127)</f>
        <v>0</v>
      </c>
    </row>
    <row r="129" spans="1:29" s="150" customFormat="1" outlineLevel="1"/>
    <row r="130" spans="1:29" s="6" customFormat="1" ht="5.0999999999999996" customHeight="1" outlineLevel="1">
      <c r="A130" s="5"/>
      <c r="B130" s="5"/>
      <c r="C130" s="5"/>
      <c r="D130" s="5"/>
      <c r="G130" s="36"/>
      <c r="I130" s="36"/>
      <c r="K130" s="36"/>
      <c r="M130" s="36"/>
      <c r="O130" s="36"/>
      <c r="Q130" s="36"/>
      <c r="S130" s="36"/>
      <c r="U130" s="36"/>
      <c r="W130" s="36"/>
      <c r="Y130" s="36"/>
      <c r="AA130" s="36"/>
      <c r="AC130" s="36"/>
    </row>
    <row r="131" spans="1:29" s="6" customFormat="1">
      <c r="C131" s="4" t="s">
        <v>359</v>
      </c>
      <c r="G131" s="33">
        <f>SUM(G129:G130)</f>
        <v>0</v>
      </c>
      <c r="I131" s="33">
        <f>SUM(I129:I130)</f>
        <v>0</v>
      </c>
      <c r="K131" s="33">
        <f>SUM(K129:K130)</f>
        <v>0</v>
      </c>
      <c r="M131" s="33">
        <f>SUM(M129:M130)</f>
        <v>0</v>
      </c>
      <c r="O131" s="33">
        <f>SUM(O129:O130)</f>
        <v>0</v>
      </c>
      <c r="Q131" s="33">
        <f>SUM(Q129:Q130)</f>
        <v>0</v>
      </c>
      <c r="S131" s="33">
        <f>SUM(S129:S130)</f>
        <v>0</v>
      </c>
      <c r="U131" s="33">
        <f>SUM(U129:U130)</f>
        <v>0</v>
      </c>
      <c r="W131" s="33">
        <f>SUM(W129:W130)</f>
        <v>0</v>
      </c>
      <c r="Y131" s="33">
        <f>SUM(Y129:Y130)</f>
        <v>0</v>
      </c>
      <c r="AA131" s="33">
        <f>SUM(AA129:AA130)</f>
        <v>0</v>
      </c>
      <c r="AC131" s="33">
        <f>SUM(AC129:AC130)</f>
        <v>0</v>
      </c>
    </row>
    <row r="132" spans="1:29" s="150" customFormat="1" outlineLevel="1"/>
    <row r="133" spans="1:29" s="6" customFormat="1" ht="5.0999999999999996" customHeight="1" outlineLevel="1">
      <c r="A133" s="5"/>
      <c r="B133" s="5"/>
      <c r="C133" s="5"/>
      <c r="D133" s="5"/>
      <c r="G133" s="36"/>
      <c r="I133" s="36"/>
      <c r="K133" s="36"/>
      <c r="M133" s="36"/>
      <c r="O133" s="36"/>
      <c r="Q133" s="36"/>
      <c r="S133" s="36"/>
      <c r="U133" s="36"/>
      <c r="W133" s="36"/>
      <c r="Y133" s="36"/>
      <c r="AA133" s="36"/>
      <c r="AC133" s="36"/>
    </row>
    <row r="134" spans="1:29" s="6" customFormat="1">
      <c r="C134" s="4" t="s">
        <v>360</v>
      </c>
      <c r="G134" s="33">
        <f>SUM(G132:G133)</f>
        <v>0</v>
      </c>
      <c r="I134" s="33">
        <f>SUM(I132:I133)</f>
        <v>0</v>
      </c>
      <c r="K134" s="33">
        <f>SUM(K132:K133)</f>
        <v>0</v>
      </c>
      <c r="M134" s="33">
        <f>SUM(M132:M133)</f>
        <v>0</v>
      </c>
      <c r="O134" s="33">
        <f>SUM(O132:O133)</f>
        <v>0</v>
      </c>
      <c r="Q134" s="33">
        <f>SUM(Q132:Q133)</f>
        <v>0</v>
      </c>
      <c r="S134" s="33">
        <f>SUM(S132:S133)</f>
        <v>0</v>
      </c>
      <c r="U134" s="33">
        <f>SUM(U132:U133)</f>
        <v>0</v>
      </c>
      <c r="W134" s="33">
        <f>SUM(W132:W133)</f>
        <v>0</v>
      </c>
      <c r="Y134" s="33">
        <f>SUM(Y132:Y133)</f>
        <v>0</v>
      </c>
      <c r="AA134" s="33">
        <f>SUM(AA132:AA133)</f>
        <v>0</v>
      </c>
      <c r="AC134" s="33">
        <f>SUM(AC132:AC133)</f>
        <v>0</v>
      </c>
    </row>
    <row r="135" spans="1:29" s="6" customFormat="1" ht="7.5" customHeight="1">
      <c r="G135" s="35"/>
      <c r="I135" s="35"/>
      <c r="K135" s="35"/>
      <c r="M135" s="35"/>
      <c r="O135" s="35"/>
      <c r="Q135" s="35"/>
      <c r="S135" s="35"/>
      <c r="U135" s="35"/>
      <c r="W135" s="35"/>
      <c r="Y135" s="35"/>
      <c r="AA135" s="35"/>
      <c r="AC135" s="35"/>
    </row>
    <row r="136" spans="1:29" s="6" customFormat="1">
      <c r="B136" s="38" t="s">
        <v>362</v>
      </c>
      <c r="G136" s="39">
        <f>SUM(G122,G128,G134,G117,G125,G131)</f>
        <v>78843.39</v>
      </c>
      <c r="I136" s="39">
        <f>SUM(I122,I128,I134,I117,I125,I131)</f>
        <v>58059.89</v>
      </c>
      <c r="K136" s="39">
        <f>SUM(K122,K128,K134,K117,K125,K131)</f>
        <v>53011.369999999995</v>
      </c>
      <c r="M136" s="39">
        <f>SUM(M122,M128,M134,M117,M125,M131)</f>
        <v>48470.32</v>
      </c>
      <c r="O136" s="39">
        <f>SUM(O122,O128,O134,O117,O125,O131)</f>
        <v>48844.26</v>
      </c>
      <c r="Q136" s="39">
        <f>SUM(Q122,Q128,Q134,Q117,Q125,Q131)</f>
        <v>56784.77</v>
      </c>
      <c r="S136" s="39">
        <f>SUM(S122,S128,S134,S117,S125,S131)</f>
        <v>56035.839999999997</v>
      </c>
      <c r="U136" s="39">
        <f>SUM(U122,U128,U134,U117,U125,U131)</f>
        <v>52139.19</v>
      </c>
      <c r="W136" s="39">
        <f>SUM(W122,W128,W134,W117,W125,W131)</f>
        <v>53331.390000000007</v>
      </c>
      <c r="Y136" s="39">
        <f>SUM(Y122,Y128,Y134,Y117,Y125,Y131)</f>
        <v>43058.639999999992</v>
      </c>
      <c r="AA136" s="39">
        <f>SUM(AA122,AA128,AA134,AA117,AA125,AA131)</f>
        <v>55216.919999999991</v>
      </c>
      <c r="AC136" s="39">
        <f>SUM(AC122,AC128,AC134,AC117,AC125,AC131)</f>
        <v>52886.58</v>
      </c>
    </row>
    <row r="137" spans="1:29" s="6" customFormat="1" ht="7.5" customHeight="1">
      <c r="G137" s="35"/>
      <c r="I137" s="35"/>
      <c r="K137" s="35"/>
      <c r="M137" s="35"/>
      <c r="O137" s="35"/>
      <c r="Q137" s="35"/>
      <c r="S137" s="35"/>
      <c r="U137" s="35"/>
      <c r="W137" s="35"/>
      <c r="Y137" s="35"/>
      <c r="AA137" s="35"/>
      <c r="AC137" s="35"/>
    </row>
    <row r="138" spans="1:29" s="150" customFormat="1" outlineLevel="1"/>
    <row r="139" spans="1:29" s="6" customFormat="1" ht="5.0999999999999996" customHeight="1" outlineLevel="1">
      <c r="A139" s="5"/>
      <c r="B139" s="5"/>
      <c r="C139" s="5"/>
      <c r="D139" s="5"/>
      <c r="G139" s="36"/>
      <c r="I139" s="36"/>
      <c r="K139" s="36"/>
      <c r="M139" s="36"/>
      <c r="O139" s="36"/>
      <c r="Q139" s="36"/>
      <c r="S139" s="36"/>
      <c r="U139" s="36"/>
      <c r="W139" s="36"/>
      <c r="Y139" s="36"/>
      <c r="AA139" s="36"/>
      <c r="AC139" s="36"/>
    </row>
    <row r="140" spans="1:29" s="6" customFormat="1">
      <c r="C140" s="4" t="s">
        <v>363</v>
      </c>
      <c r="G140" s="33">
        <f>SUM(G138:G139)</f>
        <v>0</v>
      </c>
      <c r="I140" s="33">
        <f>SUM(I138:I139)</f>
        <v>0</v>
      </c>
      <c r="K140" s="33">
        <f>SUM(K138:K139)</f>
        <v>0</v>
      </c>
      <c r="M140" s="33">
        <f>SUM(M138:M139)</f>
        <v>0</v>
      </c>
      <c r="O140" s="33">
        <f>SUM(O138:O139)</f>
        <v>0</v>
      </c>
      <c r="Q140" s="33">
        <f>SUM(Q138:Q139)</f>
        <v>0</v>
      </c>
      <c r="S140" s="33">
        <f>SUM(S138:S139)</f>
        <v>0</v>
      </c>
      <c r="U140" s="33">
        <f>SUM(U138:U139)</f>
        <v>0</v>
      </c>
      <c r="W140" s="33">
        <f>SUM(W138:W139)</f>
        <v>0</v>
      </c>
      <c r="Y140" s="33">
        <f>SUM(Y138:Y139)</f>
        <v>0</v>
      </c>
      <c r="AA140" s="33">
        <f>SUM(AA138:AA139)</f>
        <v>0</v>
      </c>
      <c r="AC140" s="33">
        <f>SUM(AC138:AC139)</f>
        <v>0</v>
      </c>
    </row>
    <row r="141" spans="1:29" s="150" customFormat="1" outlineLevel="1"/>
    <row r="142" spans="1:29" s="6" customFormat="1" ht="5.0999999999999996" customHeight="1" outlineLevel="1">
      <c r="A142" s="5"/>
      <c r="B142" s="5"/>
      <c r="C142" s="5"/>
      <c r="D142" s="5"/>
      <c r="G142" s="36"/>
      <c r="I142" s="36"/>
      <c r="K142" s="36"/>
      <c r="M142" s="36"/>
      <c r="O142" s="36"/>
      <c r="Q142" s="36"/>
      <c r="S142" s="36"/>
      <c r="U142" s="36"/>
      <c r="W142" s="36"/>
      <c r="Y142" s="36"/>
      <c r="AA142" s="36"/>
      <c r="AC142" s="36"/>
    </row>
    <row r="143" spans="1:29" s="6" customFormat="1">
      <c r="C143" s="4" t="s">
        <v>364</v>
      </c>
      <c r="G143" s="33">
        <f>SUM(G141:G142)</f>
        <v>0</v>
      </c>
      <c r="I143" s="33">
        <f>SUM(I141:I142)</f>
        <v>0</v>
      </c>
      <c r="K143" s="33">
        <f>SUM(K141:K142)</f>
        <v>0</v>
      </c>
      <c r="M143" s="33">
        <f>SUM(M141:M142)</f>
        <v>0</v>
      </c>
      <c r="O143" s="33">
        <f>SUM(O141:O142)</f>
        <v>0</v>
      </c>
      <c r="Q143" s="33">
        <f>SUM(Q141:Q142)</f>
        <v>0</v>
      </c>
      <c r="S143" s="33">
        <f>SUM(S141:S142)</f>
        <v>0</v>
      </c>
      <c r="U143" s="33">
        <f>SUM(U141:U142)</f>
        <v>0</v>
      </c>
      <c r="W143" s="33">
        <f>SUM(W141:W142)</f>
        <v>0</v>
      </c>
      <c r="Y143" s="33">
        <f>SUM(Y141:Y142)</f>
        <v>0</v>
      </c>
      <c r="AA143" s="33">
        <f>SUM(AA141:AA142)</f>
        <v>0</v>
      </c>
      <c r="AC143" s="33">
        <f>SUM(AC141:AC142)</f>
        <v>0</v>
      </c>
    </row>
    <row r="144" spans="1:29" s="150" customFormat="1" outlineLevel="1"/>
    <row r="145" spans="1:29" s="6" customFormat="1" ht="5.0999999999999996" customHeight="1" outlineLevel="1">
      <c r="A145" s="5"/>
      <c r="B145" s="5"/>
      <c r="C145" s="5"/>
      <c r="D145" s="5"/>
      <c r="G145" s="36"/>
      <c r="I145" s="36"/>
      <c r="K145" s="36"/>
      <c r="M145" s="36"/>
      <c r="O145" s="36"/>
      <c r="Q145" s="36"/>
      <c r="S145" s="36"/>
      <c r="U145" s="36"/>
      <c r="W145" s="36"/>
      <c r="Y145" s="36"/>
      <c r="AA145" s="36"/>
      <c r="AC145" s="36"/>
    </row>
    <row r="146" spans="1:29" s="6" customFormat="1">
      <c r="C146" s="4" t="s">
        <v>365</v>
      </c>
      <c r="G146" s="33">
        <f>SUM(G144:G145)</f>
        <v>0</v>
      </c>
      <c r="I146" s="33">
        <f>SUM(I144:I145)</f>
        <v>0</v>
      </c>
      <c r="K146" s="33">
        <f>SUM(K144:K145)</f>
        <v>0</v>
      </c>
      <c r="M146" s="33">
        <f>SUM(M144:M145)</f>
        <v>0</v>
      </c>
      <c r="O146" s="33">
        <f>SUM(O144:O145)</f>
        <v>0</v>
      </c>
      <c r="Q146" s="33">
        <f>SUM(Q144:Q145)</f>
        <v>0</v>
      </c>
      <c r="S146" s="33">
        <f>SUM(S144:S145)</f>
        <v>0</v>
      </c>
      <c r="U146" s="33">
        <f>SUM(U144:U145)</f>
        <v>0</v>
      </c>
      <c r="W146" s="33">
        <f>SUM(W144:W145)</f>
        <v>0</v>
      </c>
      <c r="Y146" s="33">
        <f>SUM(Y144:Y145)</f>
        <v>0</v>
      </c>
      <c r="AA146" s="33">
        <f>SUM(AA144:AA145)</f>
        <v>0</v>
      </c>
      <c r="AC146" s="33">
        <f>SUM(AC144:AC145)</f>
        <v>0</v>
      </c>
    </row>
    <row r="147" spans="1:29" s="150" customFormat="1" outlineLevel="1"/>
    <row r="148" spans="1:29" s="6" customFormat="1" ht="5.0999999999999996" customHeight="1" outlineLevel="1">
      <c r="A148" s="5"/>
      <c r="B148" s="5"/>
      <c r="C148" s="5"/>
      <c r="D148" s="5"/>
      <c r="G148" s="36"/>
      <c r="I148" s="36"/>
      <c r="K148" s="36"/>
      <c r="M148" s="36"/>
      <c r="O148" s="36"/>
      <c r="Q148" s="36"/>
      <c r="S148" s="36"/>
      <c r="U148" s="36"/>
      <c r="W148" s="36"/>
      <c r="Y148" s="36"/>
      <c r="AA148" s="36"/>
      <c r="AC148" s="36"/>
    </row>
    <row r="149" spans="1:29" s="6" customFormat="1">
      <c r="C149" s="4" t="s">
        <v>366</v>
      </c>
      <c r="G149" s="33">
        <f>SUM(G147:G148)</f>
        <v>0</v>
      </c>
      <c r="I149" s="33">
        <f>SUM(I147:I148)</f>
        <v>0</v>
      </c>
      <c r="K149" s="33">
        <f>SUM(K147:K148)</f>
        <v>0</v>
      </c>
      <c r="M149" s="33">
        <f>SUM(M147:M148)</f>
        <v>0</v>
      </c>
      <c r="O149" s="33">
        <f>SUM(O147:O148)</f>
        <v>0</v>
      </c>
      <c r="Q149" s="33">
        <f>SUM(Q147:Q148)</f>
        <v>0</v>
      </c>
      <c r="S149" s="33">
        <f>SUM(S147:S148)</f>
        <v>0</v>
      </c>
      <c r="U149" s="33">
        <f>SUM(U147:U148)</f>
        <v>0</v>
      </c>
      <c r="W149" s="33">
        <f>SUM(W147:W148)</f>
        <v>0</v>
      </c>
      <c r="Y149" s="33">
        <f>SUM(Y147:Y148)</f>
        <v>0</v>
      </c>
      <c r="AA149" s="33">
        <f>SUM(AA147:AA148)</f>
        <v>0</v>
      </c>
      <c r="AC149" s="33">
        <f>SUM(AC147:AC148)</f>
        <v>0</v>
      </c>
    </row>
    <row r="150" spans="1:29" s="150" customFormat="1" outlineLevel="1"/>
    <row r="151" spans="1:29" s="6" customFormat="1" ht="5.0999999999999996" customHeight="1" outlineLevel="1">
      <c r="A151" s="5"/>
      <c r="B151" s="5"/>
      <c r="C151" s="5"/>
      <c r="D151" s="5"/>
      <c r="G151" s="36"/>
      <c r="I151" s="36"/>
      <c r="K151" s="36"/>
      <c r="M151" s="36"/>
      <c r="O151" s="36"/>
      <c r="Q151" s="36"/>
      <c r="S151" s="36"/>
      <c r="U151" s="36"/>
      <c r="W151" s="36"/>
      <c r="Y151" s="36"/>
      <c r="AA151" s="36"/>
      <c r="AC151" s="36"/>
    </row>
    <row r="152" spans="1:29" s="6" customFormat="1">
      <c r="C152" s="4" t="s">
        <v>367</v>
      </c>
      <c r="G152" s="33">
        <f>SUM(G150:G151)</f>
        <v>0</v>
      </c>
      <c r="I152" s="33">
        <f>SUM(I150:I151)</f>
        <v>0</v>
      </c>
      <c r="K152" s="33">
        <f>SUM(K150:K151)</f>
        <v>0</v>
      </c>
      <c r="M152" s="33">
        <f>SUM(M150:M151)</f>
        <v>0</v>
      </c>
      <c r="O152" s="33">
        <f>SUM(O150:O151)</f>
        <v>0</v>
      </c>
      <c r="Q152" s="33">
        <f>SUM(Q150:Q151)</f>
        <v>0</v>
      </c>
      <c r="S152" s="33">
        <f>SUM(S150:S151)</f>
        <v>0</v>
      </c>
      <c r="U152" s="33">
        <f>SUM(U150:U151)</f>
        <v>0</v>
      </c>
      <c r="W152" s="33">
        <f>SUM(W150:W151)</f>
        <v>0</v>
      </c>
      <c r="Y152" s="33">
        <f>SUM(Y150:Y151)</f>
        <v>0</v>
      </c>
      <c r="AA152" s="33">
        <f>SUM(AA150:AA151)</f>
        <v>0</v>
      </c>
      <c r="AC152" s="33">
        <f>SUM(AC150:AC151)</f>
        <v>0</v>
      </c>
    </row>
    <row r="153" spans="1:29" s="150" customFormat="1" outlineLevel="1"/>
    <row r="154" spans="1:29" s="6" customFormat="1" ht="5.0999999999999996" customHeight="1" outlineLevel="1">
      <c r="A154" s="5"/>
      <c r="B154" s="5"/>
      <c r="C154" s="5"/>
      <c r="D154" s="5"/>
      <c r="G154" s="36"/>
      <c r="I154" s="36"/>
      <c r="K154" s="36"/>
      <c r="M154" s="36"/>
      <c r="O154" s="36"/>
      <c r="Q154" s="36"/>
      <c r="S154" s="36"/>
      <c r="U154" s="36"/>
      <c r="W154" s="36"/>
      <c r="Y154" s="36"/>
      <c r="AA154" s="36"/>
      <c r="AC154" s="36"/>
    </row>
    <row r="155" spans="1:29" s="6" customFormat="1">
      <c r="C155" s="4" t="s">
        <v>368</v>
      </c>
      <c r="G155" s="33">
        <f>SUM(G153:G154)</f>
        <v>0</v>
      </c>
      <c r="I155" s="33">
        <f>SUM(I153:I154)</f>
        <v>0</v>
      </c>
      <c r="K155" s="33">
        <f>SUM(K153:K154)</f>
        <v>0</v>
      </c>
      <c r="M155" s="33">
        <f>SUM(M153:M154)</f>
        <v>0</v>
      </c>
      <c r="O155" s="33">
        <f>SUM(O153:O154)</f>
        <v>0</v>
      </c>
      <c r="Q155" s="33">
        <f>SUM(Q153:Q154)</f>
        <v>0</v>
      </c>
      <c r="S155" s="33">
        <f>SUM(S153:S154)</f>
        <v>0</v>
      </c>
      <c r="U155" s="33">
        <f>SUM(U153:U154)</f>
        <v>0</v>
      </c>
      <c r="W155" s="33">
        <f>SUM(W153:W154)</f>
        <v>0</v>
      </c>
      <c r="Y155" s="33">
        <f>SUM(Y153:Y154)</f>
        <v>0</v>
      </c>
      <c r="AA155" s="33">
        <f>SUM(AA153:AA154)</f>
        <v>0</v>
      </c>
      <c r="AC155" s="33">
        <f>SUM(AC153:AC154)</f>
        <v>0</v>
      </c>
    </row>
    <row r="156" spans="1:29" s="6" customFormat="1" outlineLevel="1">
      <c r="A156" s="4">
        <v>29100</v>
      </c>
      <c r="B156" s="4" t="s">
        <v>369</v>
      </c>
      <c r="C156" s="5"/>
      <c r="D156" s="5"/>
      <c r="G156" s="159">
        <v>23095.09</v>
      </c>
      <c r="I156" s="159">
        <v>21162.38</v>
      </c>
      <c r="K156" s="159">
        <v>14034.18</v>
      </c>
      <c r="M156" s="159">
        <v>-575.77</v>
      </c>
      <c r="O156" s="159">
        <v>-10588.31</v>
      </c>
      <c r="Q156" s="159">
        <v>-10825.92</v>
      </c>
      <c r="S156" s="159">
        <v>-14217.76</v>
      </c>
      <c r="U156" s="159">
        <v>-15069.3</v>
      </c>
      <c r="W156" s="159">
        <v>-12171.6</v>
      </c>
      <c r="Y156" s="159">
        <v>-22207.08</v>
      </c>
      <c r="AA156" s="159">
        <v>-39122.61</v>
      </c>
      <c r="AC156" s="159">
        <v>-55728.45</v>
      </c>
    </row>
    <row r="157" spans="1:29" s="6" customFormat="1" ht="5.0999999999999996" customHeight="1" outlineLevel="1">
      <c r="A157" s="5"/>
      <c r="B157" s="5"/>
      <c r="C157" s="5"/>
      <c r="D157" s="5"/>
      <c r="G157" s="36"/>
      <c r="I157" s="36"/>
      <c r="K157" s="36"/>
      <c r="M157" s="36"/>
      <c r="O157" s="36"/>
      <c r="Q157" s="36"/>
      <c r="S157" s="36"/>
      <c r="U157" s="36"/>
      <c r="W157" s="36"/>
      <c r="Y157" s="36"/>
      <c r="AA157" s="36"/>
      <c r="AC157" s="36"/>
    </row>
    <row r="158" spans="1:29" s="6" customFormat="1">
      <c r="C158" s="4" t="s">
        <v>369</v>
      </c>
      <c r="G158" s="33">
        <f>SUM(G156:G157)</f>
        <v>23095.09</v>
      </c>
      <c r="I158" s="33">
        <f>SUM(I156:I157)</f>
        <v>21162.38</v>
      </c>
      <c r="K158" s="33">
        <f>SUM(K156:K157)</f>
        <v>14034.18</v>
      </c>
      <c r="M158" s="33">
        <f>SUM(M156:M157)</f>
        <v>-575.77</v>
      </c>
      <c r="O158" s="33">
        <f>SUM(O156:O157)</f>
        <v>-10588.31</v>
      </c>
      <c r="Q158" s="33">
        <f>SUM(Q156:Q157)</f>
        <v>-10825.92</v>
      </c>
      <c r="S158" s="33">
        <f>SUM(S156:S157)</f>
        <v>-14217.76</v>
      </c>
      <c r="U158" s="33">
        <f>SUM(U156:U157)</f>
        <v>-15069.3</v>
      </c>
      <c r="W158" s="33">
        <f>SUM(W156:W157)</f>
        <v>-12171.6</v>
      </c>
      <c r="Y158" s="33">
        <f>SUM(Y156:Y157)</f>
        <v>-22207.08</v>
      </c>
      <c r="AA158" s="33">
        <f>SUM(AA156:AA157)</f>
        <v>-39122.61</v>
      </c>
      <c r="AC158" s="33">
        <f>SUM(AC156:AC157)</f>
        <v>-55728.45</v>
      </c>
    </row>
    <row r="159" spans="1:29" s="6" customFormat="1" ht="7.5" customHeight="1">
      <c r="G159" s="35"/>
      <c r="I159" s="35"/>
      <c r="K159" s="35"/>
      <c r="M159" s="35"/>
      <c r="O159" s="35"/>
      <c r="Q159" s="35"/>
      <c r="S159" s="35"/>
      <c r="U159" s="35"/>
      <c r="W159" s="35"/>
      <c r="Y159" s="35"/>
      <c r="AA159" s="35"/>
      <c r="AC159" s="35"/>
    </row>
    <row r="160" spans="1:29" s="6" customFormat="1">
      <c r="B160" s="38" t="s">
        <v>369</v>
      </c>
      <c r="G160" s="39">
        <f>SUM(G140,G146,G152,G158,G149,G143,G155)</f>
        <v>23095.09</v>
      </c>
      <c r="I160" s="39">
        <f>SUM(I140,I146,I152,I158,I149,I143,I155)</f>
        <v>21162.38</v>
      </c>
      <c r="K160" s="39">
        <f>SUM(K140,K146,K152,K158,K149,K143,K155)</f>
        <v>14034.18</v>
      </c>
      <c r="M160" s="39">
        <f>SUM(M140,M146,M152,M158,M149,M143,M155)</f>
        <v>-575.77</v>
      </c>
      <c r="O160" s="39">
        <f>SUM(O140,O146,O152,O158,O149,O143,O155)</f>
        <v>-10588.31</v>
      </c>
      <c r="Q160" s="39">
        <f>SUM(Q140,Q146,Q152,Q158,Q149,Q143,Q155)</f>
        <v>-10825.92</v>
      </c>
      <c r="S160" s="39">
        <f>SUM(S140,S146,S152,S158,S149,S143,S155)</f>
        <v>-14217.76</v>
      </c>
      <c r="U160" s="39">
        <f>SUM(U140,U146,U152,U158,U149,U143,U155)</f>
        <v>-15069.3</v>
      </c>
      <c r="W160" s="39">
        <f>SUM(W140,W146,W152,W158,W149,W143,W155)</f>
        <v>-12171.6</v>
      </c>
      <c r="Y160" s="39">
        <f>SUM(Y140,Y146,Y152,Y158,Y149,Y143,Y155)</f>
        <v>-22207.08</v>
      </c>
      <c r="AA160" s="39">
        <f>SUM(AA140,AA146,AA152,AA158,AA149,AA143,AA155)</f>
        <v>-39122.61</v>
      </c>
      <c r="AC160" s="39">
        <f>SUM(AC140,AC146,AC152,AC158,AC149,AC143,AC155)</f>
        <v>-55728.45</v>
      </c>
    </row>
    <row r="161" spans="1:265" s="6" customFormat="1" ht="7.5" customHeight="1">
      <c r="G161" s="35"/>
      <c r="I161" s="35"/>
      <c r="K161" s="35"/>
      <c r="M161" s="35"/>
      <c r="O161" s="35"/>
      <c r="Q161" s="35"/>
      <c r="S161" s="35"/>
      <c r="U161" s="35"/>
      <c r="W161" s="35"/>
      <c r="Y161" s="35"/>
      <c r="AA161" s="35"/>
      <c r="AC161" s="35"/>
    </row>
    <row r="162" spans="1:265" s="6" customFormat="1" ht="13.5" thickBot="1">
      <c r="B162" s="38" t="s">
        <v>370</v>
      </c>
      <c r="G162" s="58">
        <f>+G136+G160</f>
        <v>101938.48</v>
      </c>
      <c r="I162" s="58">
        <f>+I136+I160</f>
        <v>79222.27</v>
      </c>
      <c r="K162" s="58">
        <f>+K136+K160</f>
        <v>67045.549999999988</v>
      </c>
      <c r="M162" s="58">
        <f>+M136+M160</f>
        <v>47894.55</v>
      </c>
      <c r="O162" s="58">
        <f>+O136+O160</f>
        <v>38255.950000000004</v>
      </c>
      <c r="Q162" s="58">
        <f>+Q136+Q160</f>
        <v>45958.85</v>
      </c>
      <c r="S162" s="58">
        <f>+S136+S160</f>
        <v>41818.079999999994</v>
      </c>
      <c r="U162" s="58">
        <f>+U136+U160</f>
        <v>37069.89</v>
      </c>
      <c r="W162" s="58">
        <f>+W136+W160</f>
        <v>41159.790000000008</v>
      </c>
      <c r="Y162" s="58">
        <f>+Y136+Y160</f>
        <v>20851.55999999999</v>
      </c>
      <c r="AA162" s="58">
        <f>+AA136+AA160</f>
        <v>16094.30999999999</v>
      </c>
      <c r="AC162" s="58">
        <f>+AC136+AC160</f>
        <v>-2841.8699999999953</v>
      </c>
    </row>
    <row r="163" spans="1:265" s="6" customFormat="1" ht="7.5" customHeight="1" thickTop="1">
      <c r="G163" s="35"/>
      <c r="I163" s="35"/>
      <c r="K163" s="35"/>
      <c r="M163" s="35"/>
      <c r="O163" s="35"/>
      <c r="Q163" s="35"/>
      <c r="S163" s="35"/>
      <c r="U163" s="35"/>
      <c r="W163" s="35"/>
      <c r="Y163" s="35"/>
      <c r="AA163" s="35"/>
      <c r="AC163" s="35"/>
    </row>
    <row r="164" spans="1:265" s="151" customFormat="1" ht="11.25">
      <c r="C164" s="151" t="s">
        <v>371</v>
      </c>
      <c r="G164" s="163">
        <f>G90-G162</f>
        <v>1.1641532182693481E-10</v>
      </c>
      <c r="I164" s="163">
        <f>I90-I162</f>
        <v>-1.1641532182693481E-10</v>
      </c>
      <c r="K164" s="163">
        <f>K90-K162</f>
        <v>0</v>
      </c>
      <c r="M164" s="163">
        <f>M90-M162</f>
        <v>-2.9103830456733704E-10</v>
      </c>
      <c r="O164" s="163">
        <f>O90-O162</f>
        <v>-1.8189894035458565E-10</v>
      </c>
      <c r="Q164" s="163">
        <f>Q90-Q162</f>
        <v>6.5483618527650833E-11</v>
      </c>
      <c r="S164" s="163">
        <f>S90-S162</f>
        <v>0</v>
      </c>
      <c r="U164" s="163">
        <f>U90-U162</f>
        <v>0</v>
      </c>
      <c r="W164" s="163">
        <f>W90-W162</f>
        <v>1.3096723705530167E-10</v>
      </c>
      <c r="Y164" s="163">
        <f>Y90-Y162</f>
        <v>-3.1286617740988731E-10</v>
      </c>
      <c r="AA164" s="163">
        <f>AA90-AA162</f>
        <v>-5.7480065152049065E-10</v>
      </c>
      <c r="AC164" s="163">
        <f>AC90-AC162</f>
        <v>-2.6193447411060333E-10</v>
      </c>
    </row>
    <row r="165" spans="1:265" s="59" customFormat="1" ht="9.75" customHeight="1">
      <c r="A165" s="6"/>
      <c r="B165" s="6"/>
      <c r="C165" s="4"/>
      <c r="D165" s="6"/>
      <c r="E165" s="1"/>
      <c r="F165" s="1"/>
      <c r="H165" s="1"/>
      <c r="J165" s="1"/>
      <c r="L165" s="1"/>
      <c r="N165" s="1"/>
      <c r="P165" s="1"/>
      <c r="R165" s="1"/>
      <c r="T165" s="1"/>
      <c r="V165" s="1"/>
      <c r="X165" s="1"/>
      <c r="Z165" s="1"/>
      <c r="AB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row>
    <row r="166" spans="1:265" ht="15" outlineLevel="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row>
    <row r="167" spans="1:265" ht="6" customHeight="1" outlineLevel="1">
      <c r="G167" s="36"/>
      <c r="H167" s="35"/>
      <c r="I167" s="36"/>
      <c r="J167" s="35"/>
      <c r="K167" s="36"/>
      <c r="L167" s="35"/>
      <c r="M167" s="36"/>
      <c r="N167" s="35"/>
      <c r="O167" s="36"/>
      <c r="P167" s="35"/>
      <c r="Q167" s="36"/>
      <c r="R167" s="35"/>
      <c r="S167" s="36"/>
      <c r="T167" s="35"/>
      <c r="U167" s="36"/>
      <c r="V167" s="35"/>
      <c r="W167" s="36"/>
      <c r="X167" s="35"/>
      <c r="Y167" s="36"/>
      <c r="Z167" s="35"/>
      <c r="AA167" s="36"/>
      <c r="AB167" s="35"/>
      <c r="AC167" s="36"/>
      <c r="AD167" s="35"/>
    </row>
    <row r="168" spans="1:265" s="3" customFormat="1">
      <c r="B168" s="3" t="s">
        <v>117</v>
      </c>
      <c r="G168" s="60">
        <f>SUM(G166:G167)</f>
        <v>0</v>
      </c>
      <c r="H168" s="165"/>
      <c r="I168" s="60">
        <f>SUM(I166:I167)</f>
        <v>0</v>
      </c>
      <c r="J168" s="165"/>
      <c r="K168" s="60">
        <f>SUM(K166:K167)</f>
        <v>0</v>
      </c>
      <c r="L168" s="165"/>
      <c r="M168" s="60">
        <f>SUM(M166:M167)</f>
        <v>0</v>
      </c>
      <c r="N168" s="165"/>
      <c r="O168" s="60">
        <f>SUM(O166:O167)</f>
        <v>0</v>
      </c>
      <c r="P168" s="165"/>
      <c r="Q168" s="60">
        <f>SUM(Q166:Q167)</f>
        <v>0</v>
      </c>
      <c r="R168" s="165"/>
      <c r="S168" s="60">
        <f>SUM(S166:S167)</f>
        <v>0</v>
      </c>
      <c r="T168" s="165"/>
      <c r="U168" s="60">
        <f>SUM(U166:U167)</f>
        <v>0</v>
      </c>
      <c r="V168" s="165"/>
      <c r="W168" s="60">
        <f>SUM(W166:W167)</f>
        <v>0</v>
      </c>
      <c r="X168" s="165"/>
      <c r="Y168" s="60">
        <f>SUM(Y166:Y167)</f>
        <v>0</v>
      </c>
      <c r="Z168" s="165"/>
      <c r="AA168" s="60">
        <f>SUM(AA166:AA167)</f>
        <v>0</v>
      </c>
      <c r="AB168" s="165"/>
      <c r="AC168" s="60">
        <f>SUM(AC166:AC167)</f>
        <v>0</v>
      </c>
      <c r="AD168" s="165"/>
      <c r="AE168" s="165"/>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row>
    <row r="169" spans="1:265">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7"/>
    </row>
  </sheetData>
  <pageMargins left="0.5" right="0.5" top="0.39" bottom="0.4" header="0.25" footer="0.25"/>
  <pageSetup scale="51" fitToHeight="5" orientation="landscape" errors="blank" horizontalDpi="4294967292" r:id="rId1"/>
  <headerFooter alignWithMargins="0">
    <oddHeader>&amp;R&amp;D - &amp;T</oddHeader>
    <oddFooter>&amp;L&amp;F - &amp;A&amp;RPage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K371"/>
  <sheetViews>
    <sheetView workbookViewId="0">
      <selection activeCell="B4" sqref="B4"/>
    </sheetView>
  </sheetViews>
  <sheetFormatPr defaultRowHeight="15"/>
  <cols>
    <col min="1" max="1" width="2.85546875" customWidth="1"/>
    <col min="5" max="5" width="10.42578125" customWidth="1"/>
  </cols>
  <sheetData>
    <row r="1" spans="1:63">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3"/>
    </row>
    <row r="2" spans="1:63">
      <c r="A2" s="112"/>
      <c r="B2" s="112"/>
      <c r="C2" s="112"/>
      <c r="D2" s="112"/>
      <c r="E2" s="112"/>
      <c r="F2" s="112"/>
      <c r="G2" s="112"/>
      <c r="H2" s="112"/>
      <c r="I2" s="112"/>
      <c r="J2" s="112"/>
      <c r="K2" s="114"/>
      <c r="L2" s="114"/>
      <c r="M2" s="114"/>
      <c r="N2" s="114"/>
      <c r="O2" s="114"/>
      <c r="P2" s="114"/>
      <c r="Q2" s="114"/>
      <c r="R2" s="114"/>
      <c r="S2" s="114"/>
      <c r="T2" s="114"/>
      <c r="U2" s="114"/>
      <c r="V2" s="114"/>
      <c r="W2" s="114"/>
      <c r="X2" s="114"/>
      <c r="Y2" s="114"/>
      <c r="Z2" s="114"/>
      <c r="AA2" s="114"/>
      <c r="AB2" s="114"/>
      <c r="AC2" s="114"/>
      <c r="AD2" s="114"/>
      <c r="AE2" s="115" t="s">
        <v>221</v>
      </c>
      <c r="AF2" s="115" t="s">
        <v>222</v>
      </c>
      <c r="AG2" s="114"/>
      <c r="AH2" s="114"/>
      <c r="AI2" s="114" t="s">
        <v>223</v>
      </c>
      <c r="AJ2" s="114"/>
      <c r="AK2" s="114"/>
      <c r="AL2" s="114"/>
      <c r="AM2" s="114"/>
      <c r="AN2" s="114"/>
      <c r="AO2" s="114"/>
      <c r="AP2" s="114"/>
      <c r="AQ2" s="114"/>
      <c r="AR2" s="114"/>
      <c r="AS2" s="112"/>
      <c r="AT2" s="112"/>
      <c r="AU2" s="112"/>
      <c r="AV2" s="112"/>
      <c r="AW2" s="112"/>
      <c r="AX2" s="112"/>
      <c r="AY2" s="112"/>
      <c r="AZ2" s="112"/>
      <c r="BA2" s="112"/>
      <c r="BB2" s="112"/>
      <c r="BC2" s="112"/>
      <c r="BD2" s="112"/>
      <c r="BE2" s="112"/>
      <c r="BF2" s="112"/>
      <c r="BG2" s="112"/>
      <c r="BH2" s="112"/>
      <c r="BI2" s="112"/>
      <c r="BJ2" s="112"/>
      <c r="BK2" s="113"/>
    </row>
    <row r="3" spans="1:63">
      <c r="A3" s="112"/>
      <c r="B3" s="114" t="s">
        <v>1629</v>
      </c>
      <c r="C3" s="112"/>
      <c r="D3" s="112"/>
      <c r="E3" s="112"/>
      <c r="F3" s="112"/>
      <c r="G3" s="112"/>
      <c r="H3" s="112"/>
      <c r="I3" s="112"/>
      <c r="J3" s="112"/>
      <c r="K3" s="114"/>
      <c r="L3" s="114"/>
      <c r="M3" s="114"/>
      <c r="N3" s="114"/>
      <c r="O3" s="114"/>
      <c r="P3" s="114"/>
      <c r="Q3" s="114"/>
      <c r="R3" s="114"/>
      <c r="S3" s="114"/>
      <c r="T3" s="114"/>
      <c r="U3" s="114"/>
      <c r="V3" s="114"/>
      <c r="W3" s="114"/>
      <c r="X3" s="114"/>
      <c r="Y3" s="114"/>
      <c r="Z3" s="114"/>
      <c r="AA3" s="114"/>
      <c r="AB3" s="114"/>
      <c r="AC3" s="114"/>
      <c r="AD3" s="114"/>
      <c r="AE3" s="115"/>
      <c r="AF3" s="115"/>
      <c r="AG3" s="114"/>
      <c r="AH3" s="114"/>
      <c r="AI3" s="114"/>
      <c r="AJ3" s="114"/>
      <c r="AK3" s="114"/>
      <c r="AL3" s="114"/>
      <c r="AM3" s="114"/>
      <c r="AN3" s="114"/>
      <c r="AO3" s="114"/>
      <c r="AP3" s="114"/>
      <c r="AQ3" s="114"/>
      <c r="AR3" s="114"/>
      <c r="AS3" s="112"/>
      <c r="AT3" s="112"/>
      <c r="AU3" s="112"/>
      <c r="AV3" s="112"/>
      <c r="AW3" s="112"/>
      <c r="AX3" s="112"/>
      <c r="AY3" s="112"/>
      <c r="AZ3" s="112"/>
      <c r="BA3" s="112"/>
      <c r="BB3" s="112"/>
      <c r="BC3" s="112"/>
      <c r="BD3" s="112"/>
      <c r="BE3" s="112"/>
      <c r="BF3" s="112"/>
      <c r="BG3" s="112"/>
      <c r="BH3" s="112"/>
      <c r="BI3" s="112"/>
      <c r="BJ3" s="112"/>
      <c r="BK3" s="113"/>
    </row>
    <row r="4" spans="1:63">
      <c r="A4" s="112"/>
      <c r="B4" s="116"/>
      <c r="C4" s="114"/>
      <c r="D4" s="114"/>
      <c r="E4" s="117"/>
      <c r="F4" s="114"/>
      <c r="G4" s="118"/>
      <c r="H4" s="114"/>
      <c r="I4" s="114"/>
      <c r="J4" s="114"/>
      <c r="K4" s="114"/>
      <c r="L4" s="114"/>
      <c r="M4" s="114"/>
      <c r="N4" s="114" t="s">
        <v>224</v>
      </c>
      <c r="O4" s="114"/>
      <c r="P4" s="114"/>
      <c r="Q4" s="114"/>
      <c r="R4" s="114"/>
      <c r="S4" s="114"/>
      <c r="T4" s="114"/>
      <c r="U4" s="115" t="s">
        <v>225</v>
      </c>
      <c r="V4" s="115" t="s">
        <v>226</v>
      </c>
      <c r="W4" s="115" t="s">
        <v>227</v>
      </c>
      <c r="X4" s="115" t="s">
        <v>228</v>
      </c>
      <c r="Y4" s="115" t="s">
        <v>229</v>
      </c>
      <c r="Z4" s="114"/>
      <c r="AA4" s="115" t="s">
        <v>230</v>
      </c>
      <c r="AB4" s="114" t="s">
        <v>231</v>
      </c>
      <c r="AC4" s="115" t="s">
        <v>232</v>
      </c>
      <c r="AD4" s="115" t="s">
        <v>233</v>
      </c>
      <c r="AE4" s="115" t="s">
        <v>234</v>
      </c>
      <c r="AF4" s="114"/>
      <c r="AG4" s="114"/>
      <c r="AH4" s="114"/>
      <c r="AI4" s="114" t="s">
        <v>235</v>
      </c>
      <c r="AJ4" s="114"/>
      <c r="AK4" s="114"/>
      <c r="AL4" s="114"/>
      <c r="AM4" s="114"/>
      <c r="AN4" s="114"/>
      <c r="AO4" s="114"/>
      <c r="AP4" s="114"/>
      <c r="AQ4" s="114"/>
      <c r="AR4" s="114"/>
      <c r="AS4" s="112"/>
      <c r="AT4" s="112"/>
      <c r="AU4" s="112"/>
      <c r="AV4" s="112"/>
      <c r="AW4" s="112"/>
      <c r="AX4" s="112"/>
      <c r="AY4" s="112"/>
      <c r="AZ4" s="112"/>
      <c r="BA4" s="112"/>
      <c r="BB4" s="112"/>
      <c r="BC4" s="112"/>
      <c r="BD4" s="112"/>
      <c r="BE4" s="112"/>
      <c r="BF4" s="112"/>
      <c r="BG4" s="112"/>
      <c r="BH4" s="112"/>
      <c r="BI4" s="112"/>
      <c r="BJ4" s="112"/>
      <c r="BK4" s="113"/>
    </row>
    <row r="5" spans="1:63">
      <c r="A5" s="112"/>
      <c r="B5" s="119" t="s">
        <v>236</v>
      </c>
      <c r="C5" s="119" t="s">
        <v>237</v>
      </c>
      <c r="D5" s="114"/>
      <c r="E5" s="117">
        <f>E7+E6</f>
        <v>1053861.9745859317</v>
      </c>
      <c r="F5" s="119" t="s">
        <v>238</v>
      </c>
      <c r="G5" s="114"/>
      <c r="H5" s="114"/>
      <c r="I5" s="114"/>
      <c r="J5" s="119"/>
      <c r="K5" s="114"/>
      <c r="L5" s="120"/>
      <c r="M5" s="114"/>
      <c r="N5" s="119" t="s">
        <v>239</v>
      </c>
      <c r="O5" s="114"/>
      <c r="P5" s="114"/>
      <c r="Q5" s="119" t="s">
        <v>240</v>
      </c>
      <c r="R5" s="114"/>
      <c r="S5" s="114"/>
      <c r="T5" s="114"/>
      <c r="U5" s="121">
        <f>$E$8*1.25</f>
        <v>1190418.1852826343</v>
      </c>
      <c r="V5" s="122">
        <f>100*(+U5/$E$9)</f>
        <v>212.21459296448381</v>
      </c>
      <c r="W5" s="123">
        <f>EXP(5.7226-(0.68367*LN(+V5)))</f>
        <v>7.8441731294173014</v>
      </c>
      <c r="X5" s="123">
        <f>(+W5*V5)/100</f>
        <v>16.646480078022339</v>
      </c>
      <c r="Y5" s="122">
        <f>100*((((X5/100)-((X5/100)-0.03574)*$E$21)-0.03574-0.00619)/0.344)</f>
        <v>23.28150247527542</v>
      </c>
      <c r="Z5" s="114">
        <f>$E$20</f>
        <v>0.25</v>
      </c>
      <c r="AA5" s="122">
        <f>Y5+Z5</f>
        <v>23.53150247527542</v>
      </c>
      <c r="AB5" s="122">
        <f>100*($E$17*$E$19+($E$18*(AA5/100))/(1-$E$21))</f>
        <v>18.700197193027474</v>
      </c>
      <c r="AC5" s="123">
        <f>AB5/V5</f>
        <v>8.8119280261547028E-2</v>
      </c>
      <c r="AD5" s="121">
        <f>$E$8/(1-AC5)</f>
        <v>1044363.0703139085</v>
      </c>
      <c r="AE5" s="114" t="str">
        <f>IF(AD5=$U$5,"yes","not yet")</f>
        <v>not yet</v>
      </c>
      <c r="AF5" s="122">
        <f>100*(1-AC5)</f>
        <v>91.188071973845297</v>
      </c>
      <c r="AG5" s="114"/>
      <c r="AH5" s="114"/>
      <c r="AI5" s="114">
        <v>0</v>
      </c>
      <c r="AJ5" s="114">
        <v>1</v>
      </c>
      <c r="AK5" s="114"/>
      <c r="AL5" s="114"/>
      <c r="AM5" s="114"/>
      <c r="AN5" s="114"/>
      <c r="AO5" s="114"/>
      <c r="AP5" s="114"/>
      <c r="AQ5" s="114"/>
      <c r="AR5" s="114"/>
      <c r="AS5" s="112"/>
      <c r="AT5" s="112"/>
      <c r="AU5" s="112"/>
      <c r="AV5" s="112"/>
      <c r="AW5" s="112"/>
      <c r="AX5" s="112"/>
      <c r="AY5" s="112"/>
      <c r="AZ5" s="112"/>
      <c r="BA5" s="112"/>
      <c r="BB5" s="112"/>
      <c r="BC5" s="112"/>
      <c r="BD5" s="112"/>
      <c r="BE5" s="112"/>
      <c r="BF5" s="112"/>
      <c r="BG5" s="112"/>
      <c r="BH5" s="112"/>
      <c r="BI5" s="112"/>
      <c r="BJ5" s="112"/>
      <c r="BK5" s="113"/>
    </row>
    <row r="6" spans="1:63">
      <c r="A6" s="112"/>
      <c r="B6" s="119" t="s">
        <v>236</v>
      </c>
      <c r="C6" s="119" t="s">
        <v>241</v>
      </c>
      <c r="D6" s="114"/>
      <c r="E6" s="117">
        <f>(+E8-((H15/100)*E7))/H25</f>
        <v>164527.382483742</v>
      </c>
      <c r="F6" s="124" t="s">
        <v>238</v>
      </c>
      <c r="G6" s="114"/>
      <c r="H6" s="146"/>
      <c r="I6" s="114"/>
      <c r="J6" s="125">
        <f>E6/E7</f>
        <v>0.18500054304065219</v>
      </c>
      <c r="K6" s="114" t="s">
        <v>242</v>
      </c>
      <c r="L6" s="120"/>
      <c r="M6" s="114"/>
      <c r="N6" s="119" t="s">
        <v>243</v>
      </c>
      <c r="O6" s="114"/>
      <c r="P6" s="114"/>
      <c r="Q6" s="119" t="s">
        <v>244</v>
      </c>
      <c r="R6" s="114"/>
      <c r="S6" s="114"/>
      <c r="T6" s="114"/>
      <c r="U6" s="121">
        <f>$E$8*1.25</f>
        <v>1190418.1852826343</v>
      </c>
      <c r="V6" s="122">
        <f>100*(+U6/$E$9)</f>
        <v>212.21459296448381</v>
      </c>
      <c r="W6" s="123">
        <f>EXP(5.70827-(0.68367*LN(+V6)))</f>
        <v>7.7325676912683807</v>
      </c>
      <c r="X6" s="123">
        <f>(+W6*V6)/100</f>
        <v>16.409637051728378</v>
      </c>
      <c r="Y6" s="122">
        <f>100*((((X6/100)-((X6/100)-0.03574)*$E$21)-0.03574-0.00619)/0.344)</f>
        <v>22.827094343432357</v>
      </c>
      <c r="Z6" s="114">
        <f>$E$20</f>
        <v>0.25</v>
      </c>
      <c r="AA6" s="122">
        <f>Y6+Z6</f>
        <v>23.077094343432357</v>
      </c>
      <c r="AB6" s="122">
        <f>100*($E$17*$E$19+($E$18*(AA6/100))/(1-$E$21))</f>
        <v>18.369039246785682</v>
      </c>
      <c r="AC6" s="123">
        <f>AB6/V6</f>
        <v>8.6558794049850854E-2</v>
      </c>
      <c r="AD6" s="121">
        <f>$E$8/(1-AC6)</f>
        <v>1042578.9224556626</v>
      </c>
      <c r="AE6" s="114" t="str">
        <f>IF(AD6=$U$6,"yes","not yet")</f>
        <v>not yet</v>
      </c>
      <c r="AF6" s="122">
        <f>100*(1-AC6)</f>
        <v>91.344120595014914</v>
      </c>
      <c r="AG6" s="114"/>
      <c r="AH6" s="114"/>
      <c r="AI6" s="114">
        <v>50</v>
      </c>
      <c r="AJ6" s="114">
        <v>2</v>
      </c>
      <c r="AK6" s="114"/>
      <c r="AL6" s="114"/>
      <c r="AM6" s="114"/>
      <c r="AN6" s="114"/>
      <c r="AO6" s="114"/>
      <c r="AP6" s="114"/>
      <c r="AQ6" s="114"/>
      <c r="AR6" s="114"/>
      <c r="AS6" s="112"/>
      <c r="AT6" s="112"/>
      <c r="AU6" s="112"/>
      <c r="AV6" s="112"/>
      <c r="AW6" s="112"/>
      <c r="AX6" s="112"/>
      <c r="AY6" s="112"/>
      <c r="AZ6" s="112"/>
      <c r="BA6" s="112"/>
      <c r="BB6" s="112"/>
      <c r="BC6" s="112"/>
      <c r="BD6" s="112"/>
      <c r="BE6" s="112"/>
      <c r="BF6" s="112"/>
      <c r="BG6" s="112"/>
      <c r="BH6" s="112"/>
      <c r="BI6" s="112"/>
      <c r="BJ6" s="112"/>
      <c r="BK6" s="113"/>
    </row>
    <row r="7" spans="1:63">
      <c r="A7" s="112"/>
      <c r="B7" s="126" t="s">
        <v>245</v>
      </c>
      <c r="C7" s="119" t="s">
        <v>19</v>
      </c>
      <c r="D7" s="126" t="s">
        <v>246</v>
      </c>
      <c r="E7" s="156">
        <f>'Consolidated IS'!K14</f>
        <v>889334.59210218966</v>
      </c>
      <c r="F7" s="119" t="s">
        <v>247</v>
      </c>
      <c r="G7" s="114"/>
      <c r="H7" s="145"/>
      <c r="I7" s="114"/>
      <c r="J7" s="119"/>
      <c r="K7" s="114"/>
      <c r="L7" s="120"/>
      <c r="M7" s="114"/>
      <c r="N7" s="119" t="s">
        <v>248</v>
      </c>
      <c r="O7" s="114"/>
      <c r="P7" s="114"/>
      <c r="Q7" s="119" t="s">
        <v>249</v>
      </c>
      <c r="R7" s="114"/>
      <c r="S7" s="114"/>
      <c r="T7" s="114"/>
      <c r="U7" s="121">
        <f>$E$8*1.25</f>
        <v>1190418.1852826343</v>
      </c>
      <c r="V7" s="122">
        <f>100*(+U7/$E$9)</f>
        <v>212.21459296448381</v>
      </c>
      <c r="W7" s="123">
        <f>EXP(5.6985-(0.68367*LN(V7)))</f>
        <v>7.6573883539934755</v>
      </c>
      <c r="X7" s="123">
        <f>(+W7*V7)/100</f>
        <v>16.250095527137042</v>
      </c>
      <c r="Y7" s="122">
        <f>100*((((X7/100)-((X7/100)-0.03574)*$E$21)-0.03574-0.00619)/0.344)</f>
        <v>22.520997232297816</v>
      </c>
      <c r="Z7" s="114">
        <f>$E$20</f>
        <v>0.25</v>
      </c>
      <c r="AA7" s="122">
        <f>Y7+Z7</f>
        <v>22.770997232297816</v>
      </c>
      <c r="AB7" s="122">
        <f>100*($E$17*$E$19+($E$18*(AA7/100))/(1-$E$21))</f>
        <v>18.145965574528272</v>
      </c>
      <c r="AC7" s="123">
        <f>AB7/V7</f>
        <v>8.5507623773852237E-2</v>
      </c>
      <c r="AD7" s="121">
        <f>$E$8/(1-AC7)</f>
        <v>1041380.5221166782</v>
      </c>
      <c r="AE7" s="114" t="str">
        <f>IF(AD7=$U$7,"yes","not yet")</f>
        <v>not yet</v>
      </c>
      <c r="AF7" s="122">
        <f>100*(1-AC7)</f>
        <v>91.449237622614774</v>
      </c>
      <c r="AG7" s="114"/>
      <c r="AH7" s="114"/>
      <c r="AI7" s="114">
        <v>125</v>
      </c>
      <c r="AJ7" s="114">
        <v>3</v>
      </c>
      <c r="AK7" s="114"/>
      <c r="AL7" s="114"/>
      <c r="AM7" s="114"/>
      <c r="AN7" s="114"/>
      <c r="AO7" s="114"/>
      <c r="AP7" s="114"/>
      <c r="AQ7" s="114"/>
      <c r="AR7" s="114"/>
      <c r="AS7" s="112"/>
      <c r="AT7" s="112"/>
      <c r="AU7" s="112"/>
      <c r="AV7" s="112"/>
      <c r="AW7" s="112"/>
      <c r="AX7" s="112"/>
      <c r="AY7" s="112"/>
      <c r="AZ7" s="112"/>
      <c r="BA7" s="112"/>
      <c r="BB7" s="112"/>
      <c r="BC7" s="112"/>
      <c r="BD7" s="112"/>
      <c r="BE7" s="112"/>
      <c r="BF7" s="112"/>
      <c r="BG7" s="112"/>
      <c r="BH7" s="112"/>
      <c r="BI7" s="112"/>
      <c r="BJ7" s="112"/>
      <c r="BK7" s="113"/>
    </row>
    <row r="8" spans="1:63">
      <c r="A8" s="112"/>
      <c r="B8" s="126" t="s">
        <v>245</v>
      </c>
      <c r="C8" s="119" t="s">
        <v>250</v>
      </c>
      <c r="D8" s="126" t="s">
        <v>246</v>
      </c>
      <c r="E8" s="117">
        <f>'Consolidated IS'!K174</f>
        <v>952334.54822610749</v>
      </c>
      <c r="F8" s="119" t="s">
        <v>247</v>
      </c>
      <c r="G8" s="114"/>
      <c r="H8" s="145"/>
      <c r="I8" s="114"/>
      <c r="J8" s="125"/>
      <c r="K8" s="146"/>
      <c r="L8" s="120"/>
      <c r="M8" s="114"/>
      <c r="N8" s="119" t="s">
        <v>251</v>
      </c>
      <c r="O8" s="114"/>
      <c r="P8" s="114"/>
      <c r="Q8" s="119" t="s">
        <v>252</v>
      </c>
      <c r="R8" s="114"/>
      <c r="S8" s="114"/>
      <c r="T8" s="114"/>
      <c r="U8" s="121">
        <f>$E$8*1.25</f>
        <v>1190418.1852826343</v>
      </c>
      <c r="V8" s="122">
        <f>100*(+U8/$E$9)</f>
        <v>212.21459296448381</v>
      </c>
      <c r="W8" s="123">
        <f>EXP(5.6922-(0.68367*LN(V8)))</f>
        <v>7.6092984496193452</v>
      </c>
      <c r="X8" s="123">
        <f>(+W8*V8)/100</f>
        <v>16.148041732312471</v>
      </c>
      <c r="Y8" s="122">
        <f>100*((((X8/100)-((X8/100)-0.03574)*$E$21)-0.03574-0.00619)/0.344)</f>
        <v>22.325196346878577</v>
      </c>
      <c r="Z8" s="114">
        <f>$E$20</f>
        <v>0.25</v>
      </c>
      <c r="AA8" s="122">
        <f>Y8+Z8</f>
        <v>22.575196346878577</v>
      </c>
      <c r="AB8" s="122">
        <f>100*($E$17*$E$19+($E$18*(AA8/100))/(1-$E$21))</f>
        <v>18.003272223454722</v>
      </c>
      <c r="AC8" s="123">
        <f>AB8/V8</f>
        <v>8.4835222554500503E-2</v>
      </c>
      <c r="AD8" s="121">
        <f>$E$8/(1-AC8)</f>
        <v>1040615.3860994957</v>
      </c>
      <c r="AE8" s="114" t="str">
        <f>IF(AD8=$U$8,"yes","not yet")</f>
        <v>not yet</v>
      </c>
      <c r="AF8" s="122">
        <f>100*(1-AC8)</f>
        <v>91.516477744549945</v>
      </c>
      <c r="AG8" s="114"/>
      <c r="AH8" s="114"/>
      <c r="AI8" s="114">
        <v>401</v>
      </c>
      <c r="AJ8" s="114">
        <v>4</v>
      </c>
      <c r="AK8" s="114"/>
      <c r="AL8" s="114"/>
      <c r="AM8" s="114"/>
      <c r="AN8" s="114"/>
      <c r="AO8" s="114"/>
      <c r="AP8" s="114"/>
      <c r="AQ8" s="114"/>
      <c r="AR8" s="114"/>
      <c r="AS8" s="112"/>
      <c r="AT8" s="112"/>
      <c r="AU8" s="112"/>
      <c r="AV8" s="112"/>
      <c r="AW8" s="112"/>
      <c r="AX8" s="112"/>
      <c r="AY8" s="112"/>
      <c r="AZ8" s="112"/>
      <c r="BA8" s="112"/>
      <c r="BB8" s="112"/>
      <c r="BC8" s="112"/>
      <c r="BD8" s="112"/>
      <c r="BE8" s="112"/>
      <c r="BF8" s="112"/>
      <c r="BG8" s="112"/>
      <c r="BH8" s="112"/>
      <c r="BI8" s="112"/>
      <c r="BJ8" s="112"/>
      <c r="BK8" s="113"/>
    </row>
    <row r="9" spans="1:63">
      <c r="A9" s="112"/>
      <c r="B9" s="126" t="s">
        <v>245</v>
      </c>
      <c r="C9" s="119" t="s">
        <v>253</v>
      </c>
      <c r="D9" s="114"/>
      <c r="E9" s="117">
        <f>'Consolidated IS'!K180</f>
        <v>560950.20076299016</v>
      </c>
      <c r="F9" s="119" t="s">
        <v>247</v>
      </c>
      <c r="G9" s="114"/>
      <c r="H9" s="114"/>
      <c r="I9" s="114"/>
      <c r="J9" s="119"/>
      <c r="K9" s="127"/>
      <c r="L9" s="120"/>
      <c r="M9" s="114"/>
      <c r="N9" s="114"/>
      <c r="O9" s="114"/>
      <c r="P9" s="114"/>
      <c r="Q9" s="114"/>
      <c r="R9" s="114"/>
      <c r="S9" s="114"/>
      <c r="T9" s="114"/>
      <c r="U9" s="114"/>
      <c r="V9" s="114"/>
      <c r="W9" s="114"/>
      <c r="X9" s="114"/>
      <c r="Y9" s="114"/>
      <c r="Z9" s="114"/>
      <c r="AA9" s="122"/>
      <c r="AB9" s="114"/>
      <c r="AC9" s="114"/>
      <c r="AD9" s="114"/>
      <c r="AE9" s="114"/>
      <c r="AF9" s="114"/>
      <c r="AG9" s="114"/>
      <c r="AH9" s="114"/>
      <c r="AI9" s="114"/>
      <c r="AJ9" s="114"/>
      <c r="AK9" s="114"/>
      <c r="AL9" s="114"/>
      <c r="AM9" s="114"/>
      <c r="AN9" s="114"/>
      <c r="AO9" s="114"/>
      <c r="AP9" s="114"/>
      <c r="AQ9" s="114"/>
      <c r="AR9" s="114"/>
      <c r="AS9" s="112"/>
      <c r="AT9" s="112"/>
      <c r="AU9" s="112"/>
      <c r="AV9" s="112"/>
      <c r="AW9" s="112"/>
      <c r="AX9" s="112"/>
      <c r="AY9" s="112"/>
      <c r="AZ9" s="112"/>
      <c r="BA9" s="112"/>
      <c r="BB9" s="112"/>
      <c r="BC9" s="112"/>
      <c r="BD9" s="112"/>
      <c r="BE9" s="112"/>
      <c r="BF9" s="112"/>
      <c r="BG9" s="112"/>
      <c r="BH9" s="112"/>
      <c r="BI9" s="112"/>
      <c r="BJ9" s="112"/>
      <c r="BK9" s="113"/>
    </row>
    <row r="10" spans="1:63">
      <c r="A10" s="112"/>
      <c r="B10" s="116"/>
      <c r="C10" s="119" t="s">
        <v>254</v>
      </c>
      <c r="D10" s="114"/>
      <c r="E10" s="122">
        <f>V5</f>
        <v>212.21459296448381</v>
      </c>
      <c r="F10" s="119" t="s">
        <v>255</v>
      </c>
      <c r="G10" s="114"/>
      <c r="H10" s="122"/>
      <c r="I10" s="122"/>
      <c r="J10" s="116"/>
      <c r="K10" s="118"/>
      <c r="L10" s="114"/>
      <c r="M10" s="114"/>
      <c r="N10" s="114"/>
      <c r="O10" s="114"/>
      <c r="P10" s="114"/>
      <c r="Q10" s="114"/>
      <c r="R10" s="114"/>
      <c r="S10" s="114"/>
      <c r="T10" s="114"/>
      <c r="U10" s="114"/>
      <c r="V10" s="128" t="s">
        <v>256</v>
      </c>
      <c r="W10" s="128" t="s">
        <v>227</v>
      </c>
      <c r="X10" s="128" t="s">
        <v>228</v>
      </c>
      <c r="Y10" s="128" t="s">
        <v>229</v>
      </c>
      <c r="Z10" s="114"/>
      <c r="AA10" s="122"/>
      <c r="AB10" s="114"/>
      <c r="AC10" s="114"/>
      <c r="AD10" s="114"/>
      <c r="AE10" s="114"/>
      <c r="AF10" s="114"/>
      <c r="AG10" s="114"/>
      <c r="AH10" s="114"/>
      <c r="AI10" s="114" t="s">
        <v>257</v>
      </c>
      <c r="AJ10" s="114"/>
      <c r="AK10" s="114"/>
      <c r="AL10" s="114"/>
      <c r="AM10" s="114"/>
      <c r="AN10" s="114"/>
      <c r="AO10" s="114"/>
      <c r="AP10" s="114"/>
      <c r="AQ10" s="114"/>
      <c r="AR10" s="114"/>
      <c r="AS10" s="112"/>
      <c r="AT10" s="112"/>
      <c r="AU10" s="112"/>
      <c r="AV10" s="112"/>
      <c r="AW10" s="112"/>
      <c r="AX10" s="112"/>
      <c r="AY10" s="112"/>
      <c r="AZ10" s="112"/>
      <c r="BA10" s="112"/>
      <c r="BB10" s="112"/>
      <c r="BC10" s="112"/>
      <c r="BD10" s="112"/>
      <c r="BE10" s="112"/>
      <c r="BF10" s="112"/>
      <c r="BG10" s="112"/>
      <c r="BH10" s="112"/>
      <c r="BI10" s="112"/>
      <c r="BJ10" s="112"/>
      <c r="BK10" s="113"/>
    </row>
    <row r="11" spans="1:63">
      <c r="A11" s="112"/>
      <c r="B11" s="116"/>
      <c r="C11" s="119" t="s">
        <v>258</v>
      </c>
      <c r="D11" s="114"/>
      <c r="E11" s="122">
        <f>HLOOKUP($AJ$34,$AJ$28:$AR$32,($E$12)+1)</f>
        <v>187.02747562493047</v>
      </c>
      <c r="F11" s="119" t="s">
        <v>255</v>
      </c>
      <c r="G11" s="114"/>
      <c r="H11" s="114"/>
      <c r="I11" s="114"/>
      <c r="J11" s="126"/>
      <c r="K11" s="617"/>
      <c r="L11" s="114"/>
      <c r="M11" s="114"/>
      <c r="N11" s="114"/>
      <c r="O11" s="114"/>
      <c r="P11" s="114"/>
      <c r="Q11" s="114"/>
      <c r="R11" s="114"/>
      <c r="S11" s="114"/>
      <c r="T11" s="114"/>
      <c r="U11" s="114"/>
      <c r="V11" s="122">
        <f>100*(+AD5/$E$9)</f>
        <v>186.17750183410087</v>
      </c>
      <c r="W11" s="129">
        <f>EXP(5.7226-(0.68367*LN(+V11)))</f>
        <v>8.5785220973689107</v>
      </c>
      <c r="X11" s="123">
        <f>(+W11*V11)/100</f>
        <v>15.971278135167752</v>
      </c>
      <c r="Y11" s="122">
        <f>100*((((X11/100)-((X11/100)-0.03574)*$E$21)-0.03574-0.00619)/0.344)</f>
        <v>21.986056887240458</v>
      </c>
      <c r="Z11" s="114">
        <f>$E$20</f>
        <v>0.25</v>
      </c>
      <c r="AA11" s="122">
        <f>Y11+Z11</f>
        <v>22.236056887240458</v>
      </c>
      <c r="AB11" s="122">
        <f>100*($E$17*$E$19+($E$18*(AA11/100))/(1-$E$21))</f>
        <v>17.756118356538231</v>
      </c>
      <c r="AC11" s="123">
        <f>AB11/V11</f>
        <v>9.5371987386318899E-2</v>
      </c>
      <c r="AD11" s="121">
        <f>$E$8/(1-AC11)</f>
        <v>1052736.0804078917</v>
      </c>
      <c r="AE11" s="114" t="str">
        <f>IF(AD11=AD5,"yes","not yet")</f>
        <v>not yet</v>
      </c>
      <c r="AF11" s="122">
        <f>100*(1-AC11)</f>
        <v>90.462801261368114</v>
      </c>
      <c r="AG11" s="114"/>
      <c r="AH11" s="114"/>
      <c r="AI11" s="114"/>
      <c r="AJ11" s="114"/>
      <c r="AK11" s="114"/>
      <c r="AL11" s="114"/>
      <c r="AM11" s="114"/>
      <c r="AN11" s="114"/>
      <c r="AO11" s="114"/>
      <c r="AP11" s="114"/>
      <c r="AQ11" s="114"/>
      <c r="AR11" s="114"/>
      <c r="AS11" s="112"/>
      <c r="AT11" s="112"/>
      <c r="AU11" s="112"/>
      <c r="AV11" s="112"/>
      <c r="AW11" s="112"/>
      <c r="AX11" s="112"/>
      <c r="AY11" s="112"/>
      <c r="AZ11" s="112"/>
      <c r="BA11" s="112"/>
      <c r="BB11" s="112"/>
      <c r="BC11" s="112"/>
      <c r="BD11" s="112"/>
      <c r="BE11" s="112"/>
      <c r="BF11" s="112"/>
      <c r="BG11" s="112"/>
      <c r="BH11" s="112"/>
      <c r="BI11" s="112"/>
      <c r="BJ11" s="112"/>
      <c r="BK11" s="113"/>
    </row>
    <row r="12" spans="1:63">
      <c r="A12" s="112"/>
      <c r="B12" s="116"/>
      <c r="C12" s="119" t="s">
        <v>259</v>
      </c>
      <c r="D12" s="114"/>
      <c r="E12" s="114">
        <f>VLOOKUP(E10,AI5:AJ8,2)</f>
        <v>3</v>
      </c>
      <c r="F12" s="119" t="s">
        <v>255</v>
      </c>
      <c r="G12" s="114"/>
      <c r="H12" s="114"/>
      <c r="I12" s="114"/>
      <c r="J12" s="126"/>
      <c r="K12" s="117"/>
      <c r="L12" s="114"/>
      <c r="M12" s="114"/>
      <c r="N12" s="114"/>
      <c r="O12" s="114"/>
      <c r="P12" s="114"/>
      <c r="Q12" s="114"/>
      <c r="R12" s="114"/>
      <c r="S12" s="114"/>
      <c r="T12" s="114"/>
      <c r="U12" s="114"/>
      <c r="V12" s="122">
        <f>100*(+AD6/$E$9)</f>
        <v>185.85944367923807</v>
      </c>
      <c r="W12" s="129">
        <f>EXP(5.70827-(0.68367*LN(+V12)))</f>
        <v>8.4663594735485006</v>
      </c>
      <c r="X12" s="123">
        <f>(+W12*V12)/100</f>
        <v>15.735528617421712</v>
      </c>
      <c r="Y12" s="122">
        <f>100*((((X12/100)-((X12/100)-0.03574)*$E$21)-0.03574-0.00619)/0.344)</f>
        <v>21.533746765983516</v>
      </c>
      <c r="Z12" s="114">
        <f>$E$20</f>
        <v>0.25</v>
      </c>
      <c r="AA12" s="122">
        <f>Y12+Z12</f>
        <v>21.783746765983516</v>
      </c>
      <c r="AB12" s="122">
        <f>100*($E$17*$E$19+($E$18*(AA12/100))/(1-$E$21))</f>
        <v>17.426489372540306</v>
      </c>
      <c r="AC12" s="123">
        <f>AB12/V12</f>
        <v>9.3761656806718288E-2</v>
      </c>
      <c r="AD12" s="121">
        <f>$E$8/(1-AC12)</f>
        <v>1050865.4322332006</v>
      </c>
      <c r="AE12" s="114" t="str">
        <f>IF(AD12=AD6,"yes","not yet")</f>
        <v>not yet</v>
      </c>
      <c r="AF12" s="122">
        <f>100*(1-AC12)</f>
        <v>90.623834319328168</v>
      </c>
      <c r="AG12" s="114"/>
      <c r="AH12" s="114"/>
      <c r="AI12" s="114"/>
      <c r="AJ12" s="114"/>
      <c r="AK12" s="114"/>
      <c r="AL12" s="114"/>
      <c r="AM12" s="114"/>
      <c r="AN12" s="114"/>
      <c r="AO12" s="114"/>
      <c r="AP12" s="114"/>
      <c r="AQ12" s="114"/>
      <c r="AR12" s="114"/>
      <c r="AS12" s="112"/>
      <c r="AT12" s="112"/>
      <c r="AU12" s="112"/>
      <c r="AV12" s="112"/>
      <c r="AW12" s="112"/>
      <c r="AX12" s="112"/>
      <c r="AY12" s="112"/>
      <c r="AZ12" s="112"/>
      <c r="BA12" s="112"/>
      <c r="BB12" s="112"/>
      <c r="BC12" s="112"/>
      <c r="BD12" s="112"/>
      <c r="BE12" s="112"/>
      <c r="BF12" s="112"/>
      <c r="BG12" s="112"/>
      <c r="BH12" s="112"/>
      <c r="BI12" s="112"/>
      <c r="BJ12" s="112"/>
      <c r="BK12" s="113"/>
    </row>
    <row r="13" spans="1:63">
      <c r="A13" s="112"/>
      <c r="B13" s="116"/>
      <c r="C13" s="114"/>
      <c r="D13" s="114"/>
      <c r="E13" s="114"/>
      <c r="F13" s="114"/>
      <c r="G13" s="114"/>
      <c r="H13" s="114"/>
      <c r="I13" s="114"/>
      <c r="J13" s="126"/>
      <c r="K13" s="598"/>
      <c r="L13" s="114"/>
      <c r="M13" s="114"/>
      <c r="N13" s="114"/>
      <c r="O13" s="114"/>
      <c r="P13" s="114"/>
      <c r="Q13" s="114"/>
      <c r="R13" s="114"/>
      <c r="S13" s="114"/>
      <c r="T13" s="114"/>
      <c r="U13" s="114"/>
      <c r="V13" s="122">
        <f>100*(+AD7/$E$9)</f>
        <v>185.64580611616128</v>
      </c>
      <c r="W13" s="129">
        <f>EXP(5.6985-(0.68367*LN(V13)))</f>
        <v>8.3906408802742121</v>
      </c>
      <c r="X13" s="123">
        <f>(+W13*V13)/100</f>
        <v>15.576872900497232</v>
      </c>
      <c r="Y13" s="122">
        <f>100*((((X13/100)-((X13/100)-0.03574)*$E$21)-0.03574-0.00619)/0.344)</f>
        <v>21.229349169558642</v>
      </c>
      <c r="Z13" s="114">
        <f>$E$20</f>
        <v>0.25</v>
      </c>
      <c r="AA13" s="122">
        <f>Y13+Z13</f>
        <v>21.479349169558642</v>
      </c>
      <c r="AB13" s="122">
        <f>100*($E$17*$E$19+($E$18*(AA13/100))/(1-$E$21))</f>
        <v>17.20465425162347</v>
      </c>
      <c r="AC13" s="123">
        <f>AB13/V13</f>
        <v>9.2674618465974218E-2</v>
      </c>
      <c r="AD13" s="121">
        <f>$E$8/(1-AC13)</f>
        <v>1049606.4230188117</v>
      </c>
      <c r="AE13" s="114" t="str">
        <f>IF(AD13=AD7,"yes","not yet")</f>
        <v>not yet</v>
      </c>
      <c r="AF13" s="122">
        <f>100*(1-AC13)</f>
        <v>90.732538153402572</v>
      </c>
      <c r="AG13" s="114"/>
      <c r="AH13" s="114"/>
      <c r="AI13" s="114"/>
      <c r="AJ13" s="114">
        <v>1</v>
      </c>
      <c r="AK13" s="114">
        <v>2</v>
      </c>
      <c r="AL13" s="114">
        <v>3</v>
      </c>
      <c r="AM13" s="114">
        <v>4</v>
      </c>
      <c r="AN13" s="114">
        <v>5</v>
      </c>
      <c r="AO13" s="114">
        <v>6</v>
      </c>
      <c r="AP13" s="114">
        <v>7</v>
      </c>
      <c r="AQ13" s="114">
        <v>8</v>
      </c>
      <c r="AR13" s="114">
        <v>9</v>
      </c>
      <c r="AS13" s="112"/>
      <c r="AT13" s="112"/>
      <c r="AU13" s="112"/>
      <c r="AV13" s="112"/>
      <c r="AW13" s="112"/>
      <c r="AX13" s="112"/>
      <c r="AY13" s="112"/>
      <c r="AZ13" s="112"/>
      <c r="BA13" s="112"/>
      <c r="BB13" s="112"/>
      <c r="BC13" s="112"/>
      <c r="BD13" s="112"/>
      <c r="BE13" s="112"/>
      <c r="BF13" s="112"/>
      <c r="BG13" s="112"/>
      <c r="BH13" s="112"/>
      <c r="BI13" s="112"/>
      <c r="BJ13" s="112"/>
      <c r="BK13" s="113"/>
    </row>
    <row r="14" spans="1:63">
      <c r="A14" s="112"/>
      <c r="B14" s="116"/>
      <c r="C14" s="119" t="s">
        <v>260</v>
      </c>
      <c r="D14" s="114"/>
      <c r="E14" s="114"/>
      <c r="F14" s="114"/>
      <c r="G14" s="114"/>
      <c r="H14" s="114"/>
      <c r="I14" s="114"/>
      <c r="J14" s="116"/>
      <c r="K14" s="117"/>
      <c r="L14" s="114"/>
      <c r="M14" s="114"/>
      <c r="N14" s="114"/>
      <c r="O14" s="114"/>
      <c r="P14" s="114"/>
      <c r="Q14" s="114"/>
      <c r="R14" s="114"/>
      <c r="S14" s="114"/>
      <c r="T14" s="114"/>
      <c r="U14" s="114"/>
      <c r="V14" s="122">
        <f>100*(+AD8/$E$9)</f>
        <v>185.50940612626167</v>
      </c>
      <c r="W14" s="129">
        <f>EXP(5.6922-(0.68367*LN(V14)))</f>
        <v>8.342136869334551</v>
      </c>
      <c r="X14" s="123">
        <f>(+W14*V14)/100</f>
        <v>15.475448564542443</v>
      </c>
      <c r="Y14" s="122">
        <f>100*((((X14/100)-((X14/100)-0.03574)*$E$21)-0.03574-0.00619)/0.344)</f>
        <v>21.034755966854686</v>
      </c>
      <c r="Z14" s="114">
        <f>$E$20</f>
        <v>0.25</v>
      </c>
      <c r="AA14" s="122">
        <f>Y14+Z14</f>
        <v>21.284755966854686</v>
      </c>
      <c r="AB14" s="122">
        <f>100*($E$17*$E$19+($E$18*(AA14/100))/(1-$E$21))</f>
        <v>17.062841020643898</v>
      </c>
      <c r="AC14" s="123">
        <f>AB14/V14</f>
        <v>9.1978306528729667E-2</v>
      </c>
      <c r="AD14" s="121">
        <f>$E$8/(1-AC14)</f>
        <v>1048801.5375331328</v>
      </c>
      <c r="AE14" s="114" t="str">
        <f>IF(AD14=AD8,"yes","not yet")</f>
        <v>not yet</v>
      </c>
      <c r="AF14" s="122">
        <f>100*(1-AC14)</f>
        <v>90.802169347127034</v>
      </c>
      <c r="AG14" s="114"/>
      <c r="AH14" s="114"/>
      <c r="AI14" s="114"/>
      <c r="AJ14" s="114" t="str">
        <f>AE5</f>
        <v>not yet</v>
      </c>
      <c r="AK14" s="114" t="str">
        <f>AE11</f>
        <v>not yet</v>
      </c>
      <c r="AL14" s="114" t="str">
        <f>AE17</f>
        <v>not yet</v>
      </c>
      <c r="AM14" s="114" t="str">
        <f>AE23</f>
        <v>not yet</v>
      </c>
      <c r="AN14" s="114" t="str">
        <f>AE29</f>
        <v>not yet</v>
      </c>
      <c r="AO14" s="114" t="str">
        <f>AE35</f>
        <v>not yet</v>
      </c>
      <c r="AP14" s="114" t="str">
        <f>AE41</f>
        <v>yes</v>
      </c>
      <c r="AQ14" s="114" t="str">
        <f>AE47</f>
        <v>yes</v>
      </c>
      <c r="AR14" s="114" t="str">
        <f>AE53</f>
        <v>yes</v>
      </c>
      <c r="AS14" s="112"/>
      <c r="AT14" s="112"/>
      <c r="AU14" s="112"/>
      <c r="AV14" s="112"/>
      <c r="AW14" s="112"/>
      <c r="AX14" s="112"/>
      <c r="AY14" s="112"/>
      <c r="AZ14" s="112"/>
      <c r="BA14" s="112"/>
      <c r="BB14" s="112"/>
      <c r="BC14" s="112"/>
      <c r="BD14" s="112"/>
      <c r="BE14" s="112"/>
      <c r="BF14" s="112"/>
      <c r="BG14" s="112"/>
      <c r="BH14" s="112"/>
      <c r="BI14" s="112"/>
      <c r="BJ14" s="112"/>
      <c r="BK14" s="113"/>
    </row>
    <row r="15" spans="1:63">
      <c r="A15" s="112"/>
      <c r="B15" s="116"/>
      <c r="C15" s="119" t="s">
        <v>261</v>
      </c>
      <c r="D15" s="114"/>
      <c r="E15" s="126" t="s">
        <v>236</v>
      </c>
      <c r="F15" s="119" t="s">
        <v>262</v>
      </c>
      <c r="G15" s="114"/>
      <c r="H15" s="122">
        <f>HLOOKUP($AJ$25,$AJ$19:$AR$23,($E$12)+1)</f>
        <v>90.773654887020484</v>
      </c>
      <c r="I15" s="119" t="s">
        <v>238</v>
      </c>
      <c r="J15" s="112"/>
      <c r="K15" s="130"/>
      <c r="L15" s="114"/>
      <c r="M15" s="114"/>
      <c r="N15" s="114"/>
      <c r="O15" s="114"/>
      <c r="P15" s="114"/>
      <c r="Q15" s="114"/>
      <c r="R15" s="114"/>
      <c r="S15" s="114"/>
      <c r="T15" s="114"/>
      <c r="U15" s="114"/>
      <c r="V15" s="114"/>
      <c r="W15" s="114"/>
      <c r="X15" s="114"/>
      <c r="Y15" s="114"/>
      <c r="Z15" s="114"/>
      <c r="AA15" s="122"/>
      <c r="AB15" s="114"/>
      <c r="AC15" s="114"/>
      <c r="AD15" s="114"/>
      <c r="AE15" s="114"/>
      <c r="AF15" s="114"/>
      <c r="AG15" s="114"/>
      <c r="AH15" s="114"/>
      <c r="AI15" s="114"/>
      <c r="AJ15" s="114" t="str">
        <f>AE6</f>
        <v>not yet</v>
      </c>
      <c r="AK15" s="114" t="str">
        <f>AE12</f>
        <v>not yet</v>
      </c>
      <c r="AL15" s="114" t="str">
        <f>AE18</f>
        <v>not yet</v>
      </c>
      <c r="AM15" s="114" t="str">
        <f>AE24</f>
        <v>not yet</v>
      </c>
      <c r="AN15" s="114" t="str">
        <f>AE30</f>
        <v>not yet</v>
      </c>
      <c r="AO15" s="114" t="str">
        <f>AE36</f>
        <v>not yet</v>
      </c>
      <c r="AP15" s="114" t="str">
        <f>AE42</f>
        <v>yes</v>
      </c>
      <c r="AQ15" s="114" t="str">
        <f>AE48</f>
        <v>yes</v>
      </c>
      <c r="AR15" s="114" t="str">
        <f>AE54</f>
        <v>yes</v>
      </c>
      <c r="AS15" s="112"/>
      <c r="AT15" s="112"/>
      <c r="AU15" s="112"/>
      <c r="AV15" s="112"/>
      <c r="AW15" s="112"/>
      <c r="AX15" s="112"/>
      <c r="AY15" s="112"/>
      <c r="AZ15" s="112"/>
      <c r="BA15" s="112"/>
      <c r="BB15" s="112"/>
      <c r="BC15" s="112"/>
      <c r="BD15" s="112"/>
      <c r="BE15" s="112"/>
      <c r="BF15" s="112"/>
      <c r="BG15" s="112"/>
      <c r="BH15" s="112"/>
      <c r="BI15" s="112"/>
      <c r="BJ15" s="112"/>
      <c r="BK15" s="113"/>
    </row>
    <row r="16" spans="1:63">
      <c r="A16" s="112"/>
      <c r="B16" s="116"/>
      <c r="C16" s="131"/>
      <c r="D16" s="131"/>
      <c r="E16" s="132"/>
      <c r="F16" s="114"/>
      <c r="G16" s="114"/>
      <c r="H16" s="131"/>
      <c r="I16" s="116"/>
      <c r="J16" s="112"/>
      <c r="K16" s="117"/>
      <c r="L16" s="114"/>
      <c r="M16" s="114"/>
      <c r="N16" s="114"/>
      <c r="O16" s="114"/>
      <c r="P16" s="114"/>
      <c r="Q16" s="114"/>
      <c r="R16" s="114"/>
      <c r="S16" s="114"/>
      <c r="T16" s="114"/>
      <c r="U16" s="114"/>
      <c r="V16" s="119" t="s">
        <v>263</v>
      </c>
      <c r="W16" s="128" t="s">
        <v>227</v>
      </c>
      <c r="X16" s="128" t="s">
        <v>228</v>
      </c>
      <c r="Y16" s="128" t="s">
        <v>229</v>
      </c>
      <c r="Z16" s="114"/>
      <c r="AA16" s="122"/>
      <c r="AB16" s="114"/>
      <c r="AC16" s="114"/>
      <c r="AD16" s="114"/>
      <c r="AE16" s="114"/>
      <c r="AF16" s="114"/>
      <c r="AG16" s="114"/>
      <c r="AH16" s="114"/>
      <c r="AI16" s="114"/>
      <c r="AJ16" s="114" t="str">
        <f>AE7</f>
        <v>not yet</v>
      </c>
      <c r="AK16" s="114" t="str">
        <f>AE13</f>
        <v>not yet</v>
      </c>
      <c r="AL16" s="114" t="str">
        <f>AE19</f>
        <v>not yet</v>
      </c>
      <c r="AM16" s="114" t="str">
        <f>AE25</f>
        <v>not yet</v>
      </c>
      <c r="AN16" s="114" t="str">
        <f>AE31</f>
        <v>not yet</v>
      </c>
      <c r="AO16" s="114" t="str">
        <f>AE37</f>
        <v>not yet</v>
      </c>
      <c r="AP16" s="114" t="str">
        <f>AE43</f>
        <v>yes</v>
      </c>
      <c r="AQ16" s="114" t="str">
        <f>AE49</f>
        <v>yes</v>
      </c>
      <c r="AR16" s="114" t="str">
        <f>AE55</f>
        <v>yes</v>
      </c>
      <c r="AS16" s="112"/>
      <c r="AT16" s="112"/>
      <c r="AU16" s="112"/>
      <c r="AV16" s="112"/>
      <c r="AW16" s="112"/>
      <c r="AX16" s="112"/>
      <c r="AY16" s="112"/>
      <c r="AZ16" s="112"/>
      <c r="BA16" s="112"/>
      <c r="BB16" s="112"/>
      <c r="BC16" s="112"/>
      <c r="BD16" s="112"/>
      <c r="BE16" s="112"/>
      <c r="BF16" s="112"/>
      <c r="BG16" s="112"/>
      <c r="BH16" s="112"/>
      <c r="BI16" s="112"/>
      <c r="BJ16" s="112"/>
      <c r="BK16" s="113"/>
    </row>
    <row r="17" spans="1:63">
      <c r="A17" s="112"/>
      <c r="B17" s="126" t="s">
        <v>245</v>
      </c>
      <c r="C17" s="119" t="s">
        <v>264</v>
      </c>
      <c r="D17" s="114"/>
      <c r="E17" s="133">
        <f>'Corp-BS'!D65</f>
        <v>0.51901335120677927</v>
      </c>
      <c r="F17" s="119" t="s">
        <v>265</v>
      </c>
      <c r="G17" s="114"/>
      <c r="H17" s="114"/>
      <c r="I17" s="116"/>
      <c r="J17" s="112"/>
      <c r="K17" s="114"/>
      <c r="L17" s="114"/>
      <c r="M17" s="114"/>
      <c r="N17" s="114"/>
      <c r="O17" s="114"/>
      <c r="P17" s="114"/>
      <c r="Q17" s="114"/>
      <c r="R17" s="114"/>
      <c r="S17" s="114"/>
      <c r="T17" s="114"/>
      <c r="U17" s="114"/>
      <c r="V17" s="122">
        <f>100*(+AD11/$E$9)</f>
        <v>187.67014950275208</v>
      </c>
      <c r="W17" s="129">
        <f>EXP(5.7226-(0.68367*LN(+V17)))</f>
        <v>8.5318164919126449</v>
      </c>
      <c r="X17" s="123">
        <f>(+W17*V17)/100</f>
        <v>16.011672765672916</v>
      </c>
      <c r="Y17" s="122">
        <f>100*((((X17/100)-((X17/100)-0.03574)*$E$21)-0.03574-0.00619)/0.344)</f>
        <v>22.06355821320966</v>
      </c>
      <c r="Z17" s="114">
        <f>$E$20</f>
        <v>0.25</v>
      </c>
      <c r="AA17" s="122">
        <f>Y17+Z17</f>
        <v>22.31355821320966</v>
      </c>
      <c r="AB17" s="122">
        <f>100*($E$17*$E$19+($E$18*(AA17/100))/(1-$E$21))</f>
        <v>17.812598815712409</v>
      </c>
      <c r="AC17" s="123">
        <f>AB17/V17</f>
        <v>9.4914395618634045E-2</v>
      </c>
      <c r="AD17" s="121">
        <f>$E$8/(1-AC17)</f>
        <v>1052203.839742912</v>
      </c>
      <c r="AE17" s="114" t="str">
        <f>IF(AD17=AD11,"yes","not yet")</f>
        <v>not yet</v>
      </c>
      <c r="AF17" s="122">
        <f>100*(1-AC17)</f>
        <v>90.508560438136598</v>
      </c>
      <c r="AG17" s="114"/>
      <c r="AH17" s="114"/>
      <c r="AI17" s="114"/>
      <c r="AJ17" s="114" t="str">
        <f>AE8</f>
        <v>not yet</v>
      </c>
      <c r="AK17" s="114" t="str">
        <f>AE14</f>
        <v>not yet</v>
      </c>
      <c r="AL17" s="114" t="str">
        <f>AE20</f>
        <v>not yet</v>
      </c>
      <c r="AM17" s="114" t="str">
        <f>AE26</f>
        <v>not yet</v>
      </c>
      <c r="AN17" s="114" t="str">
        <f>AE32</f>
        <v>not yet</v>
      </c>
      <c r="AO17" s="114" t="str">
        <f>AE38</f>
        <v>not yet</v>
      </c>
      <c r="AP17" s="114" t="str">
        <f>AE44</f>
        <v>yes</v>
      </c>
      <c r="AQ17" s="114" t="str">
        <f>AE50</f>
        <v>yes</v>
      </c>
      <c r="AR17" s="114" t="str">
        <f>AE56</f>
        <v>yes</v>
      </c>
      <c r="AS17" s="112"/>
      <c r="AT17" s="112"/>
      <c r="AU17" s="112"/>
      <c r="AV17" s="112"/>
      <c r="AW17" s="112"/>
      <c r="AX17" s="112"/>
      <c r="AY17" s="112"/>
      <c r="AZ17" s="112"/>
      <c r="BA17" s="112"/>
      <c r="BB17" s="112"/>
      <c r="BC17" s="112"/>
      <c r="BD17" s="112"/>
      <c r="BE17" s="112"/>
      <c r="BF17" s="112"/>
      <c r="BG17" s="112"/>
      <c r="BH17" s="112"/>
      <c r="BI17" s="112"/>
      <c r="BJ17" s="112"/>
      <c r="BK17" s="113"/>
    </row>
    <row r="18" spans="1:63">
      <c r="A18" s="112"/>
      <c r="B18" s="126" t="s">
        <v>245</v>
      </c>
      <c r="C18" s="119" t="s">
        <v>266</v>
      </c>
      <c r="D18" s="114"/>
      <c r="E18" s="133">
        <f>'Corp-BS'!D66</f>
        <v>0.48098664879322067</v>
      </c>
      <c r="F18" s="119" t="s">
        <v>267</v>
      </c>
      <c r="G18" s="114"/>
      <c r="H18" s="120">
        <v>1.4999999999999999E-2</v>
      </c>
      <c r="I18" s="119" t="s">
        <v>245</v>
      </c>
      <c r="J18" s="112"/>
      <c r="K18" s="114"/>
      <c r="L18" s="114"/>
      <c r="M18" s="114"/>
      <c r="N18" s="114"/>
      <c r="O18" s="114"/>
      <c r="P18" s="114"/>
      <c r="Q18" s="114"/>
      <c r="R18" s="114"/>
      <c r="S18" s="114"/>
      <c r="T18" s="114"/>
      <c r="U18" s="114"/>
      <c r="V18" s="122">
        <f>100*(+AD12/$E$9)</f>
        <v>187.33667102780964</v>
      </c>
      <c r="W18" s="129">
        <f>EXP(5.70827-(0.68367*LN(+V18)))</f>
        <v>8.4206600247775345</v>
      </c>
      <c r="X18" s="123">
        <f>(+W18*V18)/100</f>
        <v>15.774984168987764</v>
      </c>
      <c r="Y18" s="122">
        <f>100*((((X18/100)-((X18/100)-0.03574)*$E$21)-0.03574-0.00619)/0.344)</f>
        <v>21.609446370732339</v>
      </c>
      <c r="Z18" s="114">
        <f>$E$20</f>
        <v>0.25</v>
      </c>
      <c r="AA18" s="122">
        <f>Y18+Z18</f>
        <v>21.859446370732339</v>
      </c>
      <c r="AB18" s="122">
        <f>100*($E$17*$E$19+($E$18*(AA18/100))/(1-$E$21))</f>
        <v>17.481656795575315</v>
      </c>
      <c r="AC18" s="123">
        <f>AB18/V18</f>
        <v>9.3316790031889738E-2</v>
      </c>
      <c r="AD18" s="121">
        <f>$E$8/(1-AC18)</f>
        <v>1050349.8220283608</v>
      </c>
      <c r="AE18" s="114" t="str">
        <f>IF(AD18=AD12,"yes","not yet")</f>
        <v>not yet</v>
      </c>
      <c r="AF18" s="122">
        <f>100*(1-AC18)</f>
        <v>90.668320996811019</v>
      </c>
      <c r="AG18" s="114"/>
      <c r="AH18" s="114"/>
      <c r="AI18" s="114"/>
      <c r="AJ18" s="114"/>
      <c r="AK18" s="114"/>
      <c r="AL18" s="114"/>
      <c r="AM18" s="114"/>
      <c r="AN18" s="114"/>
      <c r="AO18" s="114"/>
      <c r="AP18" s="114"/>
      <c r="AQ18" s="114"/>
      <c r="AR18" s="114"/>
      <c r="AS18" s="112"/>
      <c r="AT18" s="112"/>
      <c r="AU18" s="112"/>
      <c r="AV18" s="112"/>
      <c r="AW18" s="112"/>
      <c r="AX18" s="112"/>
      <c r="AY18" s="112"/>
      <c r="AZ18" s="112"/>
      <c r="BA18" s="112"/>
      <c r="BB18" s="112"/>
      <c r="BC18" s="112"/>
      <c r="BD18" s="112"/>
      <c r="BE18" s="112"/>
      <c r="BF18" s="112"/>
      <c r="BG18" s="112"/>
      <c r="BH18" s="112"/>
      <c r="BI18" s="112"/>
      <c r="BJ18" s="112"/>
      <c r="BK18" s="113"/>
    </row>
    <row r="19" spans="1:63">
      <c r="A19" s="112"/>
      <c r="B19" s="126" t="s">
        <v>245</v>
      </c>
      <c r="C19" s="119" t="s">
        <v>268</v>
      </c>
      <c r="D19" s="114"/>
      <c r="E19" s="133">
        <f>'Corp-BS'!C75</f>
        <v>2.9887466997092278E-2</v>
      </c>
      <c r="F19" s="119" t="s">
        <v>269</v>
      </c>
      <c r="G19" s="114"/>
      <c r="H19" s="130">
        <v>4.2750000000000002E-3</v>
      </c>
      <c r="I19" s="119" t="s">
        <v>245</v>
      </c>
      <c r="J19" s="112"/>
      <c r="K19" s="114"/>
      <c r="L19" s="114"/>
      <c r="M19" s="114"/>
      <c r="N19" s="114"/>
      <c r="O19" s="114"/>
      <c r="P19" s="114"/>
      <c r="Q19" s="114"/>
      <c r="R19" s="114"/>
      <c r="S19" s="114"/>
      <c r="T19" s="114"/>
      <c r="U19" s="114"/>
      <c r="V19" s="122">
        <f>100*(+AD13/$E$9)</f>
        <v>187.11222878450954</v>
      </c>
      <c r="W19" s="129">
        <f>EXP(5.6985-(0.68367*LN(V19)))</f>
        <v>8.3456278233052501</v>
      </c>
      <c r="X19" s="123">
        <f>(+W19*V19)/100</f>
        <v>15.615690226246604</v>
      </c>
      <c r="Y19" s="122">
        <f>100*((((X19/100)-((X19/100)-0.03574)*$E$21)-0.03574-0.00619)/0.344)</f>
        <v>21.303824271287091</v>
      </c>
      <c r="Z19" s="114">
        <f>$E$20</f>
        <v>0.25</v>
      </c>
      <c r="AA19" s="122">
        <f>Y19+Z19</f>
        <v>21.553824271287091</v>
      </c>
      <c r="AB19" s="122">
        <f>100*($E$17*$E$19+($E$18*(AA19/100))/(1-$E$21))</f>
        <v>17.258929296470289</v>
      </c>
      <c r="AC19" s="123">
        <f>AB19/V19</f>
        <v>9.2238382325864871E-2</v>
      </c>
      <c r="AD19" s="121">
        <f>$E$8/(1-AC19)</f>
        <v>1049102.0215926038</v>
      </c>
      <c r="AE19" s="114" t="str">
        <f>IF(AD19=AD13,"yes","not yet")</f>
        <v>not yet</v>
      </c>
      <c r="AF19" s="122">
        <f>100*(1-AC19)</f>
        <v>90.776161767413512</v>
      </c>
      <c r="AG19" s="114"/>
      <c r="AH19" s="114"/>
      <c r="AI19" s="114"/>
      <c r="AJ19" s="114" t="str">
        <f>HLOOKUP(1,$AJ$13:$AR$17,($E$12)+1)</f>
        <v>not yet</v>
      </c>
      <c r="AK19" s="114" t="str">
        <f>HLOOKUP(2,$AJ$13:$AR$17,($E$12)+1)</f>
        <v>not yet</v>
      </c>
      <c r="AL19" s="114" t="str">
        <f>HLOOKUP(3,$AJ$13:$AR$17,($E$12)+1)</f>
        <v>not yet</v>
      </c>
      <c r="AM19" s="114" t="str">
        <f>HLOOKUP(4,$AJ$13:$AR$17,($E$12)+1)</f>
        <v>not yet</v>
      </c>
      <c r="AN19" s="114" t="str">
        <f>HLOOKUP(5,$AJ$13:$AR$17,($E$12)+1)</f>
        <v>not yet</v>
      </c>
      <c r="AO19" s="114" t="str">
        <f>HLOOKUP(6,$AJ$13:$AR$17,($E$12)+1)</f>
        <v>not yet</v>
      </c>
      <c r="AP19" s="114" t="str">
        <f>HLOOKUP(7,$AJ$13:$AR$17,($E$12)+1)</f>
        <v>yes</v>
      </c>
      <c r="AQ19" s="114" t="str">
        <f>HLOOKUP(8,$AJ$13:$AR$17,($E$12)+1)</f>
        <v>yes</v>
      </c>
      <c r="AR19" s="114" t="str">
        <f>HLOOKUP(9,$AJ$13:$AR$17,($E$12)+1)</f>
        <v>yes</v>
      </c>
      <c r="AS19" s="112"/>
      <c r="AT19" s="112"/>
      <c r="AU19" s="112"/>
      <c r="AV19" s="112"/>
      <c r="AW19" s="112"/>
      <c r="AX19" s="112"/>
      <c r="AY19" s="112"/>
      <c r="AZ19" s="112"/>
      <c r="BA19" s="112"/>
      <c r="BB19" s="112"/>
      <c r="BC19" s="112"/>
      <c r="BD19" s="112"/>
      <c r="BE19" s="112"/>
      <c r="BF19" s="112"/>
      <c r="BG19" s="112"/>
      <c r="BH19" s="112"/>
      <c r="BI19" s="112"/>
      <c r="BJ19" s="112"/>
      <c r="BK19" s="113"/>
    </row>
    <row r="20" spans="1:63">
      <c r="A20" s="112"/>
      <c r="B20" s="126" t="s">
        <v>245</v>
      </c>
      <c r="C20" s="119" t="s">
        <v>270</v>
      </c>
      <c r="D20" s="114"/>
      <c r="E20" s="134">
        <v>0.25</v>
      </c>
      <c r="F20" s="119" t="s">
        <v>271</v>
      </c>
      <c r="G20" s="114"/>
      <c r="H20" s="120"/>
      <c r="I20" s="119" t="s">
        <v>245</v>
      </c>
      <c r="J20" s="112"/>
      <c r="K20" s="135"/>
      <c r="L20" s="114"/>
      <c r="M20" s="114"/>
      <c r="N20" s="114"/>
      <c r="O20" s="114"/>
      <c r="P20" s="114"/>
      <c r="Q20" s="114"/>
      <c r="R20" s="114"/>
      <c r="S20" s="114"/>
      <c r="T20" s="114"/>
      <c r="U20" s="114"/>
      <c r="V20" s="122">
        <f>100*(+AD14/$E$9)</f>
        <v>186.96874269883133</v>
      </c>
      <c r="W20" s="129">
        <f>EXP(5.6922-(0.68367*LN(V20)))</f>
        <v>8.2975663239548307</v>
      </c>
      <c r="X20" s="123">
        <f>(+W20*V20)/100</f>
        <v>15.513855430499984</v>
      </c>
      <c r="Y20" s="122">
        <f>100*((((X20/100)-((X20/100)-0.03574)*$E$21)-0.03574-0.00619)/0.344)</f>
        <v>21.108443558517418</v>
      </c>
      <c r="Z20" s="114">
        <f>$E$20</f>
        <v>0.25</v>
      </c>
      <c r="AA20" s="122">
        <f>Y20+Z20</f>
        <v>21.358443558517418</v>
      </c>
      <c r="AB20" s="122">
        <f>100*($E$17*$E$19+($E$18*(AA20/100))/(1-$E$21))</f>
        <v>17.11654215363102</v>
      </c>
      <c r="AC20" s="123">
        <f>AB20/V20</f>
        <v>9.1547613288507232E-2</v>
      </c>
      <c r="AD20" s="121">
        <f>$E$8/(1-AC20)</f>
        <v>1048304.3053840871</v>
      </c>
      <c r="AE20" s="114" t="str">
        <f>IF(AD20=AD14,"yes","not yet")</f>
        <v>not yet</v>
      </c>
      <c r="AF20" s="122">
        <f>100*(1-AC20)</f>
        <v>90.845238671149275</v>
      </c>
      <c r="AG20" s="114"/>
      <c r="AH20" s="114"/>
      <c r="AI20" s="114">
        <v>1</v>
      </c>
      <c r="AJ20" s="122">
        <f>AF5</f>
        <v>91.188071973845297</v>
      </c>
      <c r="AK20" s="122">
        <f>AF11</f>
        <v>90.462801261368114</v>
      </c>
      <c r="AL20" s="122">
        <f>AF17</f>
        <v>90.508560438136598</v>
      </c>
      <c r="AM20" s="122">
        <f>AF23</f>
        <v>90.505668492091715</v>
      </c>
      <c r="AN20" s="122">
        <f>AF29</f>
        <v>90.505851241404926</v>
      </c>
      <c r="AO20" s="122">
        <f>AF35</f>
        <v>90.505839692940143</v>
      </c>
      <c r="AP20" s="122">
        <f>AF41</f>
        <v>90.505837864742446</v>
      </c>
      <c r="AQ20" s="122">
        <f>AF47</f>
        <v>90.505837864742446</v>
      </c>
      <c r="AR20" s="122">
        <f>AF53</f>
        <v>90.505837864742446</v>
      </c>
      <c r="AS20" s="112"/>
      <c r="AT20" s="112"/>
      <c r="AU20" s="112"/>
      <c r="AV20" s="112"/>
      <c r="AW20" s="112"/>
      <c r="AX20" s="112"/>
      <c r="AY20" s="112"/>
      <c r="AZ20" s="112"/>
      <c r="BA20" s="112"/>
      <c r="BB20" s="112"/>
      <c r="BC20" s="112"/>
      <c r="BD20" s="112"/>
      <c r="BE20" s="112"/>
      <c r="BF20" s="112"/>
      <c r="BG20" s="112"/>
      <c r="BH20" s="112"/>
      <c r="BI20" s="112"/>
      <c r="BJ20" s="112"/>
      <c r="BK20" s="113"/>
    </row>
    <row r="21" spans="1:63">
      <c r="A21" s="112"/>
      <c r="B21" s="126" t="s">
        <v>245</v>
      </c>
      <c r="C21" s="119" t="s">
        <v>272</v>
      </c>
      <c r="D21" s="114"/>
      <c r="E21" s="134">
        <v>0.34</v>
      </c>
      <c r="F21" s="119" t="s">
        <v>273</v>
      </c>
      <c r="G21" s="114"/>
      <c r="H21" s="133">
        <f>'Restating Expl'!B154</f>
        <v>6.8269382016241066E-3</v>
      </c>
      <c r="I21" s="119" t="s">
        <v>245</v>
      </c>
      <c r="J21" s="112"/>
      <c r="K21" s="136"/>
      <c r="L21" s="114"/>
      <c r="M21" s="114"/>
      <c r="N21" s="114"/>
      <c r="O21" s="114"/>
      <c r="P21" s="114"/>
      <c r="Q21" s="114"/>
      <c r="R21" s="114"/>
      <c r="S21" s="114"/>
      <c r="T21" s="114"/>
      <c r="U21" s="114"/>
      <c r="V21" s="114"/>
      <c r="W21" s="114"/>
      <c r="X21" s="114"/>
      <c r="Y21" s="114"/>
      <c r="Z21" s="114"/>
      <c r="AA21" s="122"/>
      <c r="AB21" s="114"/>
      <c r="AC21" s="114"/>
      <c r="AD21" s="114"/>
      <c r="AE21" s="114"/>
      <c r="AF21" s="114"/>
      <c r="AG21" s="114"/>
      <c r="AH21" s="114"/>
      <c r="AI21" s="114">
        <v>2</v>
      </c>
      <c r="AJ21" s="122">
        <f>AF6</f>
        <v>91.344120595014914</v>
      </c>
      <c r="AK21" s="122">
        <f>AF12</f>
        <v>90.623834319328168</v>
      </c>
      <c r="AL21" s="122">
        <f>AF18</f>
        <v>90.668320996811019</v>
      </c>
      <c r="AM21" s="122">
        <f>AF24</f>
        <v>90.665568745207196</v>
      </c>
      <c r="AN21" s="122">
        <f>AF30</f>
        <v>90.665739000607331</v>
      </c>
      <c r="AO21" s="122">
        <f>AF36</f>
        <v>90.665728468471144</v>
      </c>
      <c r="AP21" s="122">
        <f>AF42</f>
        <v>90.665729888330773</v>
      </c>
      <c r="AQ21" s="122">
        <f>AF48</f>
        <v>90.665729888330773</v>
      </c>
      <c r="AR21" s="122">
        <f>AF54</f>
        <v>90.665729888330773</v>
      </c>
      <c r="AS21" s="112"/>
      <c r="AT21" s="112"/>
      <c r="AU21" s="112"/>
      <c r="AV21" s="112"/>
      <c r="AW21" s="112"/>
      <c r="AX21" s="112"/>
      <c r="AY21" s="112"/>
      <c r="AZ21" s="112"/>
      <c r="BA21" s="112"/>
      <c r="BB21" s="112"/>
      <c r="BC21" s="112"/>
      <c r="BD21" s="112"/>
      <c r="BE21" s="112"/>
      <c r="BF21" s="112"/>
      <c r="BG21" s="112"/>
      <c r="BH21" s="112"/>
      <c r="BI21" s="112"/>
      <c r="BJ21" s="112"/>
      <c r="BK21" s="113"/>
    </row>
    <row r="22" spans="1:63">
      <c r="A22" s="112"/>
      <c r="B22" s="116"/>
      <c r="C22" s="114"/>
      <c r="D22" s="114"/>
      <c r="E22" s="114"/>
      <c r="F22" s="114"/>
      <c r="G22" s="114"/>
      <c r="H22" s="131"/>
      <c r="I22" s="131"/>
      <c r="J22" s="116"/>
      <c r="K22" s="114"/>
      <c r="L22" s="114"/>
      <c r="M22" s="114"/>
      <c r="N22" s="114"/>
      <c r="O22" s="114"/>
      <c r="P22" s="114"/>
      <c r="Q22" s="114"/>
      <c r="R22" s="114"/>
      <c r="S22" s="114"/>
      <c r="T22" s="114"/>
      <c r="U22" s="114"/>
      <c r="V22" s="119" t="s">
        <v>274</v>
      </c>
      <c r="W22" s="128" t="s">
        <v>227</v>
      </c>
      <c r="X22" s="128" t="s">
        <v>228</v>
      </c>
      <c r="Y22" s="128" t="s">
        <v>229</v>
      </c>
      <c r="Z22" s="114"/>
      <c r="AA22" s="122"/>
      <c r="AB22" s="114"/>
      <c r="AC22" s="114"/>
      <c r="AD22" s="114"/>
      <c r="AE22" s="114"/>
      <c r="AF22" s="114"/>
      <c r="AG22" s="114"/>
      <c r="AH22" s="114"/>
      <c r="AI22" s="114">
        <v>3</v>
      </c>
      <c r="AJ22" s="122">
        <f>AF7</f>
        <v>91.449237622614774</v>
      </c>
      <c r="AK22" s="122">
        <f>AF13</f>
        <v>90.732538153402572</v>
      </c>
      <c r="AL22" s="122">
        <f>AF19</f>
        <v>90.776161767413512</v>
      </c>
      <c r="AM22" s="122">
        <f>AF25</f>
        <v>90.773502028705451</v>
      </c>
      <c r="AN22" s="122">
        <f>AF31</f>
        <v>90.773664176706234</v>
      </c>
      <c r="AO22" s="122">
        <f>AF37</f>
        <v>90.773654291472383</v>
      </c>
      <c r="AP22" s="122">
        <f>AF43</f>
        <v>90.773654887020484</v>
      </c>
      <c r="AQ22" s="122">
        <f>AF49</f>
        <v>90.773654887020484</v>
      </c>
      <c r="AR22" s="122">
        <f>AF55</f>
        <v>90.773654887020484</v>
      </c>
      <c r="AS22" s="112"/>
      <c r="AT22" s="112"/>
      <c r="AU22" s="112"/>
      <c r="AV22" s="112"/>
      <c r="AW22" s="112"/>
      <c r="AX22" s="112"/>
      <c r="AY22" s="112"/>
      <c r="AZ22" s="112"/>
      <c r="BA22" s="112"/>
      <c r="BB22" s="112"/>
      <c r="BC22" s="112"/>
      <c r="BD22" s="112"/>
      <c r="BE22" s="112"/>
      <c r="BF22" s="112"/>
      <c r="BG22" s="112"/>
      <c r="BH22" s="112"/>
      <c r="BI22" s="112"/>
      <c r="BJ22" s="112"/>
      <c r="BK22" s="113"/>
    </row>
    <row r="23" spans="1:63">
      <c r="A23" s="112"/>
      <c r="B23" s="116"/>
      <c r="C23" s="114"/>
      <c r="D23" s="114"/>
      <c r="E23" s="114"/>
      <c r="F23" s="119" t="s">
        <v>275</v>
      </c>
      <c r="G23" s="114"/>
      <c r="H23" s="120">
        <f>SUM(H18:H21)</f>
        <v>2.6101938201624108E-2</v>
      </c>
      <c r="I23" s="120"/>
      <c r="J23" s="116"/>
      <c r="K23" s="137"/>
      <c r="L23" s="114"/>
      <c r="M23" s="114"/>
      <c r="N23" s="117"/>
      <c r="O23" s="114"/>
      <c r="P23" s="117"/>
      <c r="Q23" s="114"/>
      <c r="R23" s="114"/>
      <c r="S23" s="114"/>
      <c r="T23" s="114"/>
      <c r="U23" s="114"/>
      <c r="V23" s="122">
        <f>100*(+AD17/$E$9)</f>
        <v>187.57526752138267</v>
      </c>
      <c r="W23" s="129">
        <f>EXP(5.7226-(0.68367*LN(+V23)))</f>
        <v>8.5347667598540493</v>
      </c>
      <c r="X23" s="123">
        <f>(+W23*V23)/100</f>
        <v>16.009111582122276</v>
      </c>
      <c r="Y23" s="122">
        <f>100*((((X23/100)-((X23/100)-0.03574)*$E$21)-0.03574-0.00619)/0.344)</f>
        <v>22.058644314536927</v>
      </c>
      <c r="Z23" s="114">
        <f>$E$20</f>
        <v>0.25</v>
      </c>
      <c r="AA23" s="122">
        <f>Y23+Z23</f>
        <v>22.308644314536927</v>
      </c>
      <c r="AB23" s="122">
        <f>100*($E$17*$E$19+($E$18*(AA23/100))/(1-$E$21))</f>
        <v>17.80901772532588</v>
      </c>
      <c r="AC23" s="123">
        <f>AB23/V23</f>
        <v>9.4943315079082796E-2</v>
      </c>
      <c r="AD23" s="121">
        <f>$E$8/(1-AC23)</f>
        <v>1052237.4610263461</v>
      </c>
      <c r="AE23" s="114" t="str">
        <f>IF(AD23=AD17,"yes","not yet")</f>
        <v>not yet</v>
      </c>
      <c r="AF23" s="122">
        <f>100*(1-AC23)</f>
        <v>90.505668492091715</v>
      </c>
      <c r="AG23" s="114"/>
      <c r="AH23" s="114"/>
      <c r="AI23" s="114">
        <v>4</v>
      </c>
      <c r="AJ23" s="122">
        <f>AF8</f>
        <v>91.516477744549945</v>
      </c>
      <c r="AK23" s="122">
        <f>AF14</f>
        <v>90.802169347127034</v>
      </c>
      <c r="AL23" s="122">
        <f>AF20</f>
        <v>90.845238671149275</v>
      </c>
      <c r="AM23" s="122">
        <f>AF26</f>
        <v>90.84263741749325</v>
      </c>
      <c r="AN23" s="122">
        <f>AF32</f>
        <v>90.842794509139509</v>
      </c>
      <c r="AO23" s="122">
        <f>AF38</f>
        <v>90.842785022199564</v>
      </c>
      <c r="AP23" s="122">
        <f>AF44</f>
        <v>90.842787584177401</v>
      </c>
      <c r="AQ23" s="122">
        <f>AF50</f>
        <v>90.842787584177401</v>
      </c>
      <c r="AR23" s="122">
        <f>AF56</f>
        <v>90.842787584177401</v>
      </c>
      <c r="AS23" s="112"/>
      <c r="AT23" s="112"/>
      <c r="AU23" s="112"/>
      <c r="AV23" s="112"/>
      <c r="AW23" s="112"/>
      <c r="AX23" s="112"/>
      <c r="AY23" s="112"/>
      <c r="AZ23" s="112"/>
      <c r="BA23" s="112"/>
      <c r="BB23" s="112"/>
      <c r="BC23" s="112"/>
      <c r="BD23" s="112"/>
      <c r="BE23" s="112"/>
      <c r="BF23" s="112"/>
      <c r="BG23" s="112"/>
      <c r="BH23" s="112"/>
      <c r="BI23" s="112"/>
      <c r="BJ23" s="112"/>
      <c r="BK23" s="113"/>
    </row>
    <row r="24" spans="1:63">
      <c r="A24" s="112"/>
      <c r="B24" s="116"/>
      <c r="C24" s="114"/>
      <c r="D24" s="114"/>
      <c r="E24" s="114"/>
      <c r="F24" s="114"/>
      <c r="G24" s="114"/>
      <c r="H24" s="114"/>
      <c r="I24" s="114"/>
      <c r="J24" s="116"/>
      <c r="K24" s="114"/>
      <c r="L24" s="114"/>
      <c r="M24" s="114"/>
      <c r="N24" s="114"/>
      <c r="O24" s="114"/>
      <c r="P24" s="114"/>
      <c r="Q24" s="114"/>
      <c r="R24" s="114"/>
      <c r="S24" s="114"/>
      <c r="T24" s="114"/>
      <c r="U24" s="114"/>
      <c r="V24" s="122">
        <f>100*(+AD18/$E$9)</f>
        <v>187.24475374100976</v>
      </c>
      <c r="W24" s="129">
        <f>EXP(5.70827-(0.68367*LN(+V24)))</f>
        <v>8.4234858577030369</v>
      </c>
      <c r="X24" s="123">
        <f>(+W24*V24)/100</f>
        <v>15.772535350664834</v>
      </c>
      <c r="Y24" s="122">
        <f>100*((((X24/100)-((X24/100)-0.03574)*$E$21)-0.03574-0.00619)/0.344)</f>
        <v>21.604748056508111</v>
      </c>
      <c r="Z24" s="114">
        <f>$E$20</f>
        <v>0.25</v>
      </c>
      <c r="AA24" s="122">
        <f>Y24+Z24</f>
        <v>21.854748056508111</v>
      </c>
      <c r="AB24" s="122">
        <f>100*($E$17*$E$19+($E$18*(AA24/100))/(1-$E$21))</f>
        <v>17.478232816160634</v>
      </c>
      <c r="AC24" s="123">
        <f>AB24/V24</f>
        <v>9.3344312547928049E-2</v>
      </c>
      <c r="AD24" s="121">
        <f>$E$8/(1-AC24)</f>
        <v>1050381.7065355917</v>
      </c>
      <c r="AE24" s="114" t="str">
        <f>IF(AD24=AD18,"yes","not yet")</f>
        <v>not yet</v>
      </c>
      <c r="AF24" s="122">
        <f>100*(1-AC24)</f>
        <v>90.665568745207196</v>
      </c>
      <c r="AG24" s="114"/>
      <c r="AH24" s="114"/>
      <c r="AI24" s="114"/>
      <c r="AJ24" s="114"/>
      <c r="AK24" s="114"/>
      <c r="AL24" s="114"/>
      <c r="AM24" s="114"/>
      <c r="AN24" s="114"/>
      <c r="AO24" s="114"/>
      <c r="AP24" s="114"/>
      <c r="AQ24" s="114"/>
      <c r="AR24" s="114"/>
      <c r="AS24" s="112"/>
      <c r="AT24" s="112"/>
      <c r="AU24" s="112"/>
      <c r="AV24" s="112"/>
      <c r="AW24" s="112"/>
      <c r="AX24" s="112"/>
      <c r="AY24" s="112"/>
      <c r="AZ24" s="112"/>
      <c r="BA24" s="112"/>
      <c r="BB24" s="112"/>
      <c r="BC24" s="112"/>
      <c r="BD24" s="112"/>
      <c r="BE24" s="112"/>
      <c r="BF24" s="112"/>
      <c r="BG24" s="112"/>
      <c r="BH24" s="112"/>
      <c r="BI24" s="112"/>
      <c r="BJ24" s="112"/>
      <c r="BK24" s="113"/>
    </row>
    <row r="25" spans="1:63">
      <c r="A25" s="112"/>
      <c r="B25" s="116"/>
      <c r="C25" s="114"/>
      <c r="D25" s="114"/>
      <c r="E25" s="114"/>
      <c r="F25" s="119" t="s">
        <v>276</v>
      </c>
      <c r="G25" s="114"/>
      <c r="H25" s="123">
        <f>((+H15/100)-H23)</f>
        <v>0.88163461066858073</v>
      </c>
      <c r="I25" s="123"/>
      <c r="J25" s="116"/>
      <c r="K25" s="114"/>
      <c r="L25" s="117"/>
      <c r="M25" s="114"/>
      <c r="N25" s="114"/>
      <c r="O25" s="114"/>
      <c r="P25" s="114"/>
      <c r="Q25" s="114"/>
      <c r="R25" s="114"/>
      <c r="S25" s="114"/>
      <c r="T25" s="114"/>
      <c r="U25" s="114"/>
      <c r="V25" s="122">
        <f>100*(+AD19/$E$9)</f>
        <v>187.02230967484135</v>
      </c>
      <c r="W25" s="129">
        <f>EXP(5.6985-(0.68367*LN(V25)))</f>
        <v>8.3483708567213171</v>
      </c>
      <c r="X25" s="123">
        <f>(+W25*V25)/100</f>
        <v>15.613315996461546</v>
      </c>
      <c r="Y25" s="122">
        <f>100*((((X25/100)-((X25/100)-0.03574)*$E$21)-0.03574-0.00619)/0.344)</f>
        <v>21.299269062978549</v>
      </c>
      <c r="Z25" s="114">
        <f>$E$20</f>
        <v>0.25</v>
      </c>
      <c r="AA25" s="122">
        <f>Y25+Z25</f>
        <v>21.549269062978549</v>
      </c>
      <c r="AB25" s="122">
        <f>100*($E$17*$E$19+($E$18*(AA25/100))/(1-$E$21))</f>
        <v>17.255609608017437</v>
      </c>
      <c r="AC25" s="123">
        <f>AB25/V25</f>
        <v>9.2264979712945436E-2</v>
      </c>
      <c r="AD25" s="121">
        <f>$E$8/(1-AC25)</f>
        <v>1049132.7611497783</v>
      </c>
      <c r="AE25" s="114" t="str">
        <f>IF(AD25=AD19,"yes","not yet")</f>
        <v>not yet</v>
      </c>
      <c r="AF25" s="122">
        <f>100*(1-AC25)</f>
        <v>90.773502028705451</v>
      </c>
      <c r="AG25" s="114"/>
      <c r="AH25" s="114"/>
      <c r="AI25" s="114"/>
      <c r="AJ25" s="114" t="s">
        <v>277</v>
      </c>
      <c r="AK25" s="114"/>
      <c r="AL25" s="114"/>
      <c r="AM25" s="114"/>
      <c r="AN25" s="114"/>
      <c r="AO25" s="114"/>
      <c r="AP25" s="114"/>
      <c r="AQ25" s="114"/>
      <c r="AR25" s="114"/>
      <c r="AS25" s="112"/>
      <c r="AT25" s="112"/>
      <c r="AU25" s="112"/>
      <c r="AV25" s="112"/>
      <c r="AW25" s="112"/>
      <c r="AX25" s="112"/>
      <c r="AY25" s="112"/>
      <c r="AZ25" s="112"/>
      <c r="BA25" s="112"/>
      <c r="BB25" s="112"/>
      <c r="BC25" s="112"/>
      <c r="BD25" s="112"/>
      <c r="BE25" s="112"/>
      <c r="BF25" s="112"/>
      <c r="BG25" s="112"/>
      <c r="BH25" s="112"/>
      <c r="BI25" s="112"/>
      <c r="BJ25" s="112"/>
      <c r="BK25" s="113"/>
    </row>
    <row r="26" spans="1:63">
      <c r="A26" s="112"/>
      <c r="B26" s="116"/>
      <c r="C26" s="114"/>
      <c r="D26" s="114"/>
      <c r="E26" s="114"/>
      <c r="F26" s="114"/>
      <c r="G26" s="114"/>
      <c r="H26" s="114"/>
      <c r="I26" s="114"/>
      <c r="J26" s="116"/>
      <c r="K26" s="114"/>
      <c r="L26" s="114"/>
      <c r="M26" s="114"/>
      <c r="N26" s="114"/>
      <c r="O26" s="114"/>
      <c r="P26" s="114"/>
      <c r="Q26" s="114"/>
      <c r="R26" s="114"/>
      <c r="S26" s="114"/>
      <c r="T26" s="114"/>
      <c r="U26" s="114"/>
      <c r="V26" s="122">
        <f>100*(+AD20/$E$9)</f>
        <v>186.88010164863306</v>
      </c>
      <c r="W26" s="129">
        <f>EXP(5.6922-(0.68367*LN(V26)))</f>
        <v>8.3002568457294927</v>
      </c>
      <c r="X26" s="123">
        <f>(+W26*V26)/100</f>
        <v>15.511528430396901</v>
      </c>
      <c r="Y26" s="122">
        <f>100*((((X26/100)-((X26/100)-0.03574)*$E$21)-0.03574-0.00619)/0.344)</f>
        <v>21.103978965296381</v>
      </c>
      <c r="Z26" s="114">
        <f>$E$20</f>
        <v>0.25</v>
      </c>
      <c r="AA26" s="122">
        <f>Y26+Z26</f>
        <v>21.353978965296381</v>
      </c>
      <c r="AB26" s="122">
        <f>100*($E$17*$E$19+($E$18*(AA26/100))/(1-$E$21))</f>
        <v>17.113288502522519</v>
      </c>
      <c r="AC26" s="123">
        <f>AB26/V26</f>
        <v>9.1573625825067576E-2</v>
      </c>
      <c r="AD26" s="121">
        <f>$E$8/(1-AC26)</f>
        <v>1048334.3232863029</v>
      </c>
      <c r="AE26" s="114" t="str">
        <f>IF(AD26=AD20,"yes","not yet")</f>
        <v>not yet</v>
      </c>
      <c r="AF26" s="122">
        <f>100*(1-AC26)</f>
        <v>90.84263741749325</v>
      </c>
      <c r="AG26" s="114"/>
      <c r="AH26" s="114"/>
      <c r="AI26" s="114"/>
      <c r="AJ26" s="122">
        <f>HLOOKUP($AJ$25,$AJ$19:$AR$23,($E$12)+1)</f>
        <v>90.773654887020484</v>
      </c>
      <c r="AK26" s="114"/>
      <c r="AL26" s="114"/>
      <c r="AM26" s="114"/>
      <c r="AN26" s="114"/>
      <c r="AO26" s="114"/>
      <c r="AP26" s="114"/>
      <c r="AQ26" s="114"/>
      <c r="AR26" s="114"/>
      <c r="AS26" s="112"/>
      <c r="AT26" s="112"/>
      <c r="AU26" s="112"/>
      <c r="AV26" s="112"/>
      <c r="AW26" s="112"/>
      <c r="AX26" s="112"/>
      <c r="AY26" s="112"/>
      <c r="AZ26" s="112"/>
      <c r="BA26" s="112"/>
      <c r="BB26" s="112"/>
      <c r="BC26" s="112"/>
      <c r="BD26" s="112"/>
      <c r="BE26" s="112"/>
      <c r="BF26" s="112"/>
      <c r="BG26" s="112"/>
      <c r="BH26" s="112"/>
      <c r="BI26" s="112"/>
      <c r="BJ26" s="112"/>
      <c r="BK26" s="113"/>
    </row>
    <row r="27" spans="1:63" ht="15.75">
      <c r="A27" s="112"/>
      <c r="B27" s="116"/>
      <c r="C27" s="114"/>
      <c r="D27" s="114"/>
      <c r="E27" s="138"/>
      <c r="F27" s="139"/>
      <c r="G27" s="139"/>
      <c r="H27" s="114"/>
      <c r="I27" s="114"/>
      <c r="J27" s="116"/>
      <c r="K27" s="114"/>
      <c r="L27" s="114"/>
      <c r="M27" s="114"/>
      <c r="N27" s="114"/>
      <c r="O27" s="114"/>
      <c r="P27" s="114"/>
      <c r="Q27" s="114"/>
      <c r="R27" s="114"/>
      <c r="S27" s="114"/>
      <c r="T27" s="114"/>
      <c r="U27" s="114"/>
      <c r="V27" s="114"/>
      <c r="W27" s="114"/>
      <c r="X27" s="114"/>
      <c r="Y27" s="114"/>
      <c r="Z27" s="114"/>
      <c r="AA27" s="122"/>
      <c r="AB27" s="114"/>
      <c r="AC27" s="114"/>
      <c r="AD27" s="114"/>
      <c r="AE27" s="114"/>
      <c r="AF27" s="114"/>
      <c r="AG27" s="114"/>
      <c r="AH27" s="114"/>
      <c r="AI27" s="114"/>
      <c r="AJ27" s="114"/>
      <c r="AK27" s="114"/>
      <c r="AL27" s="114"/>
      <c r="AM27" s="114"/>
      <c r="AN27" s="114"/>
      <c r="AO27" s="114"/>
      <c r="AP27" s="114"/>
      <c r="AQ27" s="114"/>
      <c r="AR27" s="114"/>
      <c r="AS27" s="112"/>
      <c r="AT27" s="112"/>
      <c r="AU27" s="112"/>
      <c r="AV27" s="112"/>
      <c r="AW27" s="112"/>
      <c r="AX27" s="112"/>
      <c r="AY27" s="112"/>
      <c r="AZ27" s="112"/>
      <c r="BA27" s="112"/>
      <c r="BB27" s="112"/>
      <c r="BC27" s="112"/>
      <c r="BD27" s="112"/>
      <c r="BE27" s="112"/>
      <c r="BF27" s="112"/>
      <c r="BG27" s="112"/>
      <c r="BH27" s="112"/>
      <c r="BI27" s="112"/>
      <c r="BJ27" s="112"/>
      <c r="BK27" s="113"/>
    </row>
    <row r="28" spans="1:63" ht="15.75" thickBot="1">
      <c r="A28" s="112"/>
      <c r="B28" s="116"/>
      <c r="C28" s="154"/>
      <c r="D28" s="155"/>
      <c r="E28" s="156"/>
      <c r="F28" s="157"/>
      <c r="G28" s="158"/>
      <c r="H28" s="154"/>
      <c r="I28" s="154"/>
      <c r="J28" s="114"/>
      <c r="K28" s="114"/>
      <c r="L28" s="114"/>
      <c r="M28" s="114"/>
      <c r="N28" s="114"/>
      <c r="O28" s="114"/>
      <c r="P28" s="114"/>
      <c r="Q28" s="114"/>
      <c r="R28" s="114"/>
      <c r="S28" s="114"/>
      <c r="T28" s="114"/>
      <c r="U28" s="114"/>
      <c r="V28" s="119" t="s">
        <v>278</v>
      </c>
      <c r="W28" s="128" t="s">
        <v>227</v>
      </c>
      <c r="X28" s="128" t="s">
        <v>228</v>
      </c>
      <c r="Y28" s="128" t="s">
        <v>229</v>
      </c>
      <c r="Z28" s="114"/>
      <c r="AA28" s="122"/>
      <c r="AB28" s="114"/>
      <c r="AC28" s="114"/>
      <c r="AD28" s="114"/>
      <c r="AE28" s="114"/>
      <c r="AF28" s="114"/>
      <c r="AG28" s="114"/>
      <c r="AH28" s="114"/>
      <c r="AI28" s="114"/>
      <c r="AJ28" s="114" t="str">
        <f>HLOOKUP(1,$AJ$13:$AR$17,($E$12)+1)</f>
        <v>not yet</v>
      </c>
      <c r="AK28" s="114" t="str">
        <f>HLOOKUP(2,$AJ$13:$AR$17,($E$12)+1)</f>
        <v>not yet</v>
      </c>
      <c r="AL28" s="114" t="str">
        <f>HLOOKUP(3,$AJ$13:$AR$17,($E$12)+1)</f>
        <v>not yet</v>
      </c>
      <c r="AM28" s="114" t="str">
        <f>HLOOKUP(4,$AJ$13:$AR$17,($E$12)+1)</f>
        <v>not yet</v>
      </c>
      <c r="AN28" s="114" t="str">
        <f>HLOOKUP(5,$AJ$13:$AR$17,($E$12)+1)</f>
        <v>not yet</v>
      </c>
      <c r="AO28" s="114" t="str">
        <f>HLOOKUP(6,$AJ$13:$AR$17,($E$12)+1)</f>
        <v>not yet</v>
      </c>
      <c r="AP28" s="114" t="str">
        <f>HLOOKUP(7,$AJ$13:$AR$17,($E$12)+1)</f>
        <v>yes</v>
      </c>
      <c r="AQ28" s="114" t="str">
        <f>HLOOKUP(8,$AJ$13:$AR$17,($E$12)+1)</f>
        <v>yes</v>
      </c>
      <c r="AR28" s="114" t="str">
        <f>HLOOKUP(9,$AJ$13:$AR$17,($E$12)+1)</f>
        <v>yes</v>
      </c>
      <c r="AS28" s="112"/>
      <c r="AT28" s="112"/>
      <c r="AU28" s="112"/>
      <c r="AV28" s="112"/>
      <c r="AW28" s="112"/>
      <c r="AX28" s="112"/>
      <c r="AY28" s="112"/>
      <c r="AZ28" s="112"/>
      <c r="BA28" s="112"/>
      <c r="BB28" s="112"/>
      <c r="BC28" s="112"/>
      <c r="BD28" s="112"/>
      <c r="BE28" s="112"/>
      <c r="BF28" s="112"/>
      <c r="BG28" s="112"/>
      <c r="BH28" s="112"/>
      <c r="BI28" s="112"/>
      <c r="BJ28" s="112"/>
      <c r="BK28" s="113"/>
    </row>
    <row r="29" spans="1:63">
      <c r="A29" s="112"/>
      <c r="B29" s="114"/>
      <c r="C29" s="600" t="s">
        <v>1378</v>
      </c>
      <c r="D29" s="601"/>
      <c r="E29" s="602">
        <f>E5</f>
        <v>1053861.9745859317</v>
      </c>
      <c r="F29" s="140"/>
      <c r="G29" s="141"/>
      <c r="H29" s="114"/>
      <c r="I29" s="118"/>
      <c r="J29" s="114"/>
      <c r="K29" s="114"/>
      <c r="L29" s="114"/>
      <c r="M29" s="114"/>
      <c r="N29" s="114"/>
      <c r="O29" s="114"/>
      <c r="P29" s="114"/>
      <c r="Q29" s="114"/>
      <c r="R29" s="114"/>
      <c r="S29" s="114"/>
      <c r="T29" s="114"/>
      <c r="U29" s="114"/>
      <c r="V29" s="122">
        <f>100*(+AD23/$E$9)</f>
        <v>187.5812611520808</v>
      </c>
      <c r="W29" s="129">
        <f>EXP(5.7226-(0.68367*LN(+V29)))</f>
        <v>8.5345803190772536</v>
      </c>
      <c r="X29" s="123">
        <f>(+W29*V29)/100</f>
        <v>16.009273396562392</v>
      </c>
      <c r="Y29" s="122">
        <f>100*((((X29/100)-((X29/100)-0.03574)*$E$21)-0.03574-0.00619)/0.344)</f>
        <v>22.058954772474358</v>
      </c>
      <c r="Z29" s="114">
        <f>$E$20</f>
        <v>0.25</v>
      </c>
      <c r="AA29" s="122">
        <f>Y29+Z29</f>
        <v>22.308954772474358</v>
      </c>
      <c r="AB29" s="122">
        <f>100*($E$17*$E$19+($E$18*(AA29/100))/(1-$E$21))</f>
        <v>17.809243977027268</v>
      </c>
      <c r="AC29" s="123">
        <f>AB29/V29</f>
        <v>9.4941487585950765E-2</v>
      </c>
      <c r="AD29" s="121">
        <f>$E$8/(1-AC29)</f>
        <v>1052235.3363496461</v>
      </c>
      <c r="AE29" s="114" t="str">
        <f>IF(AD29=AD23,"yes","not yet")</f>
        <v>not yet</v>
      </c>
      <c r="AF29" s="122">
        <f>100*(1-AC29)</f>
        <v>90.505851241404926</v>
      </c>
      <c r="AG29" s="114"/>
      <c r="AH29" s="114"/>
      <c r="AI29" s="114">
        <v>1</v>
      </c>
      <c r="AJ29" s="122">
        <f>V5</f>
        <v>212.21459296448381</v>
      </c>
      <c r="AK29" s="122">
        <f>V11</f>
        <v>186.17750183410087</v>
      </c>
      <c r="AL29" s="122">
        <f>V17</f>
        <v>187.67014950275208</v>
      </c>
      <c r="AM29" s="122">
        <f>V23</f>
        <v>187.57526752138267</v>
      </c>
      <c r="AN29" s="122">
        <f>V29</f>
        <v>187.5812611520808</v>
      </c>
      <c r="AO29" s="122">
        <f>V35</f>
        <v>187.58088238820886</v>
      </c>
      <c r="AP29" s="122">
        <f>V41</f>
        <v>187.5808224275126</v>
      </c>
      <c r="AQ29" s="122">
        <f>V47</f>
        <v>187.5808224275126</v>
      </c>
      <c r="AR29" s="122">
        <f>V53</f>
        <v>187.5808224275126</v>
      </c>
      <c r="AS29" s="112"/>
      <c r="AT29" s="112"/>
      <c r="AU29" s="112"/>
      <c r="AV29" s="112"/>
      <c r="AW29" s="112"/>
      <c r="AX29" s="112"/>
      <c r="AY29" s="112"/>
      <c r="AZ29" s="112"/>
      <c r="BA29" s="112"/>
      <c r="BB29" s="112"/>
      <c r="BC29" s="112"/>
      <c r="BD29" s="112"/>
      <c r="BE29" s="112"/>
      <c r="BF29" s="112"/>
      <c r="BG29" s="112"/>
      <c r="BH29" s="112"/>
      <c r="BI29" s="112"/>
      <c r="BJ29" s="112"/>
      <c r="BK29" s="113"/>
    </row>
    <row r="30" spans="1:63">
      <c r="A30" s="112"/>
      <c r="B30" s="114"/>
      <c r="C30" s="603" t="s">
        <v>1379</v>
      </c>
      <c r="D30" s="604"/>
      <c r="E30" s="605">
        <f>-'Consolidated IS'!K11</f>
        <v>-89925.7221021898</v>
      </c>
      <c r="F30" s="140"/>
      <c r="G30" s="141"/>
      <c r="H30" s="114"/>
      <c r="I30" s="118"/>
      <c r="J30" s="114"/>
      <c r="K30" s="114"/>
      <c r="L30" s="114"/>
      <c r="M30" s="114"/>
      <c r="N30" s="114"/>
      <c r="O30" s="114"/>
      <c r="P30" s="114"/>
      <c r="Q30" s="114"/>
      <c r="R30" s="114"/>
      <c r="S30" s="114"/>
      <c r="T30" s="114"/>
      <c r="U30" s="114"/>
      <c r="V30" s="122">
        <f>100*(+AD24/$E$9)</f>
        <v>187.25043775844796</v>
      </c>
      <c r="W30" s="129">
        <f>EXP(5.70827-(0.68367*LN(+V30)))</f>
        <v>8.4233110449874591</v>
      </c>
      <c r="X30" s="123">
        <f>(+W30*V30)/100</f>
        <v>15.772686805494713</v>
      </c>
      <c r="Y30" s="122">
        <f>100*((((X30/100)-((X30/100)-0.03574)*$E$21)-0.03574-0.00619)/0.344)</f>
        <v>21.605038638449162</v>
      </c>
      <c r="Z30" s="114">
        <f>$E$20</f>
        <v>0.25</v>
      </c>
      <c r="AA30" s="122">
        <f>Y30+Z30</f>
        <v>21.855038638449162</v>
      </c>
      <c r="AB30" s="122">
        <f>100*($E$17*$E$19+($E$18*(AA30/100))/(1-$E$21))</f>
        <v>17.478444582878854</v>
      </c>
      <c r="AC30" s="123">
        <f>AB30/V30</f>
        <v>9.3342609993926698E-2</v>
      </c>
      <c r="AD30" s="121">
        <f>$E$8/(1-AC30)</f>
        <v>1050379.7340908768</v>
      </c>
      <c r="AE30" s="114" t="str">
        <f>IF(AD30=AD24,"yes","not yet")</f>
        <v>not yet</v>
      </c>
      <c r="AF30" s="122">
        <f>100*(1-AC30)</f>
        <v>90.665739000607331</v>
      </c>
      <c r="AG30" s="114"/>
      <c r="AH30" s="114"/>
      <c r="AI30" s="114">
        <v>2</v>
      </c>
      <c r="AJ30" s="122">
        <f>V6</f>
        <v>212.21459296448381</v>
      </c>
      <c r="AK30" s="122">
        <f>V12</f>
        <v>185.85944367923807</v>
      </c>
      <c r="AL30" s="122">
        <f>V18</f>
        <v>187.33667102780964</v>
      </c>
      <c r="AM30" s="122">
        <f>V24</f>
        <v>187.24475374100976</v>
      </c>
      <c r="AN30" s="122">
        <f>V30</f>
        <v>187.25043775844796</v>
      </c>
      <c r="AO30" s="122">
        <f>V36</f>
        <v>187.25008613281128</v>
      </c>
      <c r="AP30" s="122">
        <f>V42</f>
        <v>187.25013353614989</v>
      </c>
      <c r="AQ30" s="122">
        <f>V48</f>
        <v>187.25013353614989</v>
      </c>
      <c r="AR30" s="122">
        <f>V54</f>
        <v>187.25013353614989</v>
      </c>
      <c r="AS30" s="112"/>
      <c r="AT30" s="112"/>
      <c r="AU30" s="112"/>
      <c r="AV30" s="112"/>
      <c r="AW30" s="112"/>
      <c r="AX30" s="112"/>
      <c r="AY30" s="112"/>
      <c r="AZ30" s="112"/>
      <c r="BA30" s="112"/>
      <c r="BB30" s="112"/>
      <c r="BC30" s="112"/>
      <c r="BD30" s="112"/>
      <c r="BE30" s="112"/>
      <c r="BF30" s="112"/>
      <c r="BG30" s="112"/>
      <c r="BH30" s="112"/>
      <c r="BI30" s="112"/>
      <c r="BJ30" s="112"/>
      <c r="BK30" s="113"/>
    </row>
    <row r="31" spans="1:63">
      <c r="A31" s="112"/>
      <c r="B31" s="114"/>
      <c r="C31" s="603"/>
      <c r="D31" s="606"/>
      <c r="E31" s="607">
        <f>SUM(E29:E30)</f>
        <v>963936.25248374196</v>
      </c>
      <c r="F31" s="143"/>
      <c r="G31" s="142"/>
      <c r="H31" s="144"/>
      <c r="I31" s="142"/>
      <c r="J31" s="114"/>
      <c r="K31" s="114"/>
      <c r="L31" s="114"/>
      <c r="M31" s="114"/>
      <c r="N31" s="114"/>
      <c r="O31" s="114"/>
      <c r="P31" s="114"/>
      <c r="Q31" s="114"/>
      <c r="R31" s="114"/>
      <c r="S31" s="114"/>
      <c r="T31" s="114"/>
      <c r="U31" s="114"/>
      <c r="V31" s="122">
        <f>100*(+AD25/$E$9)</f>
        <v>187.02778958324191</v>
      </c>
      <c r="W31" s="129">
        <f>EXP(5.6985-(0.68367*LN(V31)))</f>
        <v>8.3482036254747491</v>
      </c>
      <c r="X31" s="123">
        <f>(+W31*V31)/100</f>
        <v>15.613460710633488</v>
      </c>
      <c r="Y31" s="122">
        <f>100*((((X31/100)-((X31/100)-0.03574)*$E$21)-0.03574-0.00619)/0.344)</f>
        <v>21.299546712261925</v>
      </c>
      <c r="Z31" s="114">
        <f>$E$20</f>
        <v>0.25</v>
      </c>
      <c r="AA31" s="122">
        <f>Y31+Z31</f>
        <v>21.549546712261925</v>
      </c>
      <c r="AB31" s="122">
        <f>100*($E$17*$E$19+($E$18*(AA31/100))/(1-$E$21))</f>
        <v>17.255811949833124</v>
      </c>
      <c r="AC31" s="123">
        <f>AB31/V31</f>
        <v>9.2263358232937603E-2</v>
      </c>
      <c r="AD31" s="121">
        <f>$E$8/(1-AC31)</f>
        <v>1049130.8870954332</v>
      </c>
      <c r="AE31" s="114" t="str">
        <f>IF(AD31=AD25,"yes","not yet")</f>
        <v>not yet</v>
      </c>
      <c r="AF31" s="122">
        <f>100*(1-AC31)</f>
        <v>90.773664176706234</v>
      </c>
      <c r="AG31" s="114"/>
      <c r="AH31" s="114"/>
      <c r="AI31" s="114">
        <v>3</v>
      </c>
      <c r="AJ31" s="122">
        <f>V7</f>
        <v>212.21459296448381</v>
      </c>
      <c r="AK31" s="122">
        <f>V13</f>
        <v>185.64580611616128</v>
      </c>
      <c r="AL31" s="122">
        <f>V19</f>
        <v>187.11222878450954</v>
      </c>
      <c r="AM31" s="122">
        <f>V25</f>
        <v>187.02230967484135</v>
      </c>
      <c r="AN31" s="122">
        <f>V31</f>
        <v>187.02778958324191</v>
      </c>
      <c r="AO31" s="122">
        <f>V37</f>
        <v>187.02745549755258</v>
      </c>
      <c r="AP31" s="122">
        <f>V43</f>
        <v>187.02747562493047</v>
      </c>
      <c r="AQ31" s="122">
        <f>V49</f>
        <v>187.02747562493047</v>
      </c>
      <c r="AR31" s="122">
        <f>V55</f>
        <v>187.02747562493047</v>
      </c>
      <c r="AS31" s="112"/>
      <c r="AT31" s="112"/>
      <c r="AU31" s="112"/>
      <c r="AV31" s="112"/>
      <c r="AW31" s="112"/>
      <c r="AX31" s="112"/>
      <c r="AY31" s="112"/>
      <c r="AZ31" s="112"/>
      <c r="BA31" s="112"/>
      <c r="BB31" s="112"/>
      <c r="BC31" s="112"/>
      <c r="BD31" s="112"/>
      <c r="BE31" s="112"/>
      <c r="BF31" s="112"/>
      <c r="BG31" s="112"/>
      <c r="BH31" s="112"/>
      <c r="BI31" s="112"/>
      <c r="BJ31" s="112"/>
      <c r="BK31" s="113"/>
    </row>
    <row r="32" spans="1:63">
      <c r="A32" s="112"/>
      <c r="B32" s="114"/>
      <c r="C32" s="603"/>
      <c r="D32" s="608"/>
      <c r="E32" s="609"/>
      <c r="F32" s="143"/>
      <c r="G32" s="121"/>
      <c r="H32" s="114"/>
      <c r="I32" s="114"/>
      <c r="J32" s="114"/>
      <c r="K32" s="114"/>
      <c r="L32" s="114"/>
      <c r="M32" s="114"/>
      <c r="N32" s="114"/>
      <c r="O32" s="114"/>
      <c r="P32" s="114"/>
      <c r="Q32" s="114"/>
      <c r="R32" s="114"/>
      <c r="S32" s="114"/>
      <c r="T32" s="114"/>
      <c r="U32" s="114"/>
      <c r="V32" s="122">
        <f>100*(+AD26/$E$9)</f>
        <v>186.88545290836606</v>
      </c>
      <c r="W32" s="129">
        <f>EXP(5.6922-(0.68367*LN(V32)))</f>
        <v>8.3000943580057012</v>
      </c>
      <c r="X32" s="123">
        <f>(+W32*V32)/100</f>
        <v>15.511668932780692</v>
      </c>
      <c r="Y32" s="122">
        <f>100*((((X32/100)-((X32/100)-0.03574)*$E$21)-0.03574-0.00619)/0.344)</f>
        <v>21.104248533823419</v>
      </c>
      <c r="Z32" s="114">
        <f>$E$20</f>
        <v>0.25</v>
      </c>
      <c r="AA32" s="122">
        <f>Y32+Z32</f>
        <v>21.354248533823419</v>
      </c>
      <c r="AB32" s="122">
        <f>100*($E$17*$E$19+($E$18*(AA32/100))/(1-$E$21))</f>
        <v>17.113484955344401</v>
      </c>
      <c r="AC32" s="123">
        <f>AB32/V32</f>
        <v>9.1572054908604941E-2</v>
      </c>
      <c r="AD32" s="121">
        <f>$E$8/(1-AC32)</f>
        <v>1048332.51043405</v>
      </c>
      <c r="AE32" s="114" t="str">
        <f>IF(AD32=AD26,"yes","not yet")</f>
        <v>not yet</v>
      </c>
      <c r="AF32" s="122">
        <f>100*(1-AC32)</f>
        <v>90.842794509139509</v>
      </c>
      <c r="AG32" s="114"/>
      <c r="AH32" s="114"/>
      <c r="AI32" s="114">
        <v>4</v>
      </c>
      <c r="AJ32" s="122">
        <f>V8</f>
        <v>212.21459296448381</v>
      </c>
      <c r="AK32" s="122">
        <f>V14</f>
        <v>185.50940612626167</v>
      </c>
      <c r="AL32" s="122">
        <f>V20</f>
        <v>186.96874269883133</v>
      </c>
      <c r="AM32" s="122">
        <f>V26</f>
        <v>186.88010164863306</v>
      </c>
      <c r="AN32" s="122">
        <f>V32</f>
        <v>186.88545290836606</v>
      </c>
      <c r="AO32" s="122">
        <f>V38</f>
        <v>186.88512973310907</v>
      </c>
      <c r="AP32" s="122">
        <f>V44</f>
        <v>186.88521700751406</v>
      </c>
      <c r="AQ32" s="122">
        <f>V50</f>
        <v>186.88521700751406</v>
      </c>
      <c r="AR32" s="122">
        <f>V56</f>
        <v>186.88521700751406</v>
      </c>
      <c r="AS32" s="112"/>
      <c r="AT32" s="112"/>
      <c r="AU32" s="112"/>
      <c r="AV32" s="112"/>
      <c r="AW32" s="112"/>
      <c r="AX32" s="112"/>
      <c r="AY32" s="112"/>
      <c r="AZ32" s="112"/>
      <c r="BA32" s="112"/>
      <c r="BB32" s="112"/>
      <c r="BC32" s="112"/>
      <c r="BD32" s="112"/>
      <c r="BE32" s="112"/>
      <c r="BF32" s="112"/>
      <c r="BG32" s="112"/>
      <c r="BH32" s="112"/>
      <c r="BI32" s="112"/>
      <c r="BJ32" s="112"/>
      <c r="BK32" s="113"/>
    </row>
    <row r="33" spans="1:63">
      <c r="A33" s="112"/>
      <c r="B33" s="114"/>
      <c r="C33" s="603" t="s">
        <v>19</v>
      </c>
      <c r="D33" s="606"/>
      <c r="E33" s="610">
        <f>E7</f>
        <v>889334.59210218966</v>
      </c>
      <c r="F33" s="143"/>
      <c r="G33" s="120"/>
      <c r="H33" s="114"/>
      <c r="I33" s="120"/>
      <c r="J33" s="114"/>
      <c r="K33" s="114"/>
      <c r="L33" s="114"/>
      <c r="M33" s="114"/>
      <c r="N33" s="114"/>
      <c r="O33" s="114"/>
      <c r="P33" s="114"/>
      <c r="Q33" s="114"/>
      <c r="R33" s="114"/>
      <c r="S33" s="114"/>
      <c r="T33" s="114"/>
      <c r="U33" s="114"/>
      <c r="V33" s="114"/>
      <c r="W33" s="114"/>
      <c r="X33" s="114"/>
      <c r="Y33" s="114"/>
      <c r="Z33" s="114"/>
      <c r="AA33" s="122"/>
      <c r="AB33" s="114"/>
      <c r="AC33" s="114"/>
      <c r="AD33" s="114"/>
      <c r="AE33" s="114"/>
      <c r="AF33" s="114"/>
      <c r="AG33" s="114"/>
      <c r="AH33" s="114"/>
      <c r="AI33" s="114"/>
      <c r="AJ33" s="114"/>
      <c r="AK33" s="114"/>
      <c r="AL33" s="114"/>
      <c r="AM33" s="114"/>
      <c r="AN33" s="114"/>
      <c r="AO33" s="114"/>
      <c r="AP33" s="114"/>
      <c r="AQ33" s="114"/>
      <c r="AR33" s="114"/>
      <c r="AS33" s="112"/>
      <c r="AT33" s="112"/>
      <c r="AU33" s="112"/>
      <c r="AV33" s="112"/>
      <c r="AW33" s="112"/>
      <c r="AX33" s="112"/>
      <c r="AY33" s="112"/>
      <c r="AZ33" s="112"/>
      <c r="BA33" s="112"/>
      <c r="BB33" s="112"/>
      <c r="BC33" s="112"/>
      <c r="BD33" s="112"/>
      <c r="BE33" s="112"/>
      <c r="BF33" s="112"/>
      <c r="BG33" s="112"/>
      <c r="BH33" s="112"/>
      <c r="BI33" s="112"/>
      <c r="BJ33" s="112"/>
      <c r="BK33" s="113"/>
    </row>
    <row r="34" spans="1:63">
      <c r="A34" s="112"/>
      <c r="B34" s="114"/>
      <c r="C34" s="603" t="s">
        <v>1379</v>
      </c>
      <c r="D34" s="606"/>
      <c r="E34" s="605">
        <f>E30</f>
        <v>-89925.7221021898</v>
      </c>
      <c r="F34" s="143"/>
      <c r="G34" s="114"/>
      <c r="H34" s="114"/>
      <c r="I34" s="114"/>
      <c r="J34" s="114"/>
      <c r="K34" s="114"/>
      <c r="L34" s="114"/>
      <c r="M34" s="114"/>
      <c r="N34" s="114"/>
      <c r="O34" s="114"/>
      <c r="P34" s="114"/>
      <c r="Q34" s="114"/>
      <c r="R34" s="114"/>
      <c r="S34" s="114"/>
      <c r="T34" s="114"/>
      <c r="U34" s="114"/>
      <c r="V34" s="119" t="s">
        <v>279</v>
      </c>
      <c r="W34" s="128" t="s">
        <v>227</v>
      </c>
      <c r="X34" s="128" t="s">
        <v>228</v>
      </c>
      <c r="Y34" s="128" t="s">
        <v>229</v>
      </c>
      <c r="Z34" s="114"/>
      <c r="AA34" s="122"/>
      <c r="AB34" s="114"/>
      <c r="AC34" s="114"/>
      <c r="AD34" s="114"/>
      <c r="AE34" s="114"/>
      <c r="AF34" s="114"/>
      <c r="AG34" s="114"/>
      <c r="AH34" s="114"/>
      <c r="AI34" s="114"/>
      <c r="AJ34" s="114" t="s">
        <v>277</v>
      </c>
      <c r="AK34" s="114"/>
      <c r="AL34" s="114"/>
      <c r="AM34" s="114"/>
      <c r="AN34" s="114"/>
      <c r="AO34" s="114"/>
      <c r="AP34" s="114"/>
      <c r="AQ34" s="114"/>
      <c r="AR34" s="114"/>
      <c r="AS34" s="112"/>
      <c r="AT34" s="112"/>
      <c r="AU34" s="112"/>
      <c r="AV34" s="112"/>
      <c r="AW34" s="112"/>
      <c r="AX34" s="112"/>
      <c r="AY34" s="112"/>
      <c r="AZ34" s="112"/>
      <c r="BA34" s="112"/>
      <c r="BB34" s="112"/>
      <c r="BC34" s="112"/>
      <c r="BD34" s="112"/>
      <c r="BE34" s="112"/>
      <c r="BF34" s="112"/>
      <c r="BG34" s="112"/>
      <c r="BH34" s="112"/>
      <c r="BI34" s="112"/>
      <c r="BJ34" s="112"/>
      <c r="BK34" s="113"/>
    </row>
    <row r="35" spans="1:63">
      <c r="A35" s="112"/>
      <c r="B35" s="114"/>
      <c r="C35" s="603"/>
      <c r="D35" s="606"/>
      <c r="E35" s="611">
        <f>E33+E34</f>
        <v>799408.86999999988</v>
      </c>
      <c r="F35" s="143"/>
      <c r="G35" s="143"/>
      <c r="H35" s="114"/>
      <c r="I35" s="114"/>
      <c r="J35" s="114"/>
      <c r="K35" s="114"/>
      <c r="L35" s="114"/>
      <c r="M35" s="114"/>
      <c r="N35" s="114"/>
      <c r="O35" s="114"/>
      <c r="P35" s="114"/>
      <c r="Q35" s="114"/>
      <c r="R35" s="114"/>
      <c r="S35" s="114"/>
      <c r="T35" s="114"/>
      <c r="U35" s="114"/>
      <c r="V35" s="122">
        <f>100*(+AD29/$E$9)</f>
        <v>187.58088238820886</v>
      </c>
      <c r="W35" s="129">
        <f>EXP(5.7226-(0.68367*LN(+V35)))</f>
        <v>8.5345921007926471</v>
      </c>
      <c r="X35" s="123">
        <f>(+W35*V35)/100</f>
        <v>16.009263170901221</v>
      </c>
      <c r="Y35" s="122">
        <f>100*((((X35/100)-((X35/100)-0.03574)*$E$21)-0.03574-0.00619)/0.344)</f>
        <v>22.058935153473275</v>
      </c>
      <c r="Z35" s="114">
        <f>$E$20</f>
        <v>0.25</v>
      </c>
      <c r="AA35" s="122">
        <f>Y35+Z35</f>
        <v>22.308935153473275</v>
      </c>
      <c r="AB35" s="122">
        <f>100*($E$17*$E$19+($E$18*(AA35/100))/(1-$E$21))</f>
        <v>17.809229679333964</v>
      </c>
      <c r="AC35" s="123">
        <f>AB35/V35</f>
        <v>9.4941603070598596E-2</v>
      </c>
      <c r="AD35" s="121">
        <f>ROUND($E$8/(1-AC35),0)</f>
        <v>1052235</v>
      </c>
      <c r="AE35" s="114" t="str">
        <f>IF(AD35=AD29,"yes","not yet")</f>
        <v>not yet</v>
      </c>
      <c r="AF35" s="122">
        <f>100*(1-AC35)</f>
        <v>90.505839692940143</v>
      </c>
      <c r="AG35" s="114"/>
      <c r="AH35" s="114"/>
      <c r="AI35" s="114"/>
      <c r="AJ35" s="122">
        <f>HLOOKUP($AJ$34,$AJ$28:$AR$32,($E$12)+1)</f>
        <v>187.02747562493047</v>
      </c>
      <c r="AK35" s="114"/>
      <c r="AL35" s="114"/>
      <c r="AM35" s="114"/>
      <c r="AN35" s="114"/>
      <c r="AO35" s="114"/>
      <c r="AP35" s="114"/>
      <c r="AQ35" s="114"/>
      <c r="AR35" s="114"/>
      <c r="AS35" s="112"/>
      <c r="AT35" s="112"/>
      <c r="AU35" s="112"/>
      <c r="AV35" s="112"/>
      <c r="AW35" s="112"/>
      <c r="AX35" s="112"/>
      <c r="AY35" s="112"/>
      <c r="AZ35" s="112"/>
      <c r="BA35" s="112"/>
      <c r="BB35" s="112"/>
      <c r="BC35" s="112"/>
      <c r="BD35" s="112"/>
      <c r="BE35" s="112"/>
      <c r="BF35" s="112"/>
      <c r="BG35" s="112"/>
      <c r="BH35" s="112"/>
      <c r="BI35" s="112"/>
      <c r="BJ35" s="112"/>
      <c r="BK35" s="113"/>
    </row>
    <row r="36" spans="1:63" ht="15.75">
      <c r="A36" s="112"/>
      <c r="B36" s="114"/>
      <c r="C36" s="603"/>
      <c r="D36" s="606"/>
      <c r="E36" s="612"/>
      <c r="F36" s="114"/>
      <c r="G36" s="114"/>
      <c r="H36" s="114"/>
      <c r="I36" s="114"/>
      <c r="J36" s="114"/>
      <c r="K36" s="114"/>
      <c r="L36" s="114"/>
      <c r="M36" s="114"/>
      <c r="N36" s="114"/>
      <c r="O36" s="114"/>
      <c r="P36" s="114"/>
      <c r="Q36" s="114"/>
      <c r="R36" s="114"/>
      <c r="S36" s="114"/>
      <c r="T36" s="114"/>
      <c r="U36" s="114"/>
      <c r="V36" s="122">
        <f>100*(+AD30/$E$9)</f>
        <v>187.25008613281128</v>
      </c>
      <c r="W36" s="129">
        <f>EXP(5.70827-(0.68367*LN(+V36)))</f>
        <v>8.4233218590216321</v>
      </c>
      <c r="X36" s="123">
        <f>(+W36*V36)/100</f>
        <v>15.772677436261926</v>
      </c>
      <c r="Y36" s="122">
        <f>100*((((X36/100)-((X36/100)-0.03574)*$E$21)-0.03574-0.00619)/0.344)</f>
        <v>21.605020662595557</v>
      </c>
      <c r="Z36" s="114">
        <f>$E$20</f>
        <v>0.25</v>
      </c>
      <c r="AA36" s="122">
        <f>Y36+Z36</f>
        <v>21.855020662595557</v>
      </c>
      <c r="AB36" s="122">
        <f>100*($E$17*$E$19+($E$18*(AA36/100))/(1-$E$21))</f>
        <v>17.478431482658273</v>
      </c>
      <c r="AC36" s="123">
        <f>AB36/V36</f>
        <v>9.3342715315288607E-2</v>
      </c>
      <c r="AD36" s="121">
        <f>ROUND($E$8/(1-AC36),0)</f>
        <v>1050380</v>
      </c>
      <c r="AE36" s="114" t="str">
        <f>IF(AD36=AD30,"yes","not yet")</f>
        <v>not yet</v>
      </c>
      <c r="AF36" s="122">
        <f>100*(1-AC36)</f>
        <v>90.665728468471144</v>
      </c>
      <c r="AG36" s="114"/>
      <c r="AH36" s="114"/>
      <c r="AI36" s="114"/>
      <c r="AJ36" s="114"/>
      <c r="AK36" s="114"/>
      <c r="AL36" s="114"/>
      <c r="AM36" s="114"/>
      <c r="AN36" s="114"/>
      <c r="AO36" s="114"/>
      <c r="AP36" s="114"/>
      <c r="AQ36" s="114"/>
      <c r="AR36" s="114"/>
      <c r="AS36" s="112"/>
      <c r="AT36" s="112"/>
      <c r="AU36" s="112"/>
      <c r="AV36" s="112"/>
      <c r="AW36" s="112"/>
      <c r="AX36" s="112"/>
      <c r="AY36" s="112"/>
      <c r="AZ36" s="112"/>
      <c r="BA36" s="112"/>
      <c r="BB36" s="112"/>
      <c r="BC36" s="112"/>
      <c r="BD36" s="112"/>
      <c r="BE36" s="112"/>
      <c r="BF36" s="112"/>
      <c r="BG36" s="112"/>
      <c r="BH36" s="112"/>
      <c r="BI36" s="112"/>
      <c r="BJ36" s="112"/>
      <c r="BK36" s="113"/>
    </row>
    <row r="37" spans="1:63">
      <c r="A37" s="112"/>
      <c r="B37" s="114"/>
      <c r="C37" s="603" t="s">
        <v>241</v>
      </c>
      <c r="D37" s="606"/>
      <c r="E37" s="613">
        <f>E6</f>
        <v>164527.382483742</v>
      </c>
      <c r="F37" s="114"/>
      <c r="G37" s="143"/>
      <c r="H37" s="114"/>
      <c r="I37" s="114"/>
      <c r="J37" s="114"/>
      <c r="K37" s="114"/>
      <c r="L37" s="114"/>
      <c r="M37" s="114"/>
      <c r="N37" s="114"/>
      <c r="O37" s="114"/>
      <c r="P37" s="114"/>
      <c r="Q37" s="114"/>
      <c r="R37" s="114"/>
      <c r="S37" s="114"/>
      <c r="T37" s="114"/>
      <c r="U37" s="114"/>
      <c r="V37" s="122">
        <f>100*(+AD31/$E$9)</f>
        <v>187.02745549755258</v>
      </c>
      <c r="W37" s="129">
        <f>EXP(5.6985-(0.68367*LN(V37)))</f>
        <v>8.3482138205853467</v>
      </c>
      <c r="X37" s="123">
        <f>(+W37*V37)/100</f>
        <v>15.613451888135794</v>
      </c>
      <c r="Y37" s="122">
        <f>100*((((X37/100)-((X37/100)-0.03574)*$E$21)-0.03574-0.00619)/0.344)</f>
        <v>21.299529785376812</v>
      </c>
      <c r="Z37" s="114">
        <f>$E$20</f>
        <v>0.25</v>
      </c>
      <c r="AA37" s="122">
        <f>Y37+Z37</f>
        <v>21.549529785376812</v>
      </c>
      <c r="AB37" s="122">
        <f>100*($E$17*$E$19+($E$18*(AA37/100))/(1-$E$21))</f>
        <v>17.255799614066841</v>
      </c>
      <c r="AC37" s="123">
        <f>AB37/V37</f>
        <v>9.2263457085276168E-2</v>
      </c>
      <c r="AD37" s="121">
        <f>ROUND($E$8/(1-AC37),0)</f>
        <v>1049131</v>
      </c>
      <c r="AE37" s="114" t="str">
        <f>IF(AD37=AD31,"yes","not yet")</f>
        <v>not yet</v>
      </c>
      <c r="AF37" s="122">
        <f>100*(1-AC37)</f>
        <v>90.773654291472383</v>
      </c>
      <c r="AG37" s="114"/>
      <c r="AH37" s="114"/>
      <c r="AI37" s="114"/>
      <c r="AJ37" s="114" t="str">
        <f>HLOOKUP(1,$AJ$13:$AR$17,($E$12)+1)</f>
        <v>not yet</v>
      </c>
      <c r="AK37" s="114" t="str">
        <f>HLOOKUP(2,$AJ$13:$AR$17,($E$12)+1)</f>
        <v>not yet</v>
      </c>
      <c r="AL37" s="114" t="str">
        <f>HLOOKUP(3,$AJ$13:$AR$17,($E$12)+1)</f>
        <v>not yet</v>
      </c>
      <c r="AM37" s="114" t="str">
        <f>HLOOKUP(4,$AJ$13:$AR$17,($E$12)+1)</f>
        <v>not yet</v>
      </c>
      <c r="AN37" s="114" t="str">
        <f>HLOOKUP(5,$AJ$13:$AR$17,($E$12)+1)</f>
        <v>not yet</v>
      </c>
      <c r="AO37" s="114" t="str">
        <f>HLOOKUP(6,$AJ$13:$AR$17,($E$12)+1)</f>
        <v>not yet</v>
      </c>
      <c r="AP37" s="114" t="str">
        <f>HLOOKUP(7,$AJ$13:$AR$17,($E$12)+1)</f>
        <v>yes</v>
      </c>
      <c r="AQ37" s="114" t="str">
        <f>HLOOKUP(8,$AJ$13:$AR$17,($E$12)+1)</f>
        <v>yes</v>
      </c>
      <c r="AR37" s="114" t="str">
        <f>HLOOKUP(9,$AJ$13:$AR$17,($E$12)+1)</f>
        <v>yes</v>
      </c>
      <c r="AS37" s="112"/>
      <c r="AT37" s="112"/>
      <c r="AU37" s="112"/>
      <c r="AV37" s="112"/>
      <c r="AW37" s="112"/>
      <c r="AX37" s="112"/>
      <c r="AY37" s="112"/>
      <c r="AZ37" s="112"/>
      <c r="BA37" s="112"/>
      <c r="BB37" s="112"/>
      <c r="BC37" s="112"/>
      <c r="BD37" s="112"/>
      <c r="BE37" s="112"/>
      <c r="BF37" s="112"/>
      <c r="BG37" s="112"/>
      <c r="BH37" s="112"/>
      <c r="BI37" s="112"/>
      <c r="BJ37" s="112"/>
      <c r="BK37" s="113"/>
    </row>
    <row r="38" spans="1:63">
      <c r="A38" s="112"/>
      <c r="B38" s="114"/>
      <c r="C38" s="603"/>
      <c r="D38" s="606"/>
      <c r="E38" s="611"/>
      <c r="F38" s="114"/>
      <c r="G38" s="114"/>
      <c r="H38" s="114"/>
      <c r="I38" s="114"/>
      <c r="J38" s="114"/>
      <c r="K38" s="114"/>
      <c r="L38" s="114"/>
      <c r="M38" s="114"/>
      <c r="N38" s="114"/>
      <c r="O38" s="114"/>
      <c r="P38" s="114"/>
      <c r="Q38" s="114"/>
      <c r="R38" s="114"/>
      <c r="S38" s="114"/>
      <c r="T38" s="114"/>
      <c r="U38" s="114"/>
      <c r="V38" s="122">
        <f>100*(+AD32/$E$9)</f>
        <v>186.88512973310907</v>
      </c>
      <c r="W38" s="129">
        <f>EXP(5.6922-(0.68367*LN(V38)))</f>
        <v>8.3001041708021557</v>
      </c>
      <c r="X38" s="123">
        <f>(+W38*V38)/100</f>
        <v>15.511660447586806</v>
      </c>
      <c r="Y38" s="122">
        <f>100*((((X38/100)-((X38/100)-0.03574)*$E$21)-0.03574-0.00619)/0.344)</f>
        <v>21.104232254090967</v>
      </c>
      <c r="Z38" s="114">
        <f>$E$20</f>
        <v>0.25</v>
      </c>
      <c r="AA38" s="122">
        <f>Y38+Z38</f>
        <v>21.354232254090967</v>
      </c>
      <c r="AB38" s="122">
        <f>100*($E$17*$E$19+($E$18*(AA38/100))/(1-$E$21))</f>
        <v>17.113473091202039</v>
      </c>
      <c r="AC38" s="123">
        <f>AB38/V38</f>
        <v>9.1572149778004361E-2</v>
      </c>
      <c r="AD38" s="121">
        <f>ROUND($E$8/(1-AC38),0)</f>
        <v>1048333</v>
      </c>
      <c r="AE38" s="114" t="str">
        <f>IF(AD38=AD32,"yes","not yet")</f>
        <v>not yet</v>
      </c>
      <c r="AF38" s="122">
        <f>100*(1-AC38)</f>
        <v>90.842785022199564</v>
      </c>
      <c r="AG38" s="114"/>
      <c r="AH38" s="114"/>
      <c r="AI38" s="114">
        <v>1</v>
      </c>
      <c r="AJ38" s="121">
        <f>AD5</f>
        <v>1044363.0703139085</v>
      </c>
      <c r="AK38" s="121">
        <f>AD11</f>
        <v>1052736.0804078917</v>
      </c>
      <c r="AL38" s="121">
        <f>AD17</f>
        <v>1052203.839742912</v>
      </c>
      <c r="AM38" s="121">
        <f>AD23</f>
        <v>1052237.4610263461</v>
      </c>
      <c r="AN38" s="121">
        <f>AD29</f>
        <v>1052235.3363496461</v>
      </c>
      <c r="AO38" s="121">
        <f>AD35</f>
        <v>1052235</v>
      </c>
      <c r="AP38" s="121">
        <f>AD41</f>
        <v>1052235</v>
      </c>
      <c r="AQ38" s="121">
        <f>AD47</f>
        <v>1052235</v>
      </c>
      <c r="AR38" s="121">
        <f>AD53</f>
        <v>1052235</v>
      </c>
      <c r="AS38" s="112"/>
      <c r="AT38" s="112"/>
      <c r="AU38" s="112"/>
      <c r="AV38" s="112"/>
      <c r="AW38" s="112"/>
      <c r="AX38" s="112"/>
      <c r="AY38" s="112"/>
      <c r="AZ38" s="112"/>
      <c r="BA38" s="112"/>
      <c r="BB38" s="112"/>
      <c r="BC38" s="112"/>
      <c r="BD38" s="112"/>
      <c r="BE38" s="112"/>
      <c r="BF38" s="112"/>
      <c r="BG38" s="112"/>
      <c r="BH38" s="112"/>
      <c r="BI38" s="112"/>
      <c r="BJ38" s="112"/>
      <c r="BK38" s="113"/>
    </row>
    <row r="39" spans="1:63" ht="16.5" thickBot="1">
      <c r="A39" s="112"/>
      <c r="B39" s="114"/>
      <c r="C39" s="614" t="s">
        <v>1380</v>
      </c>
      <c r="D39" s="615"/>
      <c r="E39" s="616">
        <f>E37/E35</f>
        <v>0.20581130465032496</v>
      </c>
      <c r="F39" s="114"/>
      <c r="G39" s="114"/>
      <c r="H39" s="114"/>
      <c r="I39" s="114"/>
      <c r="J39" s="114"/>
      <c r="K39" s="114"/>
      <c r="L39" s="114"/>
      <c r="M39" s="114"/>
      <c r="N39" s="114"/>
      <c r="O39" s="114"/>
      <c r="P39" s="114"/>
      <c r="Q39" s="114"/>
      <c r="R39" s="114"/>
      <c r="S39" s="114"/>
      <c r="T39" s="114"/>
      <c r="U39" s="114"/>
      <c r="V39" s="114"/>
      <c r="W39" s="114"/>
      <c r="X39" s="114"/>
      <c r="Y39" s="114"/>
      <c r="Z39" s="114"/>
      <c r="AA39" s="122"/>
      <c r="AB39" s="114"/>
      <c r="AC39" s="114"/>
      <c r="AD39" s="114"/>
      <c r="AE39" s="114"/>
      <c r="AF39" s="114"/>
      <c r="AG39" s="114"/>
      <c r="AH39" s="114"/>
      <c r="AI39" s="114">
        <v>2</v>
      </c>
      <c r="AJ39" s="121">
        <f>AD6</f>
        <v>1042578.9224556626</v>
      </c>
      <c r="AK39" s="121">
        <f>AD12</f>
        <v>1050865.4322332006</v>
      </c>
      <c r="AL39" s="121">
        <f>AD18</f>
        <v>1050349.8220283608</v>
      </c>
      <c r="AM39" s="121">
        <f>AD24</f>
        <v>1050381.7065355917</v>
      </c>
      <c r="AN39" s="121">
        <f>AD30</f>
        <v>1050379.7340908768</v>
      </c>
      <c r="AO39" s="121">
        <f>AD36</f>
        <v>1050380</v>
      </c>
      <c r="AP39" s="121">
        <f>AD42</f>
        <v>1050380</v>
      </c>
      <c r="AQ39" s="121">
        <f>AD48</f>
        <v>1050380</v>
      </c>
      <c r="AR39" s="121">
        <f>AD54</f>
        <v>1050380</v>
      </c>
      <c r="AS39" s="112"/>
      <c r="AT39" s="112"/>
      <c r="AU39" s="112"/>
      <c r="AV39" s="112"/>
      <c r="AW39" s="112"/>
      <c r="AX39" s="112"/>
      <c r="AY39" s="112"/>
      <c r="AZ39" s="112"/>
      <c r="BA39" s="112"/>
      <c r="BB39" s="112"/>
      <c r="BC39" s="112"/>
      <c r="BD39" s="112"/>
      <c r="BE39" s="112"/>
      <c r="BF39" s="112"/>
      <c r="BG39" s="112"/>
      <c r="BH39" s="112"/>
      <c r="BI39" s="112"/>
      <c r="BJ39" s="112"/>
      <c r="BK39" s="113"/>
    </row>
    <row r="40" spans="1:63">
      <c r="A40" s="112"/>
      <c r="B40" s="114"/>
      <c r="C40" s="114"/>
      <c r="D40" s="114"/>
      <c r="E40" s="118"/>
      <c r="F40" s="114"/>
      <c r="G40" s="114"/>
      <c r="H40" s="114"/>
      <c r="I40" s="114"/>
      <c r="J40" s="114"/>
      <c r="K40" s="114"/>
      <c r="L40" s="114"/>
      <c r="M40" s="114"/>
      <c r="N40" s="114"/>
      <c r="O40" s="114"/>
      <c r="P40" s="114"/>
      <c r="Q40" s="114"/>
      <c r="R40" s="114"/>
      <c r="S40" s="114"/>
      <c r="T40" s="114"/>
      <c r="U40" s="114"/>
      <c r="V40" s="119" t="s">
        <v>280</v>
      </c>
      <c r="W40" s="128" t="s">
        <v>227</v>
      </c>
      <c r="X40" s="128" t="s">
        <v>228</v>
      </c>
      <c r="Y40" s="128" t="s">
        <v>229</v>
      </c>
      <c r="Z40" s="114"/>
      <c r="AA40" s="122"/>
      <c r="AB40" s="114"/>
      <c r="AC40" s="114"/>
      <c r="AD40" s="114"/>
      <c r="AE40" s="114"/>
      <c r="AF40" s="114"/>
      <c r="AG40" s="114"/>
      <c r="AH40" s="114"/>
      <c r="AI40" s="114">
        <v>3</v>
      </c>
      <c r="AJ40" s="121">
        <f>AD7</f>
        <v>1041380.5221166782</v>
      </c>
      <c r="AK40" s="121">
        <f>AD13</f>
        <v>1049606.4230188117</v>
      </c>
      <c r="AL40" s="121">
        <f>AD19</f>
        <v>1049102.0215926038</v>
      </c>
      <c r="AM40" s="121">
        <f>AD25</f>
        <v>1049132.7611497783</v>
      </c>
      <c r="AN40" s="121">
        <f>AD31</f>
        <v>1049130.8870954332</v>
      </c>
      <c r="AO40" s="121">
        <f>AD37</f>
        <v>1049131</v>
      </c>
      <c r="AP40" s="121">
        <f>AD43</f>
        <v>1049131</v>
      </c>
      <c r="AQ40" s="121">
        <f>AD49</f>
        <v>1049131</v>
      </c>
      <c r="AR40" s="121">
        <f>AD55</f>
        <v>1049131</v>
      </c>
      <c r="AS40" s="112"/>
      <c r="AT40" s="112"/>
      <c r="AU40" s="112"/>
      <c r="AV40" s="112"/>
      <c r="AW40" s="112"/>
      <c r="AX40" s="112"/>
      <c r="AY40" s="112"/>
      <c r="AZ40" s="112"/>
      <c r="BA40" s="112"/>
      <c r="BB40" s="112"/>
      <c r="BC40" s="112"/>
      <c r="BD40" s="112"/>
      <c r="BE40" s="112"/>
      <c r="BF40" s="112"/>
      <c r="BG40" s="112"/>
      <c r="BH40" s="112"/>
      <c r="BI40" s="112"/>
      <c r="BJ40" s="112"/>
      <c r="BK40" s="113"/>
    </row>
    <row r="41" spans="1:63">
      <c r="A41" s="112"/>
      <c r="B41" s="114"/>
      <c r="C41" s="114"/>
      <c r="D41" s="114"/>
      <c r="E41" s="118"/>
      <c r="F41" s="114"/>
      <c r="G41" s="114"/>
      <c r="H41" s="114"/>
      <c r="I41" s="114"/>
      <c r="J41" s="114"/>
      <c r="K41" s="114"/>
      <c r="L41" s="114"/>
      <c r="M41" s="114"/>
      <c r="N41" s="114"/>
      <c r="O41" s="114"/>
      <c r="P41" s="114"/>
      <c r="Q41" s="114"/>
      <c r="R41" s="114"/>
      <c r="S41" s="114"/>
      <c r="T41" s="114"/>
      <c r="U41" s="114"/>
      <c r="V41" s="122">
        <f>100*(+AD35/$E$9)</f>
        <v>187.5808224275126</v>
      </c>
      <c r="W41" s="129">
        <f>EXP(5.7226-(0.68367*LN(+V41)))</f>
        <v>8.5345939659157501</v>
      </c>
      <c r="X41" s="123">
        <f>(+W41*V41)/100</f>
        <v>16.009261552113628</v>
      </c>
      <c r="Y41" s="122">
        <f>100*((((X41/100)-((X41/100)-0.03574)*$E$21)-0.03574-0.00619)/0.344)</f>
        <v>22.058932047659869</v>
      </c>
      <c r="Z41" s="114">
        <f>$E$20</f>
        <v>0.25</v>
      </c>
      <c r="AA41" s="122">
        <f>Y41+Z41</f>
        <v>22.308932047659869</v>
      </c>
      <c r="AB41" s="122">
        <f>100*($E$17*$E$19+($E$18*(AA41/100))/(1-$E$21))</f>
        <v>17.809227415917626</v>
      </c>
      <c r="AC41" s="123">
        <f>AB41/V41</f>
        <v>9.4941621352575611E-2</v>
      </c>
      <c r="AD41" s="121">
        <f>ROUND($E$8/(1-AC41),0)</f>
        <v>1052235</v>
      </c>
      <c r="AE41" s="114" t="str">
        <f>IF(OR(OR(AD41=AD35,AD41=(AD35+1)),AD41=(AD27-1)),"yes","not yet")</f>
        <v>yes</v>
      </c>
      <c r="AF41" s="122">
        <f>100*(1-AC41)</f>
        <v>90.505837864742446</v>
      </c>
      <c r="AG41" s="114"/>
      <c r="AH41" s="114"/>
      <c r="AI41" s="114">
        <v>4</v>
      </c>
      <c r="AJ41" s="121">
        <f>AD8</f>
        <v>1040615.3860994957</v>
      </c>
      <c r="AK41" s="121">
        <f>AD14</f>
        <v>1048801.5375331328</v>
      </c>
      <c r="AL41" s="121">
        <f>AD20</f>
        <v>1048304.3053840871</v>
      </c>
      <c r="AM41" s="121">
        <f>AD26</f>
        <v>1048334.3232863029</v>
      </c>
      <c r="AN41" s="121">
        <f>AD32</f>
        <v>1048332.51043405</v>
      </c>
      <c r="AO41" s="121">
        <f>AD38</f>
        <v>1048333</v>
      </c>
      <c r="AP41" s="121">
        <f>AD44</f>
        <v>1048333</v>
      </c>
      <c r="AQ41" s="121">
        <f>AD50</f>
        <v>1048333</v>
      </c>
      <c r="AR41" s="121">
        <f>AD56</f>
        <v>1048333</v>
      </c>
      <c r="AS41" s="112"/>
      <c r="AT41" s="112"/>
      <c r="AU41" s="112"/>
      <c r="AV41" s="112"/>
      <c r="AW41" s="112"/>
      <c r="AX41" s="112"/>
      <c r="AY41" s="112"/>
      <c r="AZ41" s="112"/>
      <c r="BA41" s="112"/>
      <c r="BB41" s="112"/>
      <c r="BC41" s="112"/>
      <c r="BD41" s="112"/>
      <c r="BE41" s="112"/>
      <c r="BF41" s="112"/>
      <c r="BG41" s="112"/>
      <c r="BH41" s="112"/>
      <c r="BI41" s="112"/>
      <c r="BJ41" s="112"/>
      <c r="BK41" s="113"/>
    </row>
    <row r="42" spans="1:63">
      <c r="A42" s="112"/>
      <c r="B42" s="114"/>
      <c r="C42" s="114"/>
      <c r="D42" s="114"/>
      <c r="E42" s="117"/>
      <c r="F42" s="114"/>
      <c r="G42" s="114"/>
      <c r="H42" s="114"/>
      <c r="I42" s="114"/>
      <c r="J42" s="114"/>
      <c r="K42" s="114"/>
      <c r="L42" s="114"/>
      <c r="M42" s="114"/>
      <c r="N42" s="114"/>
      <c r="O42" s="114"/>
      <c r="P42" s="114"/>
      <c r="Q42" s="114"/>
      <c r="R42" s="114"/>
      <c r="S42" s="114"/>
      <c r="T42" s="114"/>
      <c r="U42" s="114"/>
      <c r="V42" s="122">
        <f>100*(+AD36/$E$9)</f>
        <v>187.25013353614989</v>
      </c>
      <c r="W42" s="129">
        <f>EXP(5.70827-(0.68367*LN(+V42)))</f>
        <v>8.4233204011585769</v>
      </c>
      <c r="X42" s="123">
        <f>(+W42*V42)/100</f>
        <v>15.772678699347191</v>
      </c>
      <c r="Y42" s="122">
        <f>100*((((X42/100)-((X42/100)-0.03574)*$E$21)-0.03574-0.00619)/0.344)</f>
        <v>21.605023085956816</v>
      </c>
      <c r="Z42" s="114">
        <f>$E$20</f>
        <v>0.25</v>
      </c>
      <c r="AA42" s="122">
        <f>Y42+Z42</f>
        <v>21.855023085956816</v>
      </c>
      <c r="AB42" s="122">
        <f>100*($E$17*$E$19+($E$18*(AA42/100))/(1-$E$21))</f>
        <v>17.478433248725562</v>
      </c>
      <c r="AC42" s="123">
        <f>AB42/V42</f>
        <v>9.3342701116692309E-2</v>
      </c>
      <c r="AD42" s="121">
        <f>ROUND($E$8/(1-AC42),0)</f>
        <v>1050380</v>
      </c>
      <c r="AE42" s="114" t="str">
        <f>IF(OR(OR(AD42=AD36,AD42=(AD36+5)),AD42=(AD28-5)),"yes","not yet")</f>
        <v>yes</v>
      </c>
      <c r="AF42" s="122">
        <f>100*(1-AC42)</f>
        <v>90.665729888330773</v>
      </c>
      <c r="AG42" s="114"/>
      <c r="AH42" s="114"/>
      <c r="AI42" s="114"/>
      <c r="AJ42" s="114"/>
      <c r="AK42" s="114"/>
      <c r="AL42" s="114"/>
      <c r="AM42" s="114"/>
      <c r="AN42" s="114"/>
      <c r="AO42" s="114"/>
      <c r="AP42" s="114"/>
      <c r="AQ42" s="114"/>
      <c r="AR42" s="114"/>
      <c r="AS42" s="112"/>
      <c r="AT42" s="112"/>
      <c r="AU42" s="112"/>
      <c r="AV42" s="112"/>
      <c r="AW42" s="112"/>
      <c r="AX42" s="112"/>
      <c r="AY42" s="112"/>
      <c r="AZ42" s="112"/>
      <c r="BA42" s="112"/>
      <c r="BB42" s="112"/>
      <c r="BC42" s="112"/>
      <c r="BD42" s="112"/>
      <c r="BE42" s="112"/>
      <c r="BF42" s="112"/>
      <c r="BG42" s="112"/>
      <c r="BH42" s="112"/>
      <c r="BI42" s="112"/>
      <c r="BJ42" s="112"/>
      <c r="BK42" s="113"/>
    </row>
    <row r="43" spans="1:63">
      <c r="A43" s="112"/>
      <c r="B43" s="114"/>
      <c r="C43" s="114"/>
      <c r="D43" s="114"/>
      <c r="E43" s="118"/>
      <c r="F43" s="114"/>
      <c r="G43" s="114"/>
      <c r="H43" s="114"/>
      <c r="I43" s="114"/>
      <c r="J43" s="114"/>
      <c r="K43" s="114"/>
      <c r="L43" s="114"/>
      <c r="M43" s="114"/>
      <c r="N43" s="114"/>
      <c r="O43" s="114"/>
      <c r="P43" s="114"/>
      <c r="Q43" s="114"/>
      <c r="R43" s="114"/>
      <c r="S43" s="114"/>
      <c r="T43" s="114"/>
      <c r="U43" s="114"/>
      <c r="V43" s="122">
        <f>100*(+AD37/$E$9)</f>
        <v>187.02747562493047</v>
      </c>
      <c r="W43" s="129">
        <f>EXP(5.6985-(0.68367*LN(V43)))</f>
        <v>8.3482132063682748</v>
      </c>
      <c r="X43" s="123">
        <f>(+W43*V43)/100</f>
        <v>15.613452419657651</v>
      </c>
      <c r="Y43" s="122">
        <f>100*((((X43/100)-((X43/100)-0.03574)*$E$21)-0.03574-0.00619)/0.344)</f>
        <v>21.299530805157115</v>
      </c>
      <c r="Z43" s="114">
        <f>$E$20</f>
        <v>0.25</v>
      </c>
      <c r="AA43" s="122">
        <f>Y43+Z43</f>
        <v>21.549530805157115</v>
      </c>
      <c r="AB43" s="122">
        <f>100*($E$17*$E$19+($E$18*(AA43/100))/(1-$E$21))</f>
        <v>17.255800357249736</v>
      </c>
      <c r="AC43" s="123">
        <f>AB43/V43</f>
        <v>9.2263451129795199E-2</v>
      </c>
      <c r="AD43" s="121">
        <f>ROUND($E$8/(1-AC43),0)</f>
        <v>1049131</v>
      </c>
      <c r="AE43" s="114" t="str">
        <f>IF(OR(OR(AD43=AD37,AD43=(AD37+5)),AD43=(AD29-5)),"yes","not yet")</f>
        <v>yes</v>
      </c>
      <c r="AF43" s="122">
        <f>100*(1-AC43)</f>
        <v>90.773654887020484</v>
      </c>
      <c r="AG43" s="114"/>
      <c r="AH43" s="114"/>
      <c r="AI43" s="114"/>
      <c r="AJ43" s="114" t="s">
        <v>277</v>
      </c>
      <c r="AK43" s="114"/>
      <c r="AL43" s="114"/>
      <c r="AM43" s="114"/>
      <c r="AN43" s="114"/>
      <c r="AO43" s="114"/>
      <c r="AP43" s="114"/>
      <c r="AQ43" s="114"/>
      <c r="AR43" s="114"/>
      <c r="AS43" s="112"/>
      <c r="AT43" s="112"/>
      <c r="AU43" s="112"/>
      <c r="AV43" s="112"/>
      <c r="AW43" s="112"/>
      <c r="AX43" s="112"/>
      <c r="AY43" s="112"/>
      <c r="AZ43" s="112"/>
      <c r="BA43" s="112"/>
      <c r="BB43" s="112"/>
      <c r="BC43" s="112"/>
      <c r="BD43" s="112"/>
      <c r="BE43" s="112"/>
      <c r="BF43" s="112"/>
      <c r="BG43" s="112"/>
      <c r="BH43" s="112"/>
      <c r="BI43" s="112"/>
      <c r="BJ43" s="112"/>
      <c r="BK43" s="113"/>
    </row>
    <row r="44" spans="1:63">
      <c r="A44" s="112"/>
      <c r="B44" s="114"/>
      <c r="C44" s="114"/>
      <c r="D44" s="114"/>
      <c r="E44" s="143"/>
      <c r="F44" s="114"/>
      <c r="G44" s="114"/>
      <c r="H44" s="114"/>
      <c r="I44" s="114"/>
      <c r="J44" s="114"/>
      <c r="K44" s="114"/>
      <c r="L44" s="114"/>
      <c r="M44" s="114"/>
      <c r="N44" s="114"/>
      <c r="O44" s="114"/>
      <c r="P44" s="114"/>
      <c r="Q44" s="114"/>
      <c r="R44" s="114"/>
      <c r="S44" s="114"/>
      <c r="T44" s="114"/>
      <c r="U44" s="114"/>
      <c r="V44" s="122">
        <f>100*(+AD38/$E$9)</f>
        <v>186.88521700751406</v>
      </c>
      <c r="W44" s="129">
        <f>EXP(5.6922-(0.68367*LN(V44)))</f>
        <v>8.3001015208255176</v>
      </c>
      <c r="X44" s="123">
        <f>(+W44*V44)/100</f>
        <v>15.511662739038742</v>
      </c>
      <c r="Y44" s="122">
        <f>100*((((X44/100)-((X44/100)-0.03574)*$E$21)-0.03574-0.00619)/0.344)</f>
        <v>21.104236650481305</v>
      </c>
      <c r="Z44" s="114">
        <f>$E$20</f>
        <v>0.25</v>
      </c>
      <c r="AA44" s="122">
        <f>Y44+Z44</f>
        <v>21.354236650481305</v>
      </c>
      <c r="AB44" s="122">
        <f>100*($E$17*$E$19+($E$18*(AA44/100))/(1-$E$21))</f>
        <v>17.113476295149095</v>
      </c>
      <c r="AC44" s="123">
        <f>AB44/V44</f>
        <v>9.1572124158226048E-2</v>
      </c>
      <c r="AD44" s="121">
        <f>ROUND($E$8/(1-AC44),0)</f>
        <v>1048333</v>
      </c>
      <c r="AE44" s="114" t="str">
        <f>IF(OR(OR(AD44=AD38,AD44=(AD38+5)),AD44=(AD30-5)),"yes","not yet")</f>
        <v>yes</v>
      </c>
      <c r="AF44" s="122">
        <f>100*(1-AC44)</f>
        <v>90.842787584177401</v>
      </c>
      <c r="AG44" s="114"/>
      <c r="AH44" s="114"/>
      <c r="AI44" s="114"/>
      <c r="AJ44" s="121">
        <f>HLOOKUP($AJ$34,$AJ$37:$AR$41,($E$12)+1)</f>
        <v>1049131</v>
      </c>
      <c r="AK44" s="114"/>
      <c r="AL44" s="114"/>
      <c r="AM44" s="114"/>
      <c r="AN44" s="114"/>
      <c r="AO44" s="114"/>
      <c r="AP44" s="114"/>
      <c r="AQ44" s="114"/>
      <c r="AR44" s="114"/>
      <c r="AS44" s="112"/>
      <c r="AT44" s="112"/>
      <c r="AU44" s="112"/>
      <c r="AV44" s="112"/>
      <c r="AW44" s="112"/>
      <c r="AX44" s="112"/>
      <c r="AY44" s="112"/>
      <c r="AZ44" s="112"/>
      <c r="BA44" s="112"/>
      <c r="BB44" s="112"/>
      <c r="BC44" s="112"/>
      <c r="BD44" s="112"/>
      <c r="BE44" s="112"/>
      <c r="BF44" s="112"/>
      <c r="BG44" s="112"/>
      <c r="BH44" s="112"/>
      <c r="BI44" s="112"/>
      <c r="BJ44" s="112"/>
      <c r="BK44" s="113"/>
    </row>
    <row r="45" spans="1:63">
      <c r="A45" s="11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22"/>
      <c r="AB45" s="114"/>
      <c r="AC45" s="114"/>
      <c r="AD45" s="114"/>
      <c r="AE45" s="114"/>
      <c r="AF45" s="114"/>
      <c r="AG45" s="114"/>
      <c r="AH45" s="114"/>
      <c r="AI45" s="114"/>
      <c r="AJ45" s="114"/>
      <c r="AK45" s="114"/>
      <c r="AL45" s="114"/>
      <c r="AM45" s="114"/>
      <c r="AN45" s="114"/>
      <c r="AO45" s="114"/>
      <c r="AP45" s="114"/>
      <c r="AQ45" s="114"/>
      <c r="AR45" s="114"/>
      <c r="AS45" s="112"/>
      <c r="AT45" s="112"/>
      <c r="AU45" s="112"/>
      <c r="AV45" s="112"/>
      <c r="AW45" s="112"/>
      <c r="AX45" s="112"/>
      <c r="AY45" s="112"/>
      <c r="AZ45" s="112"/>
      <c r="BA45" s="112"/>
      <c r="BB45" s="112"/>
      <c r="BC45" s="112"/>
      <c r="BD45" s="112"/>
      <c r="BE45" s="112"/>
      <c r="BF45" s="112"/>
      <c r="BG45" s="112"/>
      <c r="BH45" s="112"/>
      <c r="BI45" s="112"/>
      <c r="BJ45" s="112"/>
      <c r="BK45" s="113"/>
    </row>
    <row r="46" spans="1:63">
      <c r="A46" s="112"/>
      <c r="B46" s="114"/>
      <c r="C46" s="114"/>
      <c r="D46" s="121"/>
      <c r="E46" s="121"/>
      <c r="F46" s="121"/>
      <c r="G46" s="114"/>
      <c r="H46" s="114"/>
      <c r="I46" s="114"/>
      <c r="J46" s="114"/>
      <c r="K46" s="114"/>
      <c r="L46" s="114"/>
      <c r="M46" s="114"/>
      <c r="N46" s="114"/>
      <c r="O46" s="114"/>
      <c r="P46" s="114"/>
      <c r="Q46" s="114"/>
      <c r="R46" s="114"/>
      <c r="S46" s="114"/>
      <c r="T46" s="114"/>
      <c r="U46" s="114"/>
      <c r="V46" s="119" t="s">
        <v>281</v>
      </c>
      <c r="W46" s="128" t="s">
        <v>227</v>
      </c>
      <c r="X46" s="128" t="s">
        <v>228</v>
      </c>
      <c r="Y46" s="128" t="s">
        <v>229</v>
      </c>
      <c r="Z46" s="114"/>
      <c r="AA46" s="122"/>
      <c r="AB46" s="114"/>
      <c r="AC46" s="114"/>
      <c r="AD46" s="114"/>
      <c r="AE46" s="114"/>
      <c r="AF46" s="114"/>
      <c r="AG46" s="114"/>
      <c r="AH46" s="114"/>
      <c r="AI46" s="114"/>
      <c r="AJ46" s="114"/>
      <c r="AK46" s="114"/>
      <c r="AL46" s="114"/>
      <c r="AM46" s="114"/>
      <c r="AN46" s="114"/>
      <c r="AO46" s="114"/>
      <c r="AP46" s="114"/>
      <c r="AQ46" s="114"/>
      <c r="AR46" s="114"/>
      <c r="AS46" s="112"/>
      <c r="AT46" s="112"/>
      <c r="AU46" s="112"/>
      <c r="AV46" s="112"/>
      <c r="AW46" s="112"/>
      <c r="AX46" s="112"/>
      <c r="AY46" s="112"/>
      <c r="AZ46" s="112"/>
      <c r="BA46" s="112"/>
      <c r="BB46" s="112"/>
      <c r="BC46" s="112"/>
      <c r="BD46" s="112"/>
      <c r="BE46" s="112"/>
      <c r="BF46" s="112"/>
      <c r="BG46" s="112"/>
      <c r="BH46" s="112"/>
      <c r="BI46" s="112"/>
      <c r="BJ46" s="112"/>
      <c r="BK46" s="113"/>
    </row>
    <row r="47" spans="1:63">
      <c r="A47" s="112"/>
      <c r="B47" s="114"/>
      <c r="C47" s="114"/>
      <c r="D47" s="121"/>
      <c r="E47" s="121"/>
      <c r="F47" s="121"/>
      <c r="G47" s="114"/>
      <c r="H47" s="114"/>
      <c r="I47" s="114"/>
      <c r="J47" s="114"/>
      <c r="K47" s="114"/>
      <c r="L47" s="114"/>
      <c r="M47" s="114"/>
      <c r="N47" s="114"/>
      <c r="O47" s="114"/>
      <c r="P47" s="114"/>
      <c r="Q47" s="114"/>
      <c r="R47" s="114"/>
      <c r="S47" s="114"/>
      <c r="T47" s="114"/>
      <c r="U47" s="114"/>
      <c r="V47" s="122">
        <f>100*(+AD41/$E$9)</f>
        <v>187.5808224275126</v>
      </c>
      <c r="W47" s="129">
        <f>EXP(5.7226-(0.68367*LN(+V47)))</f>
        <v>8.5345939659157501</v>
      </c>
      <c r="X47" s="123">
        <f>(+W47*V47)/100</f>
        <v>16.009261552113628</v>
      </c>
      <c r="Y47" s="122">
        <f>100*((((X47/100)-((X47/100)-0.03574)*$E$21)-0.03574-0.00619)/0.344)</f>
        <v>22.058932047659869</v>
      </c>
      <c r="Z47" s="114">
        <f>$E$20</f>
        <v>0.25</v>
      </c>
      <c r="AA47" s="122">
        <f>Y47+Z47</f>
        <v>22.308932047659869</v>
      </c>
      <c r="AB47" s="122">
        <f>100*($E$17*$E$19+($E$18*(AA47/100))/(1-$E$21))</f>
        <v>17.809227415917626</v>
      </c>
      <c r="AC47" s="123">
        <f>AB47/V47</f>
        <v>9.4941621352575611E-2</v>
      </c>
      <c r="AD47" s="121">
        <f>ROUND($E$8/(1-AC47),0)</f>
        <v>1052235</v>
      </c>
      <c r="AE47" s="114" t="str">
        <f>IF(OR(OR(AD47=AD41,AD47=(AD41+1)),AD47=(AD33-1)),"yes","not yet")</f>
        <v>yes</v>
      </c>
      <c r="AF47" s="122">
        <f>100*(1-AC47)</f>
        <v>90.505837864742446</v>
      </c>
      <c r="AG47" s="114"/>
      <c r="AH47" s="114"/>
      <c r="AI47" s="114"/>
      <c r="AJ47" s="114"/>
      <c r="AK47" s="114"/>
      <c r="AL47" s="114"/>
      <c r="AM47" s="114"/>
      <c r="AN47" s="114"/>
      <c r="AO47" s="114"/>
      <c r="AP47" s="114"/>
      <c r="AQ47" s="114"/>
      <c r="AR47" s="114"/>
      <c r="AS47" s="112"/>
      <c r="AT47" s="112"/>
      <c r="AU47" s="112"/>
      <c r="AV47" s="112"/>
      <c r="AW47" s="112"/>
      <c r="AX47" s="112"/>
      <c r="AY47" s="112"/>
      <c r="AZ47" s="112"/>
      <c r="BA47" s="112"/>
      <c r="BB47" s="112"/>
      <c r="BC47" s="112"/>
      <c r="BD47" s="112"/>
      <c r="BE47" s="112"/>
      <c r="BF47" s="112"/>
      <c r="BG47" s="112"/>
      <c r="BH47" s="112"/>
      <c r="BI47" s="112"/>
      <c r="BJ47" s="112"/>
      <c r="BK47" s="113"/>
    </row>
    <row r="48" spans="1:63">
      <c r="A48" s="112"/>
      <c r="B48" s="114"/>
      <c r="C48" s="114"/>
      <c r="D48" s="114"/>
      <c r="E48" s="117"/>
      <c r="F48" s="114"/>
      <c r="G48" s="114"/>
      <c r="H48" s="114"/>
      <c r="I48" s="114"/>
      <c r="J48" s="114"/>
      <c r="K48" s="114"/>
      <c r="L48" s="114"/>
      <c r="M48" s="114"/>
      <c r="N48" s="114"/>
      <c r="O48" s="114"/>
      <c r="P48" s="114"/>
      <c r="Q48" s="114"/>
      <c r="R48" s="114"/>
      <c r="S48" s="114"/>
      <c r="T48" s="114"/>
      <c r="U48" s="114"/>
      <c r="V48" s="122">
        <f>100*(+AD42/$E$9)</f>
        <v>187.25013353614989</v>
      </c>
      <c r="W48" s="129">
        <f>EXP(5.70827-(0.68367*LN(+V48)))</f>
        <v>8.4233204011585769</v>
      </c>
      <c r="X48" s="123">
        <f>(+W48*V48)/100</f>
        <v>15.772678699347191</v>
      </c>
      <c r="Y48" s="122">
        <f>100*((((X48/100)-((X48/100)-0.03574)*$E$21)-0.03574-0.00619)/0.344)</f>
        <v>21.605023085956816</v>
      </c>
      <c r="Z48" s="114">
        <f>$E$20</f>
        <v>0.25</v>
      </c>
      <c r="AA48" s="122">
        <f>Y48+Z48</f>
        <v>21.855023085956816</v>
      </c>
      <c r="AB48" s="122">
        <f>100*($E$17*$E$19+($E$18*(AA48/100))/(1-$E$21))</f>
        <v>17.478433248725562</v>
      </c>
      <c r="AC48" s="123">
        <f>AB48/V48</f>
        <v>9.3342701116692309E-2</v>
      </c>
      <c r="AD48" s="121">
        <f>ROUND($E$8/(1-AC48),0)</f>
        <v>1050380</v>
      </c>
      <c r="AE48" s="114" t="str">
        <f>IF(OR(OR(AD48=AD42,AD48=(AD42+1)),AD48=(AD42-1)),"yes","not yet")</f>
        <v>yes</v>
      </c>
      <c r="AF48" s="122">
        <f>100*(1-AC48)</f>
        <v>90.665729888330773</v>
      </c>
      <c r="AG48" s="114"/>
      <c r="AH48" s="114"/>
      <c r="AI48" s="114"/>
      <c r="AJ48" s="114"/>
      <c r="AK48" s="114"/>
      <c r="AL48" s="114"/>
      <c r="AM48" s="114"/>
      <c r="AN48" s="114"/>
      <c r="AO48" s="114"/>
      <c r="AP48" s="114"/>
      <c r="AQ48" s="114"/>
      <c r="AR48" s="114"/>
      <c r="AS48" s="112"/>
      <c r="AT48" s="112"/>
      <c r="AU48" s="112"/>
      <c r="AV48" s="112"/>
      <c r="AW48" s="112"/>
      <c r="AX48" s="112"/>
      <c r="AY48" s="112"/>
      <c r="AZ48" s="112"/>
      <c r="BA48" s="112"/>
      <c r="BB48" s="112"/>
      <c r="BC48" s="112"/>
      <c r="BD48" s="112"/>
      <c r="BE48" s="112"/>
      <c r="BF48" s="112"/>
      <c r="BG48" s="112"/>
      <c r="BH48" s="112"/>
      <c r="BI48" s="112"/>
      <c r="BJ48" s="112"/>
      <c r="BK48" s="113"/>
    </row>
    <row r="49" spans="1:63">
      <c r="A49" s="112"/>
      <c r="B49" s="114"/>
      <c r="C49" s="114"/>
      <c r="D49" s="114"/>
      <c r="E49" s="117"/>
      <c r="F49" s="114"/>
      <c r="G49" s="114"/>
      <c r="H49" s="114"/>
      <c r="I49" s="114"/>
      <c r="J49" s="114"/>
      <c r="K49" s="114"/>
      <c r="L49" s="114"/>
      <c r="M49" s="114"/>
      <c r="N49" s="114"/>
      <c r="O49" s="114"/>
      <c r="P49" s="114"/>
      <c r="Q49" s="114"/>
      <c r="R49" s="114"/>
      <c r="S49" s="114"/>
      <c r="T49" s="114"/>
      <c r="U49" s="114"/>
      <c r="V49" s="122">
        <f>100*(+AD43/$E$9)</f>
        <v>187.02747562493047</v>
      </c>
      <c r="W49" s="129">
        <f>EXP(5.6985-(0.68367*LN(V49)))</f>
        <v>8.3482132063682748</v>
      </c>
      <c r="X49" s="123">
        <f>(+W49*V49)/100</f>
        <v>15.613452419657651</v>
      </c>
      <c r="Y49" s="122">
        <f>100*((((X49/100)-((X49/100)-0.03574)*$E$21)-0.03574-0.00619)/0.344)</f>
        <v>21.299530805157115</v>
      </c>
      <c r="Z49" s="114">
        <f>$E$20</f>
        <v>0.25</v>
      </c>
      <c r="AA49" s="122">
        <f>Y49+Z49</f>
        <v>21.549530805157115</v>
      </c>
      <c r="AB49" s="122">
        <f>100*($E$17*$E$19+($E$18*(AA49/100))/(1-$E$21))</f>
        <v>17.255800357249736</v>
      </c>
      <c r="AC49" s="123">
        <f>AB49/V49</f>
        <v>9.2263451129795199E-2</v>
      </c>
      <c r="AD49" s="121">
        <f>ROUND($E$8/(1-AC49),0)</f>
        <v>1049131</v>
      </c>
      <c r="AE49" s="114" t="str">
        <f>IF(OR(OR(AD49=AD43,AD49=(AD43+1)),AD49=(AD43-1)),"yes","not yet")</f>
        <v>yes</v>
      </c>
      <c r="AF49" s="122">
        <f>100*(1-AC49)</f>
        <v>90.773654887020484</v>
      </c>
      <c r="AG49" s="114"/>
      <c r="AH49" s="114"/>
      <c r="AI49" s="114"/>
      <c r="AJ49" s="114"/>
      <c r="AK49" s="114"/>
      <c r="AL49" s="114"/>
      <c r="AM49" s="114"/>
      <c r="AN49" s="114"/>
      <c r="AO49" s="114"/>
      <c r="AP49" s="114"/>
      <c r="AQ49" s="114"/>
      <c r="AR49" s="114"/>
      <c r="AS49" s="112"/>
      <c r="AT49" s="112"/>
      <c r="AU49" s="112"/>
      <c r="AV49" s="112"/>
      <c r="AW49" s="112"/>
      <c r="AX49" s="112"/>
      <c r="AY49" s="112"/>
      <c r="AZ49" s="112"/>
      <c r="BA49" s="112"/>
      <c r="BB49" s="112"/>
      <c r="BC49" s="112"/>
      <c r="BD49" s="112"/>
      <c r="BE49" s="112"/>
      <c r="BF49" s="112"/>
      <c r="BG49" s="112"/>
      <c r="BH49" s="112"/>
      <c r="BI49" s="112"/>
      <c r="BJ49" s="112"/>
      <c r="BK49" s="113"/>
    </row>
    <row r="50" spans="1:63">
      <c r="A50" s="112"/>
      <c r="B50" s="114"/>
      <c r="C50" s="114"/>
      <c r="D50" s="114"/>
      <c r="E50" s="117"/>
      <c r="F50" s="114"/>
      <c r="G50" s="114"/>
      <c r="H50" s="114"/>
      <c r="I50" s="114"/>
      <c r="J50" s="114"/>
      <c r="K50" s="114"/>
      <c r="L50" s="114"/>
      <c r="M50" s="114"/>
      <c r="N50" s="114"/>
      <c r="O50" s="114"/>
      <c r="P50" s="114"/>
      <c r="Q50" s="114"/>
      <c r="R50" s="114"/>
      <c r="S50" s="114"/>
      <c r="T50" s="114"/>
      <c r="U50" s="114"/>
      <c r="V50" s="122">
        <f>100*(+AD44/$E$9)</f>
        <v>186.88521700751406</v>
      </c>
      <c r="W50" s="129">
        <f>EXP(5.6922-(0.68367*LN(V50)))</f>
        <v>8.3001015208255176</v>
      </c>
      <c r="X50" s="123">
        <f>(+W50*V50)/100</f>
        <v>15.511662739038742</v>
      </c>
      <c r="Y50" s="122">
        <f>100*((((X50/100)-((X50/100)-0.03574)*$E$21)-0.03574-0.00619)/0.344)</f>
        <v>21.104236650481305</v>
      </c>
      <c r="Z50" s="114">
        <f>$E$20</f>
        <v>0.25</v>
      </c>
      <c r="AA50" s="122">
        <f>Y50+Z50</f>
        <v>21.354236650481305</v>
      </c>
      <c r="AB50" s="122">
        <f>100*($E$17*$E$19+($E$18*(AA50/100))/(1-$E$21))</f>
        <v>17.113476295149095</v>
      </c>
      <c r="AC50" s="123">
        <f>AB50/V50</f>
        <v>9.1572124158226048E-2</v>
      </c>
      <c r="AD50" s="121">
        <f>ROUND($E$8/(1-AC50),0)</f>
        <v>1048333</v>
      </c>
      <c r="AE50" s="114" t="str">
        <f>IF(OR(OR(AD50=AD44,AD50=(AD44+1)),AD50=(AD44-1)),"yes","not yet")</f>
        <v>yes</v>
      </c>
      <c r="AF50" s="122">
        <f>100*(1-AC50)</f>
        <v>90.842787584177401</v>
      </c>
      <c r="AG50" s="114"/>
      <c r="AH50" s="114"/>
      <c r="AI50" s="114"/>
      <c r="AJ50" s="114"/>
      <c r="AK50" s="114"/>
      <c r="AL50" s="114"/>
      <c r="AM50" s="114"/>
      <c r="AN50" s="114"/>
      <c r="AO50" s="114"/>
      <c r="AP50" s="114"/>
      <c r="AQ50" s="114"/>
      <c r="AR50" s="114"/>
      <c r="AS50" s="112"/>
      <c r="AT50" s="112"/>
      <c r="AU50" s="112"/>
      <c r="AV50" s="112"/>
      <c r="AW50" s="112"/>
      <c r="AX50" s="112"/>
      <c r="AY50" s="112"/>
      <c r="AZ50" s="112"/>
      <c r="BA50" s="112"/>
      <c r="BB50" s="112"/>
      <c r="BC50" s="112"/>
      <c r="BD50" s="112"/>
      <c r="BE50" s="112"/>
      <c r="BF50" s="112"/>
      <c r="BG50" s="112"/>
      <c r="BH50" s="112"/>
      <c r="BI50" s="112"/>
      <c r="BJ50" s="112"/>
      <c r="BK50" s="113"/>
    </row>
    <row r="51" spans="1:63">
      <c r="A51" s="112"/>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22"/>
      <c r="AB51" s="114"/>
      <c r="AC51" s="114"/>
      <c r="AD51" s="114"/>
      <c r="AE51" s="114"/>
      <c r="AF51" s="114"/>
      <c r="AG51" s="114"/>
      <c r="AH51" s="114"/>
      <c r="AI51" s="114"/>
      <c r="AJ51" s="114"/>
      <c r="AK51" s="114"/>
      <c r="AL51" s="114"/>
      <c r="AM51" s="114"/>
      <c r="AN51" s="114"/>
      <c r="AO51" s="114"/>
      <c r="AP51" s="114"/>
      <c r="AQ51" s="114"/>
      <c r="AR51" s="114"/>
      <c r="AS51" s="112"/>
      <c r="AT51" s="112"/>
      <c r="AU51" s="112"/>
      <c r="AV51" s="112"/>
      <c r="AW51" s="112"/>
      <c r="AX51" s="112"/>
      <c r="AY51" s="112"/>
      <c r="AZ51" s="112"/>
      <c r="BA51" s="112"/>
      <c r="BB51" s="112"/>
      <c r="BC51" s="112"/>
      <c r="BD51" s="112"/>
      <c r="BE51" s="112"/>
      <c r="BF51" s="112"/>
      <c r="BG51" s="112"/>
      <c r="BH51" s="112"/>
      <c r="BI51" s="112"/>
      <c r="BJ51" s="112"/>
      <c r="BK51" s="113"/>
    </row>
    <row r="52" spans="1:63">
      <c r="A52" s="112"/>
      <c r="B52" s="114"/>
      <c r="C52" s="114"/>
      <c r="D52" s="114"/>
      <c r="E52" s="114"/>
      <c r="F52" s="114"/>
      <c r="G52" s="114"/>
      <c r="H52" s="114"/>
      <c r="I52" s="114"/>
      <c r="J52" s="114"/>
      <c r="K52" s="114"/>
      <c r="L52" s="114"/>
      <c r="M52" s="114"/>
      <c r="N52" s="114"/>
      <c r="O52" s="114"/>
      <c r="P52" s="114"/>
      <c r="Q52" s="114"/>
      <c r="R52" s="114"/>
      <c r="S52" s="114"/>
      <c r="T52" s="114"/>
      <c r="U52" s="114"/>
      <c r="V52" s="119" t="s">
        <v>282</v>
      </c>
      <c r="W52" s="128" t="s">
        <v>227</v>
      </c>
      <c r="X52" s="128" t="s">
        <v>228</v>
      </c>
      <c r="Y52" s="128" t="s">
        <v>229</v>
      </c>
      <c r="Z52" s="114"/>
      <c r="AA52" s="122"/>
      <c r="AB52" s="114"/>
      <c r="AC52" s="114"/>
      <c r="AD52" s="114"/>
      <c r="AE52" s="114"/>
      <c r="AF52" s="114"/>
      <c r="AG52" s="114"/>
      <c r="AH52" s="114"/>
      <c r="AI52" s="114"/>
      <c r="AJ52" s="114"/>
      <c r="AK52" s="114"/>
      <c r="AL52" s="114"/>
      <c r="AM52" s="114"/>
      <c r="AN52" s="114"/>
      <c r="AO52" s="114"/>
      <c r="AP52" s="114"/>
      <c r="AQ52" s="114"/>
      <c r="AR52" s="114"/>
      <c r="AS52" s="112"/>
      <c r="AT52" s="112"/>
      <c r="AU52" s="112"/>
      <c r="AV52" s="112"/>
      <c r="AW52" s="112"/>
      <c r="AX52" s="112"/>
      <c r="AY52" s="112"/>
      <c r="AZ52" s="112"/>
      <c r="BA52" s="112"/>
      <c r="BB52" s="112"/>
      <c r="BC52" s="112"/>
      <c r="BD52" s="112"/>
      <c r="BE52" s="112"/>
      <c r="BF52" s="112"/>
      <c r="BG52" s="112"/>
      <c r="BH52" s="112"/>
      <c r="BI52" s="112"/>
      <c r="BJ52" s="112"/>
      <c r="BK52" s="113"/>
    </row>
    <row r="53" spans="1:63">
      <c r="A53" s="112"/>
      <c r="B53" s="114"/>
      <c r="C53" s="114"/>
      <c r="D53" s="114"/>
      <c r="E53" s="114"/>
      <c r="F53" s="114"/>
      <c r="G53" s="114"/>
      <c r="H53" s="114"/>
      <c r="I53" s="114"/>
      <c r="J53" s="114"/>
      <c r="K53" s="114"/>
      <c r="L53" s="114"/>
      <c r="M53" s="114"/>
      <c r="N53" s="114"/>
      <c r="O53" s="114"/>
      <c r="P53" s="114"/>
      <c r="Q53" s="114"/>
      <c r="R53" s="114"/>
      <c r="S53" s="114"/>
      <c r="T53" s="114"/>
      <c r="U53" s="114"/>
      <c r="V53" s="122">
        <f>100*(+AD47/$E$9)</f>
        <v>187.5808224275126</v>
      </c>
      <c r="W53" s="129">
        <f>EXP(5.7226-(0.68367*LN(+V53)))</f>
        <v>8.5345939659157501</v>
      </c>
      <c r="X53" s="123">
        <f>(+W53*V53)/100</f>
        <v>16.009261552113628</v>
      </c>
      <c r="Y53" s="122">
        <f>100*((((X53/100)-((X53/100)-0.03574)*$E$21)-0.03574-0.00619)/0.344)</f>
        <v>22.058932047659869</v>
      </c>
      <c r="Z53" s="114">
        <f>$E$20</f>
        <v>0.25</v>
      </c>
      <c r="AA53" s="122">
        <f>Y53+Z53</f>
        <v>22.308932047659869</v>
      </c>
      <c r="AB53" s="122">
        <f>100*($E$17*$E$19+($E$18*(AA53/100))/(1-$E$21))</f>
        <v>17.809227415917626</v>
      </c>
      <c r="AC53" s="123">
        <f>AB53/V53</f>
        <v>9.4941621352575611E-2</v>
      </c>
      <c r="AD53" s="121">
        <f>ROUND($E$8/(1-AC53),0)</f>
        <v>1052235</v>
      </c>
      <c r="AE53" s="114" t="str">
        <f>IF(OR(OR(AD53=AD47,AD53=(AD47+1)),AD53=(AD39-1)),"yes","not yet")</f>
        <v>yes</v>
      </c>
      <c r="AF53" s="122">
        <f>100*(1-AC53)</f>
        <v>90.505837864742446</v>
      </c>
      <c r="AG53" s="114"/>
      <c r="AH53" s="114"/>
      <c r="AI53" s="114"/>
      <c r="AJ53" s="114"/>
      <c r="AK53" s="114"/>
      <c r="AL53" s="114"/>
      <c r="AM53" s="114"/>
      <c r="AN53" s="114"/>
      <c r="AO53" s="114"/>
      <c r="AP53" s="114"/>
      <c r="AQ53" s="114"/>
      <c r="AR53" s="114"/>
      <c r="AS53" s="112"/>
      <c r="AT53" s="112"/>
      <c r="AU53" s="112"/>
      <c r="AV53" s="112"/>
      <c r="AW53" s="112"/>
      <c r="AX53" s="112"/>
      <c r="AY53" s="112"/>
      <c r="AZ53" s="112"/>
      <c r="BA53" s="112"/>
      <c r="BB53" s="112"/>
      <c r="BC53" s="112"/>
      <c r="BD53" s="112"/>
      <c r="BE53" s="112"/>
      <c r="BF53" s="112"/>
      <c r="BG53" s="112"/>
      <c r="BH53" s="112"/>
      <c r="BI53" s="112"/>
      <c r="BJ53" s="112"/>
      <c r="BK53" s="113"/>
    </row>
    <row r="54" spans="1:63">
      <c r="A54" s="112"/>
      <c r="B54" s="114"/>
      <c r="C54" s="114"/>
      <c r="D54" s="114"/>
      <c r="E54" s="114"/>
      <c r="F54" s="114"/>
      <c r="G54" s="114"/>
      <c r="H54" s="114"/>
      <c r="I54" s="114"/>
      <c r="J54" s="114"/>
      <c r="K54" s="114"/>
      <c r="L54" s="114"/>
      <c r="M54" s="114"/>
      <c r="N54" s="114"/>
      <c r="O54" s="114"/>
      <c r="P54" s="114"/>
      <c r="Q54" s="114"/>
      <c r="R54" s="114"/>
      <c r="S54" s="114"/>
      <c r="T54" s="114"/>
      <c r="U54" s="114"/>
      <c r="V54" s="122">
        <f>100*(+AD48/$E$9)</f>
        <v>187.25013353614989</v>
      </c>
      <c r="W54" s="129">
        <f>EXP(5.70827-(0.68367*LN(+V54)))</f>
        <v>8.4233204011585769</v>
      </c>
      <c r="X54" s="123">
        <f>(+W54*V54)/100</f>
        <v>15.772678699347191</v>
      </c>
      <c r="Y54" s="122">
        <f>100*((((X54/100)-((X54/100)-0.03574)*$E$21)-0.03574-0.00619)/0.344)</f>
        <v>21.605023085956816</v>
      </c>
      <c r="Z54" s="114">
        <f>$E$20</f>
        <v>0.25</v>
      </c>
      <c r="AA54" s="122">
        <f>Y54+Z54</f>
        <v>21.855023085956816</v>
      </c>
      <c r="AB54" s="122">
        <f>100*($E$17*$E$19+($E$18*(AA54/100))/(1-$E$21))</f>
        <v>17.478433248725562</v>
      </c>
      <c r="AC54" s="123">
        <f>AB54/V54</f>
        <v>9.3342701116692309E-2</v>
      </c>
      <c r="AD54" s="121">
        <f>ROUND($E$8/(1-AC54),0)</f>
        <v>1050380</v>
      </c>
      <c r="AE54" s="114" t="str">
        <f>IF(OR(OR(AD54=AD48,AD54=(AD48+1)),AD54=(AD48-1)),"yes","not yet")</f>
        <v>yes</v>
      </c>
      <c r="AF54" s="122">
        <f>100*(1-AC54)</f>
        <v>90.665729888330773</v>
      </c>
      <c r="AG54" s="114"/>
      <c r="AH54" s="114"/>
      <c r="AI54" s="114"/>
      <c r="AJ54" s="114"/>
      <c r="AK54" s="114"/>
      <c r="AL54" s="114"/>
      <c r="AM54" s="114"/>
      <c r="AN54" s="114"/>
      <c r="AO54" s="114"/>
      <c r="AP54" s="114"/>
      <c r="AQ54" s="114"/>
      <c r="AR54" s="114"/>
      <c r="AS54" s="112"/>
      <c r="AT54" s="112"/>
      <c r="AU54" s="112"/>
      <c r="AV54" s="112"/>
      <c r="AW54" s="112"/>
      <c r="AX54" s="112"/>
      <c r="AY54" s="112"/>
      <c r="AZ54" s="112"/>
      <c r="BA54" s="112"/>
      <c r="BB54" s="112"/>
      <c r="BC54" s="112"/>
      <c r="BD54" s="112"/>
      <c r="BE54" s="112"/>
      <c r="BF54" s="112"/>
      <c r="BG54" s="112"/>
      <c r="BH54" s="112"/>
      <c r="BI54" s="112"/>
      <c r="BJ54" s="112"/>
      <c r="BK54" s="113"/>
    </row>
    <row r="55" spans="1:63">
      <c r="A55" s="112"/>
      <c r="B55" s="114"/>
      <c r="C55" s="114"/>
      <c r="D55" s="114"/>
      <c r="E55" s="114"/>
      <c r="F55" s="114"/>
      <c r="G55" s="114"/>
      <c r="H55" s="114"/>
      <c r="I55" s="114"/>
      <c r="J55" s="114"/>
      <c r="K55" s="114"/>
      <c r="L55" s="114"/>
      <c r="M55" s="114"/>
      <c r="N55" s="114"/>
      <c r="O55" s="114"/>
      <c r="P55" s="114"/>
      <c r="Q55" s="114"/>
      <c r="R55" s="114"/>
      <c r="S55" s="114"/>
      <c r="T55" s="114"/>
      <c r="U55" s="114"/>
      <c r="V55" s="122">
        <f>100*(+AD49/$E$9)</f>
        <v>187.02747562493047</v>
      </c>
      <c r="W55" s="129">
        <f>EXP(5.6985-(0.68367*LN(V55)))</f>
        <v>8.3482132063682748</v>
      </c>
      <c r="X55" s="123">
        <f>(+W55*V55)/100</f>
        <v>15.613452419657651</v>
      </c>
      <c r="Y55" s="122">
        <f>100*((((X55/100)-((X55/100)-0.03574)*$E$21)-0.03574-0.00619)/0.344)</f>
        <v>21.299530805157115</v>
      </c>
      <c r="Z55" s="114">
        <f>$E$20</f>
        <v>0.25</v>
      </c>
      <c r="AA55" s="122">
        <f>Y55+Z55</f>
        <v>21.549530805157115</v>
      </c>
      <c r="AB55" s="122">
        <f>100*($E$17*$E$19+($E$18*(AA55/100))/(1-$E$21))</f>
        <v>17.255800357249736</v>
      </c>
      <c r="AC55" s="123">
        <f>AB55/V55</f>
        <v>9.2263451129795199E-2</v>
      </c>
      <c r="AD55" s="121">
        <f>ROUND($E$8/(1-AC55),0)</f>
        <v>1049131</v>
      </c>
      <c r="AE55" s="114" t="str">
        <f>IF(OR(OR(AD55=AD49,AD55=(AD49+1)),AD55=(AD49-1)),"yes","not yet")</f>
        <v>yes</v>
      </c>
      <c r="AF55" s="122">
        <f>100*(1-AC55)</f>
        <v>90.773654887020484</v>
      </c>
      <c r="AG55" s="114"/>
      <c r="AH55" s="114"/>
      <c r="AI55" s="114"/>
      <c r="AJ55" s="114"/>
      <c r="AK55" s="114"/>
      <c r="AL55" s="114"/>
      <c r="AM55" s="114"/>
      <c r="AN55" s="114"/>
      <c r="AO55" s="114"/>
      <c r="AP55" s="114"/>
      <c r="AQ55" s="114"/>
      <c r="AR55" s="114"/>
      <c r="AS55" s="112"/>
      <c r="AT55" s="112"/>
      <c r="AU55" s="112"/>
      <c r="AV55" s="112"/>
      <c r="AW55" s="112"/>
      <c r="AX55" s="112"/>
      <c r="AY55" s="112"/>
      <c r="AZ55" s="112"/>
      <c r="BA55" s="112"/>
      <c r="BB55" s="112"/>
      <c r="BC55" s="112"/>
      <c r="BD55" s="112"/>
      <c r="BE55" s="112"/>
      <c r="BF55" s="112"/>
      <c r="BG55" s="112"/>
      <c r="BH55" s="112"/>
      <c r="BI55" s="112"/>
      <c r="BJ55" s="112"/>
      <c r="BK55" s="113"/>
    </row>
    <row r="56" spans="1:63">
      <c r="A56" s="112"/>
      <c r="B56" s="114"/>
      <c r="C56" s="114"/>
      <c r="D56" s="114"/>
      <c r="E56" s="114"/>
      <c r="F56" s="114"/>
      <c r="G56" s="114"/>
      <c r="H56" s="114"/>
      <c r="I56" s="114"/>
      <c r="J56" s="114"/>
      <c r="K56" s="114"/>
      <c r="L56" s="114"/>
      <c r="M56" s="114"/>
      <c r="N56" s="114"/>
      <c r="O56" s="114"/>
      <c r="P56" s="114"/>
      <c r="Q56" s="114"/>
      <c r="R56" s="114"/>
      <c r="S56" s="114"/>
      <c r="T56" s="114"/>
      <c r="U56" s="114"/>
      <c r="V56" s="122">
        <f>100*(+AD50/$E$9)</f>
        <v>186.88521700751406</v>
      </c>
      <c r="W56" s="129">
        <f>EXP(5.6922-(0.68367*LN(V56)))</f>
        <v>8.3001015208255176</v>
      </c>
      <c r="X56" s="123">
        <f>(+W56*V56)/100</f>
        <v>15.511662739038742</v>
      </c>
      <c r="Y56" s="122">
        <f>100*((((X56/100)-((X56/100)-0.03574)*$E$21)-0.03574-0.00619)/0.344)</f>
        <v>21.104236650481305</v>
      </c>
      <c r="Z56" s="114">
        <f>$E$20</f>
        <v>0.25</v>
      </c>
      <c r="AA56" s="122">
        <f>Y56+Z56</f>
        <v>21.354236650481305</v>
      </c>
      <c r="AB56" s="122">
        <f>100*($E$17*$E$19+($E$18*(AA56/100))/(1-$E$21))</f>
        <v>17.113476295149095</v>
      </c>
      <c r="AC56" s="123">
        <f>AB56/V56</f>
        <v>9.1572124158226048E-2</v>
      </c>
      <c r="AD56" s="121">
        <f>ROUND($E$8/(1-AC56),0)</f>
        <v>1048333</v>
      </c>
      <c r="AE56" s="114" t="str">
        <f>IF(OR(OR(AD56=AD50,AD56=(AD50+1)),AD56=(AD50-1)),"yes","not yet")</f>
        <v>yes</v>
      </c>
      <c r="AF56" s="122">
        <f>100*(1-AC56)</f>
        <v>90.842787584177401</v>
      </c>
      <c r="AG56" s="114"/>
      <c r="AH56" s="114"/>
      <c r="AI56" s="114"/>
      <c r="AJ56" s="114"/>
      <c r="AK56" s="114"/>
      <c r="AL56" s="114"/>
      <c r="AM56" s="114"/>
      <c r="AN56" s="114"/>
      <c r="AO56" s="114"/>
      <c r="AP56" s="114"/>
      <c r="AQ56" s="114"/>
      <c r="AR56" s="114"/>
      <c r="AS56" s="112"/>
      <c r="AT56" s="112"/>
      <c r="AU56" s="112"/>
      <c r="AV56" s="112"/>
      <c r="AW56" s="112"/>
      <c r="AX56" s="112"/>
      <c r="AY56" s="112"/>
      <c r="AZ56" s="112"/>
      <c r="BA56" s="112"/>
      <c r="BB56" s="112"/>
      <c r="BC56" s="112"/>
      <c r="BD56" s="112"/>
      <c r="BE56" s="112"/>
      <c r="BF56" s="112"/>
      <c r="BG56" s="112"/>
      <c r="BH56" s="112"/>
      <c r="BI56" s="112"/>
      <c r="BJ56" s="112"/>
      <c r="BK56" s="113"/>
    </row>
    <row r="57" spans="1:63">
      <c r="A57" s="112"/>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22"/>
      <c r="AB57" s="114"/>
      <c r="AC57" s="114"/>
      <c r="AD57" s="114"/>
      <c r="AE57" s="114"/>
      <c r="AF57" s="114"/>
      <c r="AG57" s="114"/>
      <c r="AH57" s="114"/>
      <c r="AI57" s="114"/>
      <c r="AJ57" s="114"/>
      <c r="AK57" s="114"/>
      <c r="AL57" s="114"/>
      <c r="AM57" s="114"/>
      <c r="AN57" s="114"/>
      <c r="AO57" s="114"/>
      <c r="AP57" s="114"/>
      <c r="AQ57" s="114"/>
      <c r="AR57" s="114"/>
      <c r="AS57" s="112"/>
      <c r="AT57" s="112"/>
      <c r="AU57" s="112"/>
      <c r="AV57" s="112"/>
      <c r="AW57" s="112"/>
      <c r="AX57" s="112"/>
      <c r="AY57" s="112"/>
      <c r="AZ57" s="112"/>
      <c r="BA57" s="112"/>
      <c r="BB57" s="112"/>
      <c r="BC57" s="112"/>
      <c r="BD57" s="112"/>
      <c r="BE57" s="112"/>
      <c r="BF57" s="112"/>
      <c r="BG57" s="112"/>
      <c r="BH57" s="112"/>
      <c r="BI57" s="112"/>
      <c r="BJ57" s="112"/>
      <c r="BK57" s="113"/>
    </row>
    <row r="58" spans="1:63">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3"/>
    </row>
    <row r="59" spans="1:63">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3"/>
    </row>
    <row r="60" spans="1:63">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3"/>
    </row>
    <row r="61" spans="1:63">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3"/>
    </row>
    <row r="62" spans="1:63">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3"/>
    </row>
    <row r="63" spans="1:63">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3"/>
    </row>
    <row r="64" spans="1:63">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3"/>
    </row>
    <row r="65" spans="1:63">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3"/>
    </row>
    <row r="66" spans="1:63">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3"/>
    </row>
    <row r="67" spans="1:63">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3"/>
    </row>
    <row r="68" spans="1:63">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3"/>
    </row>
    <row r="69" spans="1:63">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3"/>
    </row>
    <row r="70" spans="1:63">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3"/>
    </row>
    <row r="71" spans="1:63">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3"/>
    </row>
    <row r="72" spans="1:63">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3"/>
    </row>
    <row r="73" spans="1:63">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3"/>
    </row>
    <row r="74" spans="1:63">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3"/>
    </row>
    <row r="75" spans="1:63">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3"/>
    </row>
    <row r="76" spans="1:63">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3"/>
    </row>
    <row r="77" spans="1:63">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3"/>
    </row>
    <row r="78" spans="1:63">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3"/>
    </row>
    <row r="79" spans="1:63">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3"/>
    </row>
    <row r="80" spans="1:63">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3"/>
    </row>
    <row r="81" spans="1:63">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3"/>
    </row>
    <row r="82" spans="1:63">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3"/>
    </row>
    <row r="83" spans="1:63">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3"/>
    </row>
    <row r="84" spans="1:63">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3"/>
    </row>
    <row r="85" spans="1:63">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3"/>
    </row>
    <row r="86" spans="1:63">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3"/>
    </row>
    <row r="87" spans="1:63">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3"/>
    </row>
    <row r="88" spans="1:63">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3"/>
    </row>
    <row r="89" spans="1:63">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3"/>
    </row>
    <row r="90" spans="1:63">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3"/>
    </row>
    <row r="91" spans="1:63">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3"/>
    </row>
    <row r="92" spans="1:63">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3"/>
    </row>
    <row r="93" spans="1:63">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3"/>
    </row>
    <row r="94" spans="1:63">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3"/>
    </row>
    <row r="95" spans="1:63">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3"/>
    </row>
    <row r="96" spans="1:63">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3"/>
    </row>
    <row r="97" spans="1:63">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3"/>
    </row>
    <row r="98" spans="1:63">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3"/>
    </row>
    <row r="99" spans="1:63">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3"/>
    </row>
    <row r="100" spans="1:63">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3"/>
    </row>
    <row r="101" spans="1:63">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3"/>
    </row>
    <row r="102" spans="1:63">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3"/>
    </row>
    <row r="103" spans="1:63">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3"/>
    </row>
    <row r="104" spans="1:63">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3"/>
    </row>
    <row r="105" spans="1:63">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3"/>
    </row>
    <row r="106" spans="1:63">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3"/>
    </row>
    <row r="107" spans="1:63">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3"/>
    </row>
    <row r="108" spans="1:63">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3"/>
    </row>
    <row r="109" spans="1:63">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3"/>
    </row>
    <row r="110" spans="1:63">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3"/>
    </row>
    <row r="111" spans="1:63">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3"/>
    </row>
    <row r="112" spans="1:63">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3"/>
    </row>
    <row r="113" spans="1:63">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3"/>
    </row>
    <row r="114" spans="1:63">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3"/>
    </row>
    <row r="115" spans="1:63">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3"/>
    </row>
    <row r="116" spans="1:63">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3"/>
    </row>
    <row r="117" spans="1:63">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3"/>
    </row>
    <row r="118" spans="1:63">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3"/>
    </row>
    <row r="119" spans="1:63">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3"/>
    </row>
    <row r="120" spans="1:63">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3"/>
    </row>
    <row r="121" spans="1:63">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3"/>
    </row>
    <row r="122" spans="1:63">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3"/>
    </row>
    <row r="123" spans="1:63">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3"/>
    </row>
    <row r="124" spans="1:63">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3"/>
    </row>
    <row r="125" spans="1:63">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3"/>
    </row>
    <row r="126" spans="1:63">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3"/>
    </row>
    <row r="127" spans="1:63">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3"/>
    </row>
    <row r="128" spans="1:63">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3"/>
    </row>
    <row r="129" spans="1:63">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3"/>
    </row>
    <row r="130" spans="1:63">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3"/>
    </row>
    <row r="131" spans="1:63">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3"/>
    </row>
    <row r="132" spans="1:63">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3"/>
    </row>
    <row r="133" spans="1:63">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3"/>
    </row>
    <row r="134" spans="1:63">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3"/>
    </row>
    <row r="135" spans="1:63">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3"/>
    </row>
    <row r="136" spans="1:63">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3"/>
    </row>
    <row r="137" spans="1:63">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3"/>
    </row>
    <row r="138" spans="1:63">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3"/>
    </row>
    <row r="139" spans="1:63">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3"/>
    </row>
    <row r="140" spans="1:63">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3"/>
    </row>
    <row r="141" spans="1:63">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3"/>
    </row>
    <row r="142" spans="1:63">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3"/>
    </row>
    <row r="143" spans="1:63">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3"/>
    </row>
    <row r="144" spans="1:63">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3"/>
    </row>
    <row r="145" spans="1:63">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3"/>
    </row>
    <row r="146" spans="1:63">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3"/>
    </row>
    <row r="147" spans="1:63">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3"/>
    </row>
    <row r="148" spans="1:63">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3"/>
    </row>
    <row r="149" spans="1:63">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3"/>
    </row>
    <row r="150" spans="1:63">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3"/>
    </row>
    <row r="151" spans="1:63">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3"/>
    </row>
    <row r="152" spans="1:63">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3"/>
    </row>
    <row r="153" spans="1:63">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3"/>
    </row>
    <row r="154" spans="1:63">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3"/>
    </row>
    <row r="155" spans="1:63">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3"/>
    </row>
    <row r="156" spans="1:63">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3"/>
    </row>
    <row r="157" spans="1:63">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3"/>
    </row>
    <row r="158" spans="1:63">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3"/>
    </row>
    <row r="159" spans="1:63">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3"/>
    </row>
    <row r="160" spans="1:63">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3"/>
    </row>
    <row r="161" spans="1:63">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3"/>
    </row>
    <row r="162" spans="1:63">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3"/>
    </row>
    <row r="163" spans="1:63">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3"/>
    </row>
    <row r="164" spans="1:63">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3"/>
    </row>
    <row r="165" spans="1:63">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3"/>
    </row>
    <row r="166" spans="1:63">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3"/>
    </row>
    <row r="167" spans="1:63">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3"/>
    </row>
    <row r="168" spans="1:63">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3"/>
    </row>
    <row r="169" spans="1:63">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3"/>
    </row>
    <row r="170" spans="1:63">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3"/>
    </row>
    <row r="171" spans="1:63">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3"/>
    </row>
    <row r="172" spans="1:63">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3"/>
    </row>
    <row r="173" spans="1:63">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3"/>
    </row>
    <row r="174" spans="1:63">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3"/>
    </row>
    <row r="175" spans="1:63">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3"/>
    </row>
    <row r="176" spans="1:63">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3"/>
    </row>
    <row r="177" spans="1:63">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3"/>
    </row>
    <row r="178" spans="1:63">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3"/>
    </row>
    <row r="179" spans="1:63">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3"/>
    </row>
    <row r="180" spans="1:63">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3"/>
    </row>
    <row r="181" spans="1:63">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3"/>
    </row>
    <row r="182" spans="1:63">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3"/>
    </row>
    <row r="183" spans="1:63">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3"/>
    </row>
    <row r="184" spans="1:63">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3"/>
    </row>
    <row r="185" spans="1:63">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3"/>
    </row>
    <row r="186" spans="1:63">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3"/>
    </row>
    <row r="187" spans="1:63">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3"/>
    </row>
    <row r="188" spans="1:63">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3"/>
    </row>
    <row r="189" spans="1:63">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3"/>
    </row>
    <row r="190" spans="1:63">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3"/>
    </row>
    <row r="191" spans="1:63">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3"/>
    </row>
    <row r="192" spans="1:63">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3"/>
    </row>
    <row r="193" spans="1:63">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3"/>
    </row>
    <row r="194" spans="1:63">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3"/>
    </row>
    <row r="195" spans="1:63">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3"/>
    </row>
    <row r="196" spans="1:63">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3"/>
    </row>
    <row r="197" spans="1:63">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3"/>
    </row>
    <row r="198" spans="1:63">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3"/>
    </row>
    <row r="199" spans="1:63">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3"/>
    </row>
    <row r="200" spans="1:63">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3"/>
    </row>
    <row r="201" spans="1:63">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3"/>
    </row>
    <row r="202" spans="1:63">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3"/>
    </row>
    <row r="203" spans="1:63">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3"/>
    </row>
    <row r="204" spans="1:63">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3"/>
    </row>
    <row r="205" spans="1:63">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3"/>
    </row>
    <row r="206" spans="1:63">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3"/>
    </row>
    <row r="207" spans="1:63">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3"/>
    </row>
    <row r="208" spans="1:63">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3"/>
    </row>
    <row r="209" spans="1:63">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3"/>
    </row>
    <row r="210" spans="1:63">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3"/>
    </row>
    <row r="211" spans="1:63">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3"/>
    </row>
    <row r="212" spans="1:63">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3"/>
    </row>
    <row r="213" spans="1:63">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3"/>
    </row>
    <row r="214" spans="1:63">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3"/>
    </row>
    <row r="215" spans="1:63">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3"/>
    </row>
    <row r="216" spans="1:63">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3"/>
    </row>
    <row r="217" spans="1:63">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3"/>
    </row>
    <row r="218" spans="1:63">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3"/>
    </row>
    <row r="219" spans="1:63">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3"/>
    </row>
    <row r="220" spans="1:63">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3"/>
    </row>
    <row r="221" spans="1:63">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3"/>
    </row>
    <row r="222" spans="1:63">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3"/>
    </row>
    <row r="223" spans="1:63">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3"/>
    </row>
    <row r="224" spans="1:63">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3"/>
    </row>
    <row r="225" spans="1:63">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3"/>
    </row>
    <row r="226" spans="1:63">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3"/>
    </row>
    <row r="227" spans="1:63">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3"/>
    </row>
    <row r="228" spans="1:63">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3"/>
    </row>
    <row r="229" spans="1:63">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3"/>
    </row>
    <row r="230" spans="1:63">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3"/>
    </row>
    <row r="231" spans="1:63">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3"/>
    </row>
    <row r="232" spans="1:63">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3"/>
    </row>
    <row r="233" spans="1:63">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3"/>
    </row>
    <row r="234" spans="1:63">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3"/>
    </row>
    <row r="235" spans="1:63">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3"/>
    </row>
    <row r="236" spans="1:63">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3"/>
    </row>
    <row r="237" spans="1:63">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3"/>
    </row>
    <row r="238" spans="1:63">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3"/>
    </row>
    <row r="239" spans="1:63">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3"/>
    </row>
    <row r="240" spans="1:63">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3"/>
    </row>
    <row r="241" spans="1:63">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3"/>
    </row>
    <row r="242" spans="1:63">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3"/>
    </row>
    <row r="243" spans="1:63">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3"/>
    </row>
    <row r="244" spans="1:63">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3"/>
    </row>
    <row r="245" spans="1:63">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3"/>
    </row>
    <row r="246" spans="1:63">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3"/>
    </row>
    <row r="247" spans="1:63">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3"/>
    </row>
    <row r="248" spans="1:63">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3"/>
    </row>
    <row r="249" spans="1:63">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3"/>
    </row>
    <row r="250" spans="1:63">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3"/>
    </row>
    <row r="251" spans="1:63">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3"/>
    </row>
    <row r="252" spans="1:63">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3"/>
    </row>
    <row r="253" spans="1:63">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3"/>
    </row>
    <row r="254" spans="1:63">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3"/>
    </row>
    <row r="255" spans="1:63">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3"/>
    </row>
    <row r="256" spans="1:63">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3"/>
    </row>
    <row r="257" spans="1:63">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3"/>
    </row>
    <row r="258" spans="1:63">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3"/>
    </row>
    <row r="259" spans="1:63">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3"/>
    </row>
    <row r="260" spans="1:63">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row>
    <row r="261" spans="1:63">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c r="BE261" s="113"/>
      <c r="BF261" s="113"/>
      <c r="BG261" s="113"/>
      <c r="BH261" s="113"/>
      <c r="BI261" s="113"/>
      <c r="BJ261" s="113"/>
      <c r="BK261" s="113"/>
    </row>
    <row r="262" spans="1:63">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row>
    <row r="263" spans="1:63">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row>
    <row r="264" spans="1:63">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row>
    <row r="265" spans="1:63">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c r="BE265" s="113"/>
      <c r="BF265" s="113"/>
      <c r="BG265" s="113"/>
      <c r="BH265" s="113"/>
      <c r="BI265" s="113"/>
      <c r="BJ265" s="113"/>
      <c r="BK265" s="113"/>
    </row>
    <row r="266" spans="1:63">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row>
    <row r="267" spans="1:63">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row>
    <row r="268" spans="1:63">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row>
    <row r="269" spans="1:63">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row>
    <row r="270" spans="1:63">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row>
    <row r="271" spans="1:63">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row>
    <row r="272" spans="1:63">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row>
    <row r="273" spans="1:63">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row>
    <row r="274" spans="1:63">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row>
    <row r="275" spans="1:63">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row>
    <row r="276" spans="1:63">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row>
    <row r="277" spans="1:63">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row>
    <row r="278" spans="1:63">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row>
    <row r="279" spans="1:63">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c r="BF279" s="113"/>
      <c r="BG279" s="113"/>
      <c r="BH279" s="113"/>
      <c r="BI279" s="113"/>
      <c r="BJ279" s="113"/>
      <c r="BK279" s="113"/>
    </row>
    <row r="280" spans="1:63">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c r="BE280" s="113"/>
      <c r="BF280" s="113"/>
      <c r="BG280" s="113"/>
      <c r="BH280" s="113"/>
      <c r="BI280" s="113"/>
      <c r="BJ280" s="113"/>
      <c r="BK280" s="113"/>
    </row>
    <row r="281" spans="1:63">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c r="BE281" s="113"/>
      <c r="BF281" s="113"/>
      <c r="BG281" s="113"/>
      <c r="BH281" s="113"/>
      <c r="BI281" s="113"/>
      <c r="BJ281" s="113"/>
      <c r="BK281" s="113"/>
    </row>
    <row r="282" spans="1:63">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row>
    <row r="283" spans="1:63">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row>
    <row r="284" spans="1:63">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row>
    <row r="285" spans="1:63">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c r="BC285" s="113"/>
      <c r="BD285" s="113"/>
      <c r="BE285" s="113"/>
      <c r="BF285" s="113"/>
      <c r="BG285" s="113"/>
      <c r="BH285" s="113"/>
      <c r="BI285" s="113"/>
      <c r="BJ285" s="113"/>
      <c r="BK285" s="113"/>
    </row>
    <row r="286" spans="1:63">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row>
    <row r="287" spans="1:63">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row>
    <row r="288" spans="1:63">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row>
    <row r="289" spans="1:63">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row>
    <row r="290" spans="1:63">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3"/>
      <c r="AY290" s="113"/>
      <c r="AZ290" s="113"/>
      <c r="BA290" s="113"/>
      <c r="BB290" s="113"/>
      <c r="BC290" s="113"/>
      <c r="BD290" s="113"/>
      <c r="BE290" s="113"/>
      <c r="BF290" s="113"/>
      <c r="BG290" s="113"/>
      <c r="BH290" s="113"/>
      <c r="BI290" s="113"/>
      <c r="BJ290" s="113"/>
      <c r="BK290" s="113"/>
    </row>
    <row r="291" spans="1:63">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c r="AO291" s="113"/>
      <c r="AP291" s="113"/>
      <c r="AQ291" s="113"/>
      <c r="AR291" s="113"/>
      <c r="AS291" s="113"/>
      <c r="AT291" s="113"/>
      <c r="AU291" s="113"/>
      <c r="AV291" s="113"/>
      <c r="AW291" s="113"/>
      <c r="AX291" s="113"/>
      <c r="AY291" s="113"/>
      <c r="AZ291" s="113"/>
      <c r="BA291" s="113"/>
      <c r="BB291" s="113"/>
      <c r="BC291" s="113"/>
      <c r="BD291" s="113"/>
      <c r="BE291" s="113"/>
      <c r="BF291" s="113"/>
      <c r="BG291" s="113"/>
      <c r="BH291" s="113"/>
      <c r="BI291" s="113"/>
      <c r="BJ291" s="113"/>
      <c r="BK291" s="113"/>
    </row>
    <row r="292" spans="1:63">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c r="AO292" s="113"/>
      <c r="AP292" s="113"/>
      <c r="AQ292" s="113"/>
      <c r="AR292" s="113"/>
      <c r="AS292" s="113"/>
      <c r="AT292" s="113"/>
      <c r="AU292" s="113"/>
      <c r="AV292" s="113"/>
      <c r="AW292" s="113"/>
      <c r="AX292" s="113"/>
      <c r="AY292" s="113"/>
      <c r="AZ292" s="113"/>
      <c r="BA292" s="113"/>
      <c r="BB292" s="113"/>
      <c r="BC292" s="113"/>
      <c r="BD292" s="113"/>
      <c r="BE292" s="113"/>
      <c r="BF292" s="113"/>
      <c r="BG292" s="113"/>
      <c r="BH292" s="113"/>
      <c r="BI292" s="113"/>
      <c r="BJ292" s="113"/>
      <c r="BK292" s="113"/>
    </row>
    <row r="293" spans="1:63">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row>
    <row r="294" spans="1:63">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c r="BE294" s="113"/>
      <c r="BF294" s="113"/>
      <c r="BG294" s="113"/>
      <c r="BH294" s="113"/>
      <c r="BI294" s="113"/>
      <c r="BJ294" s="113"/>
      <c r="BK294" s="113"/>
    </row>
    <row r="295" spans="1:63">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row>
    <row r="296" spans="1:63">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row>
    <row r="297" spans="1:63">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row>
    <row r="298" spans="1:63">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row>
    <row r="299" spans="1:63">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row>
    <row r="300" spans="1:63">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c r="BE300" s="113"/>
      <c r="BF300" s="113"/>
      <c r="BG300" s="113"/>
      <c r="BH300" s="113"/>
      <c r="BI300" s="113"/>
      <c r="BJ300" s="113"/>
      <c r="BK300" s="113"/>
    </row>
    <row r="301" spans="1:63">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c r="BE301" s="113"/>
      <c r="BF301" s="113"/>
      <c r="BG301" s="113"/>
      <c r="BH301" s="113"/>
      <c r="BI301" s="113"/>
      <c r="BJ301" s="113"/>
      <c r="BK301" s="113"/>
    </row>
    <row r="302" spans="1:63">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row>
    <row r="303" spans="1:63">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c r="BE303" s="113"/>
      <c r="BF303" s="113"/>
      <c r="BG303" s="113"/>
      <c r="BH303" s="113"/>
      <c r="BI303" s="113"/>
      <c r="BJ303" s="113"/>
      <c r="BK303" s="113"/>
    </row>
    <row r="304" spans="1:63">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row>
    <row r="305" spans="1:63">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c r="BE305" s="113"/>
      <c r="BF305" s="113"/>
      <c r="BG305" s="113"/>
      <c r="BH305" s="113"/>
      <c r="BI305" s="113"/>
      <c r="BJ305" s="113"/>
      <c r="BK305" s="113"/>
    </row>
    <row r="306" spans="1:63">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c r="BE306" s="113"/>
      <c r="BF306" s="113"/>
      <c r="BG306" s="113"/>
      <c r="BH306" s="113"/>
      <c r="BI306" s="113"/>
      <c r="BJ306" s="113"/>
      <c r="BK306" s="113"/>
    </row>
    <row r="307" spans="1:63">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c r="BE307" s="113"/>
      <c r="BF307" s="113"/>
      <c r="BG307" s="113"/>
      <c r="BH307" s="113"/>
      <c r="BI307" s="113"/>
      <c r="BJ307" s="113"/>
      <c r="BK307" s="113"/>
    </row>
    <row r="308" spans="1:63">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113"/>
      <c r="BJ308" s="113"/>
      <c r="BK308" s="113"/>
    </row>
    <row r="309" spans="1:63">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c r="AO309" s="113"/>
      <c r="AP309" s="113"/>
      <c r="AQ309" s="113"/>
      <c r="AR309" s="113"/>
      <c r="AS309" s="113"/>
      <c r="AT309" s="113"/>
      <c r="AU309" s="113"/>
      <c r="AV309" s="113"/>
      <c r="AW309" s="113"/>
      <c r="AX309" s="113"/>
      <c r="AY309" s="113"/>
      <c r="AZ309" s="113"/>
      <c r="BA309" s="113"/>
      <c r="BB309" s="113"/>
      <c r="BC309" s="113"/>
      <c r="BD309" s="113"/>
      <c r="BE309" s="113"/>
      <c r="BF309" s="113"/>
      <c r="BG309" s="113"/>
      <c r="BH309" s="113"/>
      <c r="BI309" s="113"/>
      <c r="BJ309" s="113"/>
      <c r="BK309" s="113"/>
    </row>
    <row r="310" spans="1:63">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3"/>
      <c r="AY310" s="113"/>
      <c r="AZ310" s="113"/>
      <c r="BA310" s="113"/>
      <c r="BB310" s="113"/>
      <c r="BC310" s="113"/>
      <c r="BD310" s="113"/>
      <c r="BE310" s="113"/>
      <c r="BF310" s="113"/>
      <c r="BG310" s="113"/>
      <c r="BH310" s="113"/>
      <c r="BI310" s="113"/>
      <c r="BJ310" s="113"/>
      <c r="BK310" s="113"/>
    </row>
    <row r="311" spans="1:63">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row>
    <row r="312" spans="1:63">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row>
    <row r="313" spans="1:63">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row>
    <row r="314" spans="1:63">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row>
    <row r="315" spans="1:63">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row>
    <row r="316" spans="1:63">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3"/>
      <c r="BI316" s="113"/>
      <c r="BJ316" s="113"/>
      <c r="BK316" s="113"/>
    </row>
    <row r="317" spans="1:63">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row>
    <row r="318" spans="1:63">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row>
    <row r="319" spans="1:63">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3"/>
      <c r="BI319" s="113"/>
      <c r="BJ319" s="113"/>
      <c r="BK319" s="113"/>
    </row>
    <row r="320" spans="1:63">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row>
    <row r="321" spans="1:63">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c r="BE321" s="113"/>
      <c r="BF321" s="113"/>
      <c r="BG321" s="113"/>
      <c r="BH321" s="113"/>
      <c r="BI321" s="113"/>
      <c r="BJ321" s="113"/>
      <c r="BK321" s="113"/>
    </row>
    <row r="322" spans="1:63">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c r="BE322" s="113"/>
      <c r="BF322" s="113"/>
      <c r="BG322" s="113"/>
      <c r="BH322" s="113"/>
      <c r="BI322" s="113"/>
      <c r="BJ322" s="113"/>
      <c r="BK322" s="113"/>
    </row>
    <row r="323" spans="1:63">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row>
    <row r="324" spans="1:63">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c r="BE324" s="113"/>
      <c r="BF324" s="113"/>
      <c r="BG324" s="113"/>
      <c r="BH324" s="113"/>
      <c r="BI324" s="113"/>
      <c r="BJ324" s="113"/>
      <c r="BK324" s="113"/>
    </row>
    <row r="325" spans="1:63">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c r="BE325" s="113"/>
      <c r="BF325" s="113"/>
      <c r="BG325" s="113"/>
      <c r="BH325" s="113"/>
      <c r="BI325" s="113"/>
      <c r="BJ325" s="113"/>
      <c r="BK325" s="113"/>
    </row>
    <row r="326" spans="1:63">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c r="BE326" s="113"/>
      <c r="BF326" s="113"/>
      <c r="BG326" s="113"/>
      <c r="BH326" s="113"/>
      <c r="BI326" s="113"/>
      <c r="BJ326" s="113"/>
      <c r="BK326" s="113"/>
    </row>
    <row r="327" spans="1:63">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c r="BE327" s="113"/>
      <c r="BF327" s="113"/>
      <c r="BG327" s="113"/>
      <c r="BH327" s="113"/>
      <c r="BI327" s="113"/>
      <c r="BJ327" s="113"/>
      <c r="BK327" s="113"/>
    </row>
    <row r="328" spans="1:63">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row>
    <row r="329" spans="1:63">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row>
    <row r="330" spans="1:63">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row>
    <row r="331" spans="1:63">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113"/>
      <c r="BG331" s="113"/>
      <c r="BH331" s="113"/>
      <c r="BI331" s="113"/>
      <c r="BJ331" s="113"/>
      <c r="BK331" s="113"/>
    </row>
    <row r="332" spans="1:63">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row>
    <row r="333" spans="1:63">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c r="BF333" s="113"/>
      <c r="BG333" s="113"/>
      <c r="BH333" s="113"/>
      <c r="BI333" s="113"/>
      <c r="BJ333" s="113"/>
      <c r="BK333" s="113"/>
    </row>
    <row r="334" spans="1:63">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c r="BE334" s="113"/>
      <c r="BF334" s="113"/>
      <c r="BG334" s="113"/>
      <c r="BH334" s="113"/>
      <c r="BI334" s="113"/>
      <c r="BJ334" s="113"/>
      <c r="BK334" s="113"/>
    </row>
    <row r="335" spans="1:63">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c r="BE335" s="113"/>
      <c r="BF335" s="113"/>
      <c r="BG335" s="113"/>
      <c r="BH335" s="113"/>
      <c r="BI335" s="113"/>
      <c r="BJ335" s="113"/>
      <c r="BK335" s="113"/>
    </row>
    <row r="336" spans="1:63">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row>
    <row r="337" spans="1:63">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c r="BF337" s="113"/>
      <c r="BG337" s="113"/>
      <c r="BH337" s="113"/>
      <c r="BI337" s="113"/>
      <c r="BJ337" s="113"/>
      <c r="BK337" s="113"/>
    </row>
    <row r="338" spans="1:63">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c r="BF338" s="113"/>
      <c r="BG338" s="113"/>
      <c r="BH338" s="113"/>
      <c r="BI338" s="113"/>
      <c r="BJ338" s="113"/>
      <c r="BK338" s="113"/>
    </row>
    <row r="339" spans="1:63">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c r="BE339" s="113"/>
      <c r="BF339" s="113"/>
      <c r="BG339" s="113"/>
      <c r="BH339" s="113"/>
      <c r="BI339" s="113"/>
      <c r="BJ339" s="113"/>
      <c r="BK339" s="113"/>
    </row>
    <row r="340" spans="1:63">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row>
    <row r="341" spans="1:63">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row>
    <row r="342" spans="1:63">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c r="BF342" s="113"/>
      <c r="BG342" s="113"/>
      <c r="BH342" s="113"/>
      <c r="BI342" s="113"/>
      <c r="BJ342" s="113"/>
      <c r="BK342" s="113"/>
    </row>
    <row r="343" spans="1:63">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3"/>
      <c r="BI343" s="113"/>
      <c r="BJ343" s="113"/>
      <c r="BK343" s="113"/>
    </row>
    <row r="344" spans="1:63">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c r="BE344" s="113"/>
      <c r="BF344" s="113"/>
      <c r="BG344" s="113"/>
      <c r="BH344" s="113"/>
      <c r="BI344" s="113"/>
      <c r="BJ344" s="113"/>
      <c r="BK344" s="113"/>
    </row>
    <row r="345" spans="1:63">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c r="BE345" s="113"/>
      <c r="BF345" s="113"/>
      <c r="BG345" s="113"/>
      <c r="BH345" s="113"/>
      <c r="BI345" s="113"/>
      <c r="BJ345" s="113"/>
      <c r="BK345" s="113"/>
    </row>
    <row r="346" spans="1:63">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c r="BE346" s="113"/>
      <c r="BF346" s="113"/>
      <c r="BG346" s="113"/>
      <c r="BH346" s="113"/>
      <c r="BI346" s="113"/>
      <c r="BJ346" s="113"/>
      <c r="BK346" s="113"/>
    </row>
    <row r="347" spans="1:63">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c r="BE347" s="113"/>
      <c r="BF347" s="113"/>
      <c r="BG347" s="113"/>
      <c r="BH347" s="113"/>
      <c r="BI347" s="113"/>
      <c r="BJ347" s="113"/>
      <c r="BK347" s="113"/>
    </row>
    <row r="348" spans="1:63">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row>
    <row r="349" spans="1:63">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row>
    <row r="350" spans="1:63">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c r="BE350" s="113"/>
      <c r="BF350" s="113"/>
      <c r="BG350" s="113"/>
      <c r="BH350" s="113"/>
      <c r="BI350" s="113"/>
      <c r="BJ350" s="113"/>
      <c r="BK350" s="113"/>
    </row>
    <row r="351" spans="1:63">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113"/>
      <c r="BI351" s="113"/>
      <c r="BJ351" s="113"/>
      <c r="BK351" s="113"/>
    </row>
    <row r="352" spans="1:63">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row>
    <row r="353" spans="1:63">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c r="BE353" s="113"/>
      <c r="BF353" s="113"/>
      <c r="BG353" s="113"/>
      <c r="BH353" s="113"/>
      <c r="BI353" s="113"/>
      <c r="BJ353" s="113"/>
      <c r="BK353" s="113"/>
    </row>
    <row r="354" spans="1:63">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c r="BE354" s="113"/>
      <c r="BF354" s="113"/>
      <c r="BG354" s="113"/>
      <c r="BH354" s="113"/>
      <c r="BI354" s="113"/>
      <c r="BJ354" s="113"/>
      <c r="BK354" s="113"/>
    </row>
    <row r="355" spans="1:63">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c r="AO355" s="113"/>
      <c r="AP355" s="113"/>
      <c r="AQ355" s="113"/>
      <c r="AR355" s="113"/>
      <c r="AS355" s="113"/>
      <c r="AT355" s="113"/>
      <c r="AU355" s="113"/>
      <c r="AV355" s="113"/>
      <c r="AW355" s="113"/>
      <c r="AX355" s="113"/>
      <c r="AY355" s="113"/>
      <c r="AZ355" s="113"/>
      <c r="BA355" s="113"/>
      <c r="BB355" s="113"/>
      <c r="BC355" s="113"/>
      <c r="BD355" s="113"/>
      <c r="BE355" s="113"/>
      <c r="BF355" s="113"/>
      <c r="BG355" s="113"/>
      <c r="BH355" s="113"/>
      <c r="BI355" s="113"/>
      <c r="BJ355" s="113"/>
      <c r="BK355" s="113"/>
    </row>
    <row r="356" spans="1:63">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row>
    <row r="357" spans="1:63">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c r="AO357" s="113"/>
      <c r="AP357" s="113"/>
      <c r="AQ357" s="113"/>
      <c r="AR357" s="113"/>
      <c r="AS357" s="113"/>
      <c r="AT357" s="113"/>
      <c r="AU357" s="113"/>
      <c r="AV357" s="113"/>
      <c r="AW357" s="113"/>
      <c r="AX357" s="113"/>
      <c r="AY357" s="113"/>
      <c r="AZ357" s="113"/>
      <c r="BA357" s="113"/>
      <c r="BB357" s="113"/>
      <c r="BC357" s="113"/>
      <c r="BD357" s="113"/>
      <c r="BE357" s="113"/>
      <c r="BF357" s="113"/>
      <c r="BG357" s="113"/>
      <c r="BH357" s="113"/>
      <c r="BI357" s="113"/>
      <c r="BJ357" s="113"/>
      <c r="BK357" s="113"/>
    </row>
    <row r="358" spans="1:63">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c r="AO358" s="113"/>
      <c r="AP358" s="113"/>
      <c r="AQ358" s="113"/>
      <c r="AR358" s="113"/>
      <c r="AS358" s="113"/>
      <c r="AT358" s="113"/>
      <c r="AU358" s="113"/>
      <c r="AV358" s="113"/>
      <c r="AW358" s="113"/>
      <c r="AX358" s="113"/>
      <c r="AY358" s="113"/>
      <c r="AZ358" s="113"/>
      <c r="BA358" s="113"/>
      <c r="BB358" s="113"/>
      <c r="BC358" s="113"/>
      <c r="BD358" s="113"/>
      <c r="BE358" s="113"/>
      <c r="BF358" s="113"/>
      <c r="BG358" s="113"/>
      <c r="BH358" s="113"/>
      <c r="BI358" s="113"/>
      <c r="BJ358" s="113"/>
      <c r="BK358" s="113"/>
    </row>
    <row r="359" spans="1:63">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c r="AO359" s="113"/>
      <c r="AP359" s="113"/>
      <c r="AQ359" s="113"/>
      <c r="AR359" s="113"/>
      <c r="AS359" s="113"/>
      <c r="AT359" s="113"/>
      <c r="AU359" s="113"/>
      <c r="AV359" s="113"/>
      <c r="AW359" s="113"/>
      <c r="AX359" s="113"/>
      <c r="AY359" s="113"/>
      <c r="AZ359" s="113"/>
      <c r="BA359" s="113"/>
      <c r="BB359" s="113"/>
      <c r="BC359" s="113"/>
      <c r="BD359" s="113"/>
      <c r="BE359" s="113"/>
      <c r="BF359" s="113"/>
      <c r="BG359" s="113"/>
      <c r="BH359" s="113"/>
      <c r="BI359" s="113"/>
      <c r="BJ359" s="113"/>
      <c r="BK359" s="113"/>
    </row>
    <row r="360" spans="1:63">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c r="AO360" s="113"/>
      <c r="AP360" s="113"/>
      <c r="AQ360" s="113"/>
      <c r="AR360" s="113"/>
      <c r="AS360" s="113"/>
      <c r="AT360" s="113"/>
      <c r="AU360" s="113"/>
      <c r="AV360" s="113"/>
      <c r="AW360" s="113"/>
      <c r="AX360" s="113"/>
      <c r="AY360" s="113"/>
      <c r="AZ360" s="113"/>
      <c r="BA360" s="113"/>
      <c r="BB360" s="113"/>
      <c r="BC360" s="113"/>
      <c r="BD360" s="113"/>
      <c r="BE360" s="113"/>
      <c r="BF360" s="113"/>
      <c r="BG360" s="113"/>
      <c r="BH360" s="113"/>
      <c r="BI360" s="113"/>
      <c r="BJ360" s="113"/>
      <c r="BK360" s="113"/>
    </row>
    <row r="361" spans="1:63">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row>
    <row r="362" spans="1:63">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row>
    <row r="363" spans="1:63">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c r="BE363" s="113"/>
      <c r="BF363" s="113"/>
      <c r="BG363" s="113"/>
      <c r="BH363" s="113"/>
      <c r="BI363" s="113"/>
      <c r="BJ363" s="113"/>
      <c r="BK363" s="113"/>
    </row>
    <row r="364" spans="1:63">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c r="BE364" s="113"/>
      <c r="BF364" s="113"/>
      <c r="BG364" s="113"/>
      <c r="BH364" s="113"/>
      <c r="BI364" s="113"/>
      <c r="BJ364" s="113"/>
      <c r="BK364" s="113"/>
    </row>
    <row r="365" spans="1:63">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c r="BE365" s="113"/>
      <c r="BF365" s="113"/>
      <c r="BG365" s="113"/>
      <c r="BH365" s="113"/>
      <c r="BI365" s="113"/>
      <c r="BJ365" s="113"/>
      <c r="BK365" s="113"/>
    </row>
    <row r="366" spans="1:63">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c r="BE366" s="113"/>
      <c r="BF366" s="113"/>
      <c r="BG366" s="113"/>
      <c r="BH366" s="113"/>
      <c r="BI366" s="113"/>
      <c r="BJ366" s="113"/>
      <c r="BK366" s="113"/>
    </row>
    <row r="367" spans="1:63">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c r="BE367" s="113"/>
      <c r="BF367" s="113"/>
      <c r="BG367" s="113"/>
      <c r="BH367" s="113"/>
      <c r="BI367" s="113"/>
      <c r="BJ367" s="113"/>
      <c r="BK367" s="113"/>
    </row>
    <row r="368" spans="1:63">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c r="BE368" s="113"/>
      <c r="BF368" s="113"/>
      <c r="BG368" s="113"/>
      <c r="BH368" s="113"/>
      <c r="BI368" s="113"/>
      <c r="BJ368" s="113"/>
      <c r="BK368" s="113"/>
    </row>
    <row r="369" spans="1:63">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c r="BE369" s="113"/>
      <c r="BF369" s="113"/>
      <c r="BG369" s="113"/>
      <c r="BH369" s="113"/>
      <c r="BI369" s="113"/>
      <c r="BJ369" s="113"/>
      <c r="BK369" s="113"/>
    </row>
    <row r="370" spans="1:63">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c r="BE370" s="113"/>
      <c r="BF370" s="113"/>
      <c r="BG370" s="113"/>
      <c r="BH370" s="113"/>
      <c r="BI370" s="113"/>
      <c r="BJ370" s="113"/>
      <c r="BK370" s="113"/>
    </row>
    <row r="371" spans="1:63">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c r="BE371" s="113"/>
      <c r="BF371" s="113"/>
      <c r="BG371" s="113"/>
      <c r="BH371" s="113"/>
      <c r="BI371" s="113"/>
      <c r="BJ371" s="113"/>
      <c r="BK371" s="113"/>
    </row>
  </sheetData>
  <pageMargins left="0.7" right="0.7" top="0.75" bottom="0.75" header="0.3" footer="0.3"/>
  <pageSetup scale="95"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BK371"/>
  <sheetViews>
    <sheetView workbookViewId="0">
      <selection activeCell="B4" sqref="B4"/>
    </sheetView>
  </sheetViews>
  <sheetFormatPr defaultRowHeight="15"/>
  <cols>
    <col min="1" max="1" width="2.85546875" customWidth="1"/>
  </cols>
  <sheetData>
    <row r="1" spans="1:63">
      <c r="A1" s="112"/>
      <c r="B1" s="145" t="s">
        <v>1625</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3"/>
    </row>
    <row r="2" spans="1:63">
      <c r="A2" s="112"/>
      <c r="B2" s="112"/>
      <c r="C2" s="112"/>
      <c r="D2" s="112"/>
      <c r="E2" s="112"/>
      <c r="F2" s="112"/>
      <c r="G2" s="112"/>
      <c r="H2" s="112"/>
      <c r="I2" s="112"/>
      <c r="J2" s="112"/>
      <c r="K2" s="114"/>
      <c r="L2" s="114"/>
      <c r="M2" s="114"/>
      <c r="N2" s="114"/>
      <c r="O2" s="114"/>
      <c r="P2" s="114"/>
      <c r="Q2" s="114"/>
      <c r="R2" s="114"/>
      <c r="S2" s="114"/>
      <c r="T2" s="114"/>
      <c r="U2" s="114"/>
      <c r="V2" s="114"/>
      <c r="W2" s="114"/>
      <c r="X2" s="114"/>
      <c r="Y2" s="114"/>
      <c r="Z2" s="114"/>
      <c r="AA2" s="114"/>
      <c r="AB2" s="114"/>
      <c r="AC2" s="114"/>
      <c r="AD2" s="114"/>
      <c r="AE2" s="115" t="s">
        <v>221</v>
      </c>
      <c r="AF2" s="115" t="s">
        <v>222</v>
      </c>
      <c r="AG2" s="114"/>
      <c r="AH2" s="114"/>
      <c r="AI2" s="114" t="s">
        <v>223</v>
      </c>
      <c r="AJ2" s="114"/>
      <c r="AK2" s="114"/>
      <c r="AL2" s="114"/>
      <c r="AM2" s="114"/>
      <c r="AN2" s="114"/>
      <c r="AO2" s="114"/>
      <c r="AP2" s="114"/>
      <c r="AQ2" s="114"/>
      <c r="AR2" s="114"/>
      <c r="AS2" s="112"/>
      <c r="AT2" s="112"/>
      <c r="AU2" s="112"/>
      <c r="AV2" s="112"/>
      <c r="AW2" s="112"/>
      <c r="AX2" s="112"/>
      <c r="AY2" s="112"/>
      <c r="AZ2" s="112"/>
      <c r="BA2" s="112"/>
      <c r="BB2" s="112"/>
      <c r="BC2" s="112"/>
      <c r="BD2" s="112"/>
      <c r="BE2" s="112"/>
      <c r="BF2" s="112"/>
      <c r="BG2" s="112"/>
      <c r="BH2" s="112"/>
      <c r="BI2" s="112"/>
      <c r="BJ2" s="112"/>
      <c r="BK2" s="113"/>
    </row>
    <row r="3" spans="1:63">
      <c r="A3" s="112"/>
      <c r="B3" s="114" t="s">
        <v>1630</v>
      </c>
      <c r="C3" s="112"/>
      <c r="D3" s="112"/>
      <c r="E3" s="112"/>
      <c r="F3" s="112"/>
      <c r="G3" s="112"/>
      <c r="H3" s="112"/>
      <c r="I3" s="112"/>
      <c r="J3" s="112"/>
      <c r="K3" s="114"/>
      <c r="L3" s="114"/>
      <c r="M3" s="114"/>
      <c r="N3" s="114"/>
      <c r="O3" s="114"/>
      <c r="P3" s="114"/>
      <c r="Q3" s="114"/>
      <c r="R3" s="114"/>
      <c r="S3" s="114"/>
      <c r="T3" s="114"/>
      <c r="U3" s="114"/>
      <c r="V3" s="114"/>
      <c r="W3" s="114"/>
      <c r="X3" s="114"/>
      <c r="Y3" s="114"/>
      <c r="Z3" s="114"/>
      <c r="AA3" s="114"/>
      <c r="AB3" s="114"/>
      <c r="AC3" s="114"/>
      <c r="AD3" s="114"/>
      <c r="AE3" s="115"/>
      <c r="AF3" s="115"/>
      <c r="AG3" s="114"/>
      <c r="AH3" s="114"/>
      <c r="AI3" s="114"/>
      <c r="AJ3" s="114"/>
      <c r="AK3" s="114"/>
      <c r="AL3" s="114"/>
      <c r="AM3" s="114"/>
      <c r="AN3" s="114"/>
      <c r="AO3" s="114"/>
      <c r="AP3" s="114"/>
      <c r="AQ3" s="114"/>
      <c r="AR3" s="114"/>
      <c r="AS3" s="112"/>
      <c r="AT3" s="112"/>
      <c r="AU3" s="112"/>
      <c r="AV3" s="112"/>
      <c r="AW3" s="112"/>
      <c r="AX3" s="112"/>
      <c r="AY3" s="112"/>
      <c r="AZ3" s="112"/>
      <c r="BA3" s="112"/>
      <c r="BB3" s="112"/>
      <c r="BC3" s="112"/>
      <c r="BD3" s="112"/>
      <c r="BE3" s="112"/>
      <c r="BF3" s="112"/>
      <c r="BG3" s="112"/>
      <c r="BH3" s="112"/>
      <c r="BI3" s="112"/>
      <c r="BJ3" s="112"/>
      <c r="BK3" s="113"/>
    </row>
    <row r="4" spans="1:63">
      <c r="A4" s="112"/>
      <c r="B4" s="116"/>
      <c r="C4" s="114"/>
      <c r="D4" s="114"/>
      <c r="E4" s="117"/>
      <c r="F4" s="114"/>
      <c r="G4" s="118"/>
      <c r="H4" s="114"/>
      <c r="I4" s="114"/>
      <c r="J4" s="114"/>
      <c r="K4" s="114"/>
      <c r="L4" s="114"/>
      <c r="M4" s="114"/>
      <c r="N4" s="114" t="s">
        <v>224</v>
      </c>
      <c r="O4" s="114"/>
      <c r="P4" s="114"/>
      <c r="Q4" s="114"/>
      <c r="R4" s="114"/>
      <c r="S4" s="114"/>
      <c r="T4" s="114"/>
      <c r="U4" s="115" t="s">
        <v>225</v>
      </c>
      <c r="V4" s="115" t="s">
        <v>226</v>
      </c>
      <c r="W4" s="115" t="s">
        <v>227</v>
      </c>
      <c r="X4" s="115" t="s">
        <v>228</v>
      </c>
      <c r="Y4" s="115" t="s">
        <v>229</v>
      </c>
      <c r="Z4" s="114"/>
      <c r="AA4" s="115" t="s">
        <v>230</v>
      </c>
      <c r="AB4" s="114" t="s">
        <v>231</v>
      </c>
      <c r="AC4" s="115" t="s">
        <v>232</v>
      </c>
      <c r="AD4" s="115" t="s">
        <v>233</v>
      </c>
      <c r="AE4" s="115" t="s">
        <v>234</v>
      </c>
      <c r="AF4" s="114"/>
      <c r="AG4" s="114"/>
      <c r="AH4" s="114"/>
      <c r="AI4" s="114" t="s">
        <v>235</v>
      </c>
      <c r="AJ4" s="114"/>
      <c r="AK4" s="114"/>
      <c r="AL4" s="114"/>
      <c r="AM4" s="114"/>
      <c r="AN4" s="114"/>
      <c r="AO4" s="114"/>
      <c r="AP4" s="114"/>
      <c r="AQ4" s="114"/>
      <c r="AR4" s="114"/>
      <c r="AS4" s="112"/>
      <c r="AT4" s="112"/>
      <c r="AU4" s="112"/>
      <c r="AV4" s="112"/>
      <c r="AW4" s="112"/>
      <c r="AX4" s="112"/>
      <c r="AY4" s="112"/>
      <c r="AZ4" s="112"/>
      <c r="BA4" s="112"/>
      <c r="BB4" s="112"/>
      <c r="BC4" s="112"/>
      <c r="BD4" s="112"/>
      <c r="BE4" s="112"/>
      <c r="BF4" s="112"/>
      <c r="BG4" s="112"/>
      <c r="BH4" s="112"/>
      <c r="BI4" s="112"/>
      <c r="BJ4" s="112"/>
      <c r="BK4" s="113"/>
    </row>
    <row r="5" spans="1:63">
      <c r="A5" s="112"/>
      <c r="B5" s="119" t="s">
        <v>236</v>
      </c>
      <c r="C5" s="119" t="s">
        <v>237</v>
      </c>
      <c r="D5" s="114"/>
      <c r="E5" s="117">
        <f>E7+E6</f>
        <v>105292.82249867741</v>
      </c>
      <c r="F5" s="119" t="s">
        <v>238</v>
      </c>
      <c r="G5" s="114"/>
      <c r="H5" s="114"/>
      <c r="I5" s="114"/>
      <c r="J5" s="119"/>
      <c r="K5" s="114"/>
      <c r="L5" s="120"/>
      <c r="M5" s="114"/>
      <c r="N5" s="119" t="s">
        <v>239</v>
      </c>
      <c r="O5" s="114"/>
      <c r="P5" s="114"/>
      <c r="Q5" s="119" t="s">
        <v>240</v>
      </c>
      <c r="R5" s="114"/>
      <c r="S5" s="114"/>
      <c r="T5" s="114"/>
      <c r="U5" s="121">
        <f>$E$8*1.25</f>
        <v>117716.67786778056</v>
      </c>
      <c r="V5" s="122">
        <f>100*(+U5/$E$9)</f>
        <v>166.96347499983938</v>
      </c>
      <c r="W5" s="123">
        <f>EXP(5.7226-(0.68367*LN(+V5)))</f>
        <v>9.2417449372381224</v>
      </c>
      <c r="X5" s="123">
        <f>(+W5*V5)/100</f>
        <v>15.430338497834493</v>
      </c>
      <c r="Y5" s="122">
        <f>100*((((X5/100)-((X5/100)-0.03574)*$E$21)-0.03574-0.00619)/0.344)</f>
        <v>20.94820758305455</v>
      </c>
      <c r="Z5" s="114">
        <f>$E$20</f>
        <v>0.25</v>
      </c>
      <c r="AA5" s="122">
        <f>Y5+Z5</f>
        <v>21.19820758305455</v>
      </c>
      <c r="AB5" s="122">
        <f>100*($E$17*$E$19+($E$18*(AA5/100))/(1-$E$21))</f>
        <v>16.999767358397694</v>
      </c>
      <c r="AC5" s="123">
        <f>AB5/V5</f>
        <v>0.10181728284233452</v>
      </c>
      <c r="AD5" s="121">
        <f>$E$8/(1-AC5)</f>
        <v>104848.75793673663</v>
      </c>
      <c r="AE5" s="114" t="str">
        <f>IF(AD5=$U$5,"yes","not yet")</f>
        <v>not yet</v>
      </c>
      <c r="AF5" s="122">
        <f>100*(1-AC5)</f>
        <v>89.818271715766556</v>
      </c>
      <c r="AG5" s="114"/>
      <c r="AH5" s="114"/>
      <c r="AI5" s="114">
        <v>0</v>
      </c>
      <c r="AJ5" s="114">
        <v>1</v>
      </c>
      <c r="AK5" s="114"/>
      <c r="AL5" s="114"/>
      <c r="AM5" s="114"/>
      <c r="AN5" s="114"/>
      <c r="AO5" s="114"/>
      <c r="AP5" s="114"/>
      <c r="AQ5" s="114"/>
      <c r="AR5" s="114"/>
      <c r="AS5" s="112"/>
      <c r="AT5" s="112"/>
      <c r="AU5" s="112"/>
      <c r="AV5" s="112"/>
      <c r="AW5" s="112"/>
      <c r="AX5" s="112"/>
      <c r="AY5" s="112"/>
      <c r="AZ5" s="112"/>
      <c r="BA5" s="112"/>
      <c r="BB5" s="112"/>
      <c r="BC5" s="112"/>
      <c r="BD5" s="112"/>
      <c r="BE5" s="112"/>
      <c r="BF5" s="112"/>
      <c r="BG5" s="112"/>
      <c r="BH5" s="112"/>
      <c r="BI5" s="112"/>
      <c r="BJ5" s="112"/>
      <c r="BK5" s="113"/>
    </row>
    <row r="6" spans="1:63">
      <c r="A6" s="112"/>
      <c r="B6" s="119" t="s">
        <v>236</v>
      </c>
      <c r="C6" s="119" t="s">
        <v>241</v>
      </c>
      <c r="D6" s="114"/>
      <c r="E6" s="117">
        <f>(+E8-((H15/100)*E7))/H25</f>
        <v>388.15249867742563</v>
      </c>
      <c r="F6" s="124" t="s">
        <v>238</v>
      </c>
      <c r="G6" s="114"/>
      <c r="H6" s="146"/>
      <c r="I6" s="114"/>
      <c r="J6" s="125">
        <f>E6/E7</f>
        <v>3.7000497563876391E-3</v>
      </c>
      <c r="K6" s="114" t="s">
        <v>242</v>
      </c>
      <c r="L6" s="120"/>
      <c r="M6" s="114"/>
      <c r="N6" s="119" t="s">
        <v>243</v>
      </c>
      <c r="O6" s="114"/>
      <c r="P6" s="114"/>
      <c r="Q6" s="119" t="s">
        <v>244</v>
      </c>
      <c r="R6" s="114"/>
      <c r="S6" s="114"/>
      <c r="T6" s="114"/>
      <c r="U6" s="121">
        <f>$E$8*1.25</f>
        <v>117716.67786778056</v>
      </c>
      <c r="V6" s="122">
        <f>100*(+U6/$E$9)</f>
        <v>166.96347499983938</v>
      </c>
      <c r="W6" s="123">
        <f>EXP(5.70827-(0.68367*LN(+V6)))</f>
        <v>9.1102551070209703</v>
      </c>
      <c r="X6" s="123">
        <f>(+W6*V6)/100</f>
        <v>15.210798508032548</v>
      </c>
      <c r="Y6" s="122">
        <f>100*((((X6/100)-((X6/100)-0.03574)*$E$21)-0.03574-0.00619)/0.344)</f>
        <v>20.52699713750431</v>
      </c>
      <c r="Z6" s="114">
        <f>$E$20</f>
        <v>0.25</v>
      </c>
      <c r="AA6" s="122">
        <f>Y6+Z6</f>
        <v>20.77699713750431</v>
      </c>
      <c r="AB6" s="122">
        <f>100*($E$17*$E$19+($E$18*(AA6/100))/(1-$E$21))</f>
        <v>16.692802811970559</v>
      </c>
      <c r="AC6" s="123">
        <f>AB6/V6</f>
        <v>9.9978769679935187E-2</v>
      </c>
      <c r="AD6" s="121">
        <f>$E$8/(1-AC6)</f>
        <v>104634.57874291988</v>
      </c>
      <c r="AE6" s="114" t="str">
        <f>IF(AD6=$U$6,"yes","not yet")</f>
        <v>not yet</v>
      </c>
      <c r="AF6" s="122">
        <f>100*(1-AC6)</f>
        <v>90.00212303200648</v>
      </c>
      <c r="AG6" s="114"/>
      <c r="AH6" s="114"/>
      <c r="AI6" s="114">
        <v>50</v>
      </c>
      <c r="AJ6" s="114">
        <v>2</v>
      </c>
      <c r="AK6" s="114"/>
      <c r="AL6" s="114"/>
      <c r="AM6" s="114"/>
      <c r="AN6" s="114"/>
      <c r="AO6" s="114"/>
      <c r="AP6" s="114"/>
      <c r="AQ6" s="114"/>
      <c r="AR6" s="114"/>
      <c r="AS6" s="112"/>
      <c r="AT6" s="112"/>
      <c r="AU6" s="112"/>
      <c r="AV6" s="112"/>
      <c r="AW6" s="112"/>
      <c r="AX6" s="112"/>
      <c r="AY6" s="112"/>
      <c r="AZ6" s="112"/>
      <c r="BA6" s="112"/>
      <c r="BB6" s="112"/>
      <c r="BC6" s="112"/>
      <c r="BD6" s="112"/>
      <c r="BE6" s="112"/>
      <c r="BF6" s="112"/>
      <c r="BG6" s="112"/>
      <c r="BH6" s="112"/>
      <c r="BI6" s="112"/>
      <c r="BJ6" s="112"/>
      <c r="BK6" s="113"/>
    </row>
    <row r="7" spans="1:63">
      <c r="A7" s="112"/>
      <c r="B7" s="126" t="s">
        <v>245</v>
      </c>
      <c r="C7" s="119" t="s">
        <v>19</v>
      </c>
      <c r="D7" s="126" t="s">
        <v>246</v>
      </c>
      <c r="E7" s="156">
        <f>'Consolidated IS'!L14</f>
        <v>104904.66999999998</v>
      </c>
      <c r="F7" s="119" t="s">
        <v>247</v>
      </c>
      <c r="G7" s="114"/>
      <c r="H7" s="145"/>
      <c r="I7" s="114"/>
      <c r="J7" s="119"/>
      <c r="K7" s="114"/>
      <c r="L7" s="120"/>
      <c r="M7" s="114"/>
      <c r="N7" s="119" t="s">
        <v>248</v>
      </c>
      <c r="O7" s="114"/>
      <c r="P7" s="114"/>
      <c r="Q7" s="119" t="s">
        <v>249</v>
      </c>
      <c r="R7" s="114"/>
      <c r="S7" s="114"/>
      <c r="T7" s="114"/>
      <c r="U7" s="121">
        <f>$E$8*1.25</f>
        <v>117716.67786778056</v>
      </c>
      <c r="V7" s="122">
        <f>100*(+U7/$E$9)</f>
        <v>166.96347499983938</v>
      </c>
      <c r="W7" s="123">
        <f>EXP(5.6985-(0.68367*LN(V7)))</f>
        <v>9.0216813022129561</v>
      </c>
      <c r="X7" s="123">
        <f>(+W7*V7)/100</f>
        <v>15.062912605585513</v>
      </c>
      <c r="Y7" s="122">
        <f>100*((((X7/100)-((X7/100)-0.03574)*$E$21)-0.03574-0.00619)/0.344)</f>
        <v>20.243262557228018</v>
      </c>
      <c r="Z7" s="114">
        <f>$E$20</f>
        <v>0.25</v>
      </c>
      <c r="AA7" s="122">
        <f>Y7+Z7</f>
        <v>20.493262557228018</v>
      </c>
      <c r="AB7" s="122">
        <f>100*($E$17*$E$19+($E$18*(AA7/100))/(1-$E$21))</f>
        <v>16.486026228767763</v>
      </c>
      <c r="AC7" s="123">
        <f>AB7/V7</f>
        <v>9.8740315681520308E-2</v>
      </c>
      <c r="AD7" s="121">
        <f>$E$8/(1-AC7)</f>
        <v>104490.79652934553</v>
      </c>
      <c r="AE7" s="114" t="str">
        <f>IF(AD7=$U$7,"yes","not yet")</f>
        <v>not yet</v>
      </c>
      <c r="AF7" s="122">
        <f>100*(1-AC7)</f>
        <v>90.125968431847966</v>
      </c>
      <c r="AG7" s="114"/>
      <c r="AH7" s="114"/>
      <c r="AI7" s="114">
        <v>125</v>
      </c>
      <c r="AJ7" s="114">
        <v>3</v>
      </c>
      <c r="AK7" s="114"/>
      <c r="AL7" s="114"/>
      <c r="AM7" s="114"/>
      <c r="AN7" s="114"/>
      <c r="AO7" s="114"/>
      <c r="AP7" s="114"/>
      <c r="AQ7" s="114"/>
      <c r="AR7" s="114"/>
      <c r="AS7" s="112"/>
      <c r="AT7" s="112"/>
      <c r="AU7" s="112"/>
      <c r="AV7" s="112"/>
      <c r="AW7" s="112"/>
      <c r="AX7" s="112"/>
      <c r="AY7" s="112"/>
      <c r="AZ7" s="112"/>
      <c r="BA7" s="112"/>
      <c r="BB7" s="112"/>
      <c r="BC7" s="112"/>
      <c r="BD7" s="112"/>
      <c r="BE7" s="112"/>
      <c r="BF7" s="112"/>
      <c r="BG7" s="112"/>
      <c r="BH7" s="112"/>
      <c r="BI7" s="112"/>
      <c r="BJ7" s="112"/>
      <c r="BK7" s="113"/>
    </row>
    <row r="8" spans="1:63">
      <c r="A8" s="112"/>
      <c r="B8" s="126" t="s">
        <v>245</v>
      </c>
      <c r="C8" s="119" t="s">
        <v>250</v>
      </c>
      <c r="D8" s="126" t="s">
        <v>246</v>
      </c>
      <c r="E8" s="117">
        <f>'Consolidated IS'!L174</f>
        <v>94173.342294224451</v>
      </c>
      <c r="F8" s="119" t="s">
        <v>247</v>
      </c>
      <c r="G8" s="114"/>
      <c r="H8" s="145"/>
      <c r="I8" s="114"/>
      <c r="J8" s="125"/>
      <c r="K8" s="146"/>
      <c r="L8" s="120"/>
      <c r="M8" s="114"/>
      <c r="N8" s="119" t="s">
        <v>251</v>
      </c>
      <c r="O8" s="114"/>
      <c r="P8" s="114"/>
      <c r="Q8" s="119" t="s">
        <v>252</v>
      </c>
      <c r="R8" s="114"/>
      <c r="S8" s="114"/>
      <c r="T8" s="114"/>
      <c r="U8" s="121">
        <f>$E$8*1.25</f>
        <v>117716.67786778056</v>
      </c>
      <c r="V8" s="122">
        <f>100*(+U8/$E$9)</f>
        <v>166.96347499983938</v>
      </c>
      <c r="W8" s="123">
        <f>EXP(5.6922-(0.68367*LN(V8)))</f>
        <v>8.9650233698918083</v>
      </c>
      <c r="X8" s="123">
        <f>(+W8*V8)/100</f>
        <v>14.968314552919066</v>
      </c>
      <c r="Y8" s="122">
        <f>100*((((X8/100)-((X8/100)-0.03574)*$E$21)-0.03574-0.00619)/0.344)</f>
        <v>20.06176629339123</v>
      </c>
      <c r="Z8" s="114">
        <f>$E$20</f>
        <v>0.25</v>
      </c>
      <c r="AA8" s="122">
        <f>Y8+Z8</f>
        <v>20.31176629339123</v>
      </c>
      <c r="AB8" s="122">
        <f>100*($E$17*$E$19+($E$18*(AA8/100))/(1-$E$21))</f>
        <v>16.35375762314451</v>
      </c>
      <c r="AC8" s="123">
        <f>AB8/V8</f>
        <v>9.794811483865104E-2</v>
      </c>
      <c r="AD8" s="121">
        <f>$E$8/(1-AC8)</f>
        <v>104399.03052514521</v>
      </c>
      <c r="AE8" s="114" t="str">
        <f>IF(AD8=$U$8,"yes","not yet")</f>
        <v>not yet</v>
      </c>
      <c r="AF8" s="122">
        <f>100*(1-AC8)</f>
        <v>90.205188516134896</v>
      </c>
      <c r="AG8" s="114"/>
      <c r="AH8" s="114"/>
      <c r="AI8" s="114">
        <v>401</v>
      </c>
      <c r="AJ8" s="114">
        <v>4</v>
      </c>
      <c r="AK8" s="114"/>
      <c r="AL8" s="114"/>
      <c r="AM8" s="114"/>
      <c r="AN8" s="114"/>
      <c r="AO8" s="114"/>
      <c r="AP8" s="114"/>
      <c r="AQ8" s="114"/>
      <c r="AR8" s="114"/>
      <c r="AS8" s="112"/>
      <c r="AT8" s="112"/>
      <c r="AU8" s="112"/>
      <c r="AV8" s="112"/>
      <c r="AW8" s="112"/>
      <c r="AX8" s="112"/>
      <c r="AY8" s="112"/>
      <c r="AZ8" s="112"/>
      <c r="BA8" s="112"/>
      <c r="BB8" s="112"/>
      <c r="BC8" s="112"/>
      <c r="BD8" s="112"/>
      <c r="BE8" s="112"/>
      <c r="BF8" s="112"/>
      <c r="BG8" s="112"/>
      <c r="BH8" s="112"/>
      <c r="BI8" s="112"/>
      <c r="BJ8" s="112"/>
      <c r="BK8" s="113"/>
    </row>
    <row r="9" spans="1:63">
      <c r="A9" s="112"/>
      <c r="B9" s="126" t="s">
        <v>245</v>
      </c>
      <c r="C9" s="119" t="s">
        <v>253</v>
      </c>
      <c r="D9" s="114"/>
      <c r="E9" s="117">
        <f>'Consolidated IS'!L180</f>
        <v>70504.448872960871</v>
      </c>
      <c r="F9" s="119" t="s">
        <v>247</v>
      </c>
      <c r="G9" s="114"/>
      <c r="H9" s="114"/>
      <c r="J9" s="119"/>
      <c r="K9" s="127"/>
      <c r="L9" s="120"/>
      <c r="M9" s="114"/>
      <c r="N9" s="114"/>
      <c r="O9" s="114"/>
      <c r="P9" s="114"/>
      <c r="Q9" s="114"/>
      <c r="R9" s="114"/>
      <c r="S9" s="114"/>
      <c r="T9" s="114"/>
      <c r="U9" s="114"/>
      <c r="V9" s="114"/>
      <c r="W9" s="114"/>
      <c r="X9" s="114"/>
      <c r="Y9" s="114"/>
      <c r="Z9" s="114"/>
      <c r="AA9" s="122"/>
      <c r="AB9" s="114"/>
      <c r="AC9" s="114"/>
      <c r="AD9" s="114"/>
      <c r="AE9" s="114"/>
      <c r="AF9" s="114"/>
      <c r="AG9" s="114"/>
      <c r="AH9" s="114"/>
      <c r="AI9" s="114"/>
      <c r="AJ9" s="114"/>
      <c r="AK9" s="114"/>
      <c r="AL9" s="114"/>
      <c r="AM9" s="114"/>
      <c r="AN9" s="114"/>
      <c r="AO9" s="114"/>
      <c r="AP9" s="114"/>
      <c r="AQ9" s="114"/>
      <c r="AR9" s="114"/>
      <c r="AS9" s="112"/>
      <c r="AT9" s="112"/>
      <c r="AU9" s="112"/>
      <c r="AV9" s="112"/>
      <c r="AW9" s="112"/>
      <c r="AX9" s="112"/>
      <c r="AY9" s="112"/>
      <c r="AZ9" s="112"/>
      <c r="BA9" s="112"/>
      <c r="BB9" s="112"/>
      <c r="BC9" s="112"/>
      <c r="BD9" s="112"/>
      <c r="BE9" s="112"/>
      <c r="BF9" s="112"/>
      <c r="BG9" s="112"/>
      <c r="BH9" s="112"/>
      <c r="BI9" s="112"/>
      <c r="BJ9" s="112"/>
      <c r="BK9" s="113"/>
    </row>
    <row r="10" spans="1:63">
      <c r="A10" s="112"/>
      <c r="B10" s="116"/>
      <c r="C10" s="119" t="s">
        <v>254</v>
      </c>
      <c r="D10" s="114"/>
      <c r="E10" s="122">
        <f>V5</f>
        <v>166.96347499983938</v>
      </c>
      <c r="F10" s="119" t="s">
        <v>255</v>
      </c>
      <c r="G10" s="114"/>
      <c r="H10" s="122"/>
      <c r="I10" s="122"/>
      <c r="J10" s="116"/>
      <c r="K10" s="118"/>
      <c r="L10" s="114"/>
      <c r="M10" s="114"/>
      <c r="N10" s="114"/>
      <c r="O10" s="114"/>
      <c r="P10" s="114"/>
      <c r="Q10" s="114"/>
      <c r="R10" s="114"/>
      <c r="S10" s="114"/>
      <c r="T10" s="114"/>
      <c r="U10" s="114"/>
      <c r="V10" s="128" t="s">
        <v>256</v>
      </c>
      <c r="W10" s="128" t="s">
        <v>227</v>
      </c>
      <c r="X10" s="128" t="s">
        <v>228</v>
      </c>
      <c r="Y10" s="128" t="s">
        <v>229</v>
      </c>
      <c r="Z10" s="114"/>
      <c r="AA10" s="122"/>
      <c r="AB10" s="114"/>
      <c r="AC10" s="114"/>
      <c r="AD10" s="114"/>
      <c r="AE10" s="114"/>
      <c r="AF10" s="114"/>
      <c r="AG10" s="114"/>
      <c r="AH10" s="114"/>
      <c r="AI10" s="114" t="s">
        <v>257</v>
      </c>
      <c r="AJ10" s="114"/>
      <c r="AK10" s="114"/>
      <c r="AL10" s="114"/>
      <c r="AM10" s="114"/>
      <c r="AN10" s="114"/>
      <c r="AO10" s="114"/>
      <c r="AP10" s="114"/>
      <c r="AQ10" s="114"/>
      <c r="AR10" s="114"/>
      <c r="AS10" s="112"/>
      <c r="AT10" s="112"/>
      <c r="AU10" s="112"/>
      <c r="AV10" s="112"/>
      <c r="AW10" s="112"/>
      <c r="AX10" s="112"/>
      <c r="AY10" s="112"/>
      <c r="AZ10" s="112"/>
      <c r="BA10" s="112"/>
      <c r="BB10" s="112"/>
      <c r="BC10" s="112"/>
      <c r="BD10" s="112"/>
      <c r="BE10" s="112"/>
      <c r="BF10" s="112"/>
      <c r="BG10" s="112"/>
      <c r="BH10" s="112"/>
      <c r="BI10" s="112"/>
      <c r="BJ10" s="112"/>
      <c r="BK10" s="113"/>
    </row>
    <row r="11" spans="1:63">
      <c r="A11" s="112"/>
      <c r="B11" s="116"/>
      <c r="C11" s="119" t="s">
        <v>258</v>
      </c>
      <c r="D11" s="114"/>
      <c r="E11" s="122">
        <f>HLOOKUP($AJ$34,$AJ$28:$AR$32,($E$12)+1)</f>
        <v>149.32532866075104</v>
      </c>
      <c r="F11" s="119" t="s">
        <v>255</v>
      </c>
      <c r="G11" s="114"/>
      <c r="H11" s="114"/>
      <c r="I11" s="114"/>
      <c r="J11" s="126"/>
      <c r="K11" s="117"/>
      <c r="L11" s="114"/>
      <c r="M11" s="114"/>
      <c r="N11" s="114"/>
      <c r="O11" s="114"/>
      <c r="P11" s="114"/>
      <c r="Q11" s="114"/>
      <c r="R11" s="114"/>
      <c r="S11" s="114"/>
      <c r="T11" s="114"/>
      <c r="U11" s="114"/>
      <c r="V11" s="122">
        <f>100*(+AD5/$E$9)</f>
        <v>148.71225803872233</v>
      </c>
      <c r="W11" s="129">
        <f>EXP(5.7226-(0.68367*LN(+V11)))</f>
        <v>10.00288526229291</v>
      </c>
      <c r="X11" s="123">
        <f>(+W11*V11)/100</f>
        <v>14.87551654257836</v>
      </c>
      <c r="Y11" s="122">
        <f>100*((((X11/100)-((X11/100)-0.03574)*$E$21)-0.03574-0.00619)/0.344)</f>
        <v>19.883723599132896</v>
      </c>
      <c r="Z11" s="114">
        <f>$E$20</f>
        <v>0.25</v>
      </c>
      <c r="AA11" s="122">
        <f>Y11+Z11</f>
        <v>20.133723599132896</v>
      </c>
      <c r="AB11" s="122">
        <f>100*($E$17*$E$19+($E$18*(AA11/100))/(1-$E$21))</f>
        <v>16.224005867305976</v>
      </c>
      <c r="AC11" s="123">
        <f>AB11/V11</f>
        <v>0.1090966278185454</v>
      </c>
      <c r="AD11" s="121">
        <f>$E$8/(1-AC11)</f>
        <v>105705.45048407755</v>
      </c>
      <c r="AE11" s="114" t="str">
        <f>IF(AD11=AD5,"yes","not yet")</f>
        <v>not yet</v>
      </c>
      <c r="AF11" s="122">
        <f>100*(1-AC11)</f>
        <v>89.09033721814545</v>
      </c>
      <c r="AG11" s="114"/>
      <c r="AH11" s="114"/>
      <c r="AI11" s="114"/>
      <c r="AJ11" s="114"/>
      <c r="AK11" s="114"/>
      <c r="AL11" s="114"/>
      <c r="AM11" s="114"/>
      <c r="AN11" s="114"/>
      <c r="AO11" s="114"/>
      <c r="AP11" s="114"/>
      <c r="AQ11" s="114"/>
      <c r="AR11" s="114"/>
      <c r="AS11" s="112"/>
      <c r="AT11" s="112"/>
      <c r="AU11" s="112"/>
      <c r="AV11" s="112"/>
      <c r="AW11" s="112"/>
      <c r="AX11" s="112"/>
      <c r="AY11" s="112"/>
      <c r="AZ11" s="112"/>
      <c r="BA11" s="112"/>
      <c r="BB11" s="112"/>
      <c r="BC11" s="112"/>
      <c r="BD11" s="112"/>
      <c r="BE11" s="112"/>
      <c r="BF11" s="112"/>
      <c r="BG11" s="112"/>
      <c r="BH11" s="112"/>
      <c r="BI11" s="112"/>
      <c r="BJ11" s="112"/>
      <c r="BK11" s="113"/>
    </row>
    <row r="12" spans="1:63">
      <c r="A12" s="112"/>
      <c r="B12" s="116"/>
      <c r="C12" s="119" t="s">
        <v>259</v>
      </c>
      <c r="D12" s="114"/>
      <c r="E12" s="114">
        <f>VLOOKUP(E10,AI5:AJ8,2)</f>
        <v>3</v>
      </c>
      <c r="F12" s="119" t="s">
        <v>255</v>
      </c>
      <c r="G12" s="114"/>
      <c r="H12" s="114"/>
      <c r="I12" s="114"/>
      <c r="J12" s="126"/>
      <c r="K12" s="117"/>
      <c r="L12" s="114"/>
      <c r="M12" s="114"/>
      <c r="N12" s="114"/>
      <c r="O12" s="114"/>
      <c r="P12" s="114"/>
      <c r="Q12" s="114"/>
      <c r="R12" s="114"/>
      <c r="S12" s="114"/>
      <c r="T12" s="114"/>
      <c r="U12" s="114"/>
      <c r="V12" s="122">
        <f>100*(+AD6/$E$9)</f>
        <v>148.4084769337843</v>
      </c>
      <c r="W12" s="129">
        <f>EXP(5.70827-(0.68367*LN(+V12)))</f>
        <v>9.8743606945755324</v>
      </c>
      <c r="X12" s="123">
        <f>(+W12*V12)/100</f>
        <v>14.654388313767793</v>
      </c>
      <c r="Y12" s="122">
        <f>100*((((X12/100)-((X12/100)-0.03574)*$E$21)-0.03574-0.00619)/0.344)</f>
        <v>19.459465950833561</v>
      </c>
      <c r="Z12" s="114">
        <f>$E$20</f>
        <v>0.25</v>
      </c>
      <c r="AA12" s="122">
        <f>Y12+Z12</f>
        <v>19.709465950833561</v>
      </c>
      <c r="AB12" s="122">
        <f>100*($E$17*$E$19+($E$18*(AA12/100))/(1-$E$21))</f>
        <v>15.914820618093263</v>
      </c>
      <c r="AC12" s="123">
        <f>AB12/V12</f>
        <v>0.10723660094695271</v>
      </c>
      <c r="AD12" s="121">
        <f>$E$8/(1-AC12)</f>
        <v>105485.21858547737</v>
      </c>
      <c r="AE12" s="114" t="str">
        <f>IF(AD12=AD6,"yes","not yet")</f>
        <v>not yet</v>
      </c>
      <c r="AF12" s="122">
        <f>100*(1-AC12)</f>
        <v>89.276339905304724</v>
      </c>
      <c r="AG12" s="114"/>
      <c r="AH12" s="114"/>
      <c r="AI12" s="114"/>
      <c r="AJ12" s="114"/>
      <c r="AK12" s="114"/>
      <c r="AL12" s="114"/>
      <c r="AM12" s="114"/>
      <c r="AN12" s="114"/>
      <c r="AO12" s="114"/>
      <c r="AP12" s="114"/>
      <c r="AQ12" s="114"/>
      <c r="AR12" s="114"/>
      <c r="AS12" s="112"/>
      <c r="AT12" s="112"/>
      <c r="AU12" s="112"/>
      <c r="AV12" s="112"/>
      <c r="AW12" s="112"/>
      <c r="AX12" s="112"/>
      <c r="AY12" s="112"/>
      <c r="AZ12" s="112"/>
      <c r="BA12" s="112"/>
      <c r="BB12" s="112"/>
      <c r="BC12" s="112"/>
      <c r="BD12" s="112"/>
      <c r="BE12" s="112"/>
      <c r="BF12" s="112"/>
      <c r="BG12" s="112"/>
      <c r="BH12" s="112"/>
      <c r="BI12" s="112"/>
      <c r="BJ12" s="112"/>
      <c r="BK12" s="113"/>
    </row>
    <row r="13" spans="1:63">
      <c r="A13" s="112"/>
      <c r="B13" s="116"/>
      <c r="C13" s="114"/>
      <c r="D13" s="114"/>
      <c r="E13" s="114"/>
      <c r="F13" s="114"/>
      <c r="G13" s="114"/>
      <c r="H13" s="114"/>
      <c r="I13" s="114"/>
      <c r="J13" s="126"/>
      <c r="K13" s="598"/>
      <c r="L13" s="114"/>
      <c r="M13" s="114"/>
      <c r="N13" s="114"/>
      <c r="O13" s="114"/>
      <c r="P13" s="114"/>
      <c r="Q13" s="114"/>
      <c r="R13" s="114"/>
      <c r="S13" s="114"/>
      <c r="T13" s="114"/>
      <c r="U13" s="114"/>
      <c r="V13" s="122">
        <f>100*(+AD7/$E$9)</f>
        <v>148.20454340069134</v>
      </c>
      <c r="W13" s="129">
        <f>EXP(5.6985-(0.68367*LN(V13)))</f>
        <v>9.7875549048698751</v>
      </c>
      <c r="X13" s="123">
        <f>(+W13*V13)/100</f>
        <v>14.505601056854369</v>
      </c>
      <c r="Y13" s="122">
        <f>100*((((X13/100)-((X13/100)-0.03574)*$E$21)-0.03574-0.00619)/0.344)</f>
        <v>19.174002027685706</v>
      </c>
      <c r="Z13" s="114">
        <f>$E$20</f>
        <v>0.25</v>
      </c>
      <c r="AA13" s="122">
        <f>Y13+Z13</f>
        <v>19.424002027685706</v>
      </c>
      <c r="AB13" s="122">
        <f>100*($E$17*$E$19+($E$18*(AA13/100))/(1-$E$21))</f>
        <v>15.706783745750455</v>
      </c>
      <c r="AC13" s="123">
        <f>AB13/V13</f>
        <v>0.10598044692385042</v>
      </c>
      <c r="AD13" s="121">
        <f>$E$8/(1-AC13)</f>
        <v>105337.0051809181</v>
      </c>
      <c r="AE13" s="114" t="str">
        <f>IF(AD13=AD7,"yes","not yet")</f>
        <v>not yet</v>
      </c>
      <c r="AF13" s="122">
        <f>100*(1-AC13)</f>
        <v>89.401955307614955</v>
      </c>
      <c r="AG13" s="114"/>
      <c r="AH13" s="114"/>
      <c r="AI13" s="114"/>
      <c r="AJ13" s="114">
        <v>1</v>
      </c>
      <c r="AK13" s="114">
        <v>2</v>
      </c>
      <c r="AL13" s="114">
        <v>3</v>
      </c>
      <c r="AM13" s="114">
        <v>4</v>
      </c>
      <c r="AN13" s="114">
        <v>5</v>
      </c>
      <c r="AO13" s="114">
        <v>6</v>
      </c>
      <c r="AP13" s="114">
        <v>7</v>
      </c>
      <c r="AQ13" s="114">
        <v>8</v>
      </c>
      <c r="AR13" s="114">
        <v>9</v>
      </c>
      <c r="AS13" s="112"/>
      <c r="AT13" s="112"/>
      <c r="AU13" s="112"/>
      <c r="AV13" s="112"/>
      <c r="AW13" s="112"/>
      <c r="AX13" s="112"/>
      <c r="AY13" s="112"/>
      <c r="AZ13" s="112"/>
      <c r="BA13" s="112"/>
      <c r="BB13" s="112"/>
      <c r="BC13" s="112"/>
      <c r="BD13" s="112"/>
      <c r="BE13" s="112"/>
      <c r="BF13" s="112"/>
      <c r="BG13" s="112"/>
      <c r="BH13" s="112"/>
      <c r="BI13" s="112"/>
      <c r="BJ13" s="112"/>
      <c r="BK13" s="113"/>
    </row>
    <row r="14" spans="1:63">
      <c r="A14" s="112"/>
      <c r="B14" s="116"/>
      <c r="C14" s="119" t="s">
        <v>260</v>
      </c>
      <c r="D14" s="114"/>
      <c r="E14" s="114"/>
      <c r="F14" s="114"/>
      <c r="G14" s="114"/>
      <c r="H14" s="114"/>
      <c r="I14" s="114"/>
      <c r="J14" s="116"/>
      <c r="K14" s="117"/>
      <c r="L14" s="114"/>
      <c r="M14" s="114"/>
      <c r="N14" s="114"/>
      <c r="O14" s="114"/>
      <c r="P14" s="114"/>
      <c r="Q14" s="114"/>
      <c r="R14" s="114"/>
      <c r="S14" s="114"/>
      <c r="T14" s="114"/>
      <c r="U14" s="114"/>
      <c r="V14" s="122">
        <f>100*(+AD8/$E$9)</f>
        <v>148.07438706918711</v>
      </c>
      <c r="W14" s="129">
        <f>EXP(5.6922-(0.68367*LN(V14)))</f>
        <v>9.7319311285956598</v>
      </c>
      <c r="X14" s="123">
        <f>(+W14*V14)/100</f>
        <v>14.410497368663448</v>
      </c>
      <c r="Y14" s="122">
        <f>100*((((X14/100)-((X14/100)-0.03574)*$E$21)-0.03574-0.00619)/0.344)</f>
        <v>18.991535649179866</v>
      </c>
      <c r="Z14" s="114">
        <f>$E$20</f>
        <v>0.25</v>
      </c>
      <c r="AA14" s="122">
        <f>Y14+Z14</f>
        <v>19.241535649179866</v>
      </c>
      <c r="AB14" s="122">
        <f>100*($E$17*$E$19+($E$18*(AA14/100))/(1-$E$21))</f>
        <v>15.573808151939913</v>
      </c>
      <c r="AC14" s="123">
        <f>AB14/V14</f>
        <v>0.10517557060467939</v>
      </c>
      <c r="AD14" s="121">
        <f>$E$8/(1-AC14)</f>
        <v>105242.25669370948</v>
      </c>
      <c r="AE14" s="114" t="str">
        <f>IF(AD14=AD8,"yes","not yet")</f>
        <v>not yet</v>
      </c>
      <c r="AF14" s="122">
        <f>100*(1-AC14)</f>
        <v>89.482442939532064</v>
      </c>
      <c r="AG14" s="114"/>
      <c r="AH14" s="114"/>
      <c r="AI14" s="114"/>
      <c r="AJ14" s="114" t="str">
        <f>AE5</f>
        <v>not yet</v>
      </c>
      <c r="AK14" s="114" t="str">
        <f>AE11</f>
        <v>not yet</v>
      </c>
      <c r="AL14" s="114" t="str">
        <f>AE17</f>
        <v>not yet</v>
      </c>
      <c r="AM14" s="114" t="str">
        <f>AE23</f>
        <v>not yet</v>
      </c>
      <c r="AN14" s="114" t="str">
        <f>AE29</f>
        <v>not yet</v>
      </c>
      <c r="AO14" s="114" t="str">
        <f>AE35</f>
        <v>not yet</v>
      </c>
      <c r="AP14" s="114" t="str">
        <f>AE41</f>
        <v>yes</v>
      </c>
      <c r="AQ14" s="114" t="str">
        <f>AE47</f>
        <v>yes</v>
      </c>
      <c r="AR14" s="114" t="str">
        <f>AE53</f>
        <v>yes</v>
      </c>
      <c r="AS14" s="112"/>
      <c r="AT14" s="112"/>
      <c r="AU14" s="112"/>
      <c r="AV14" s="112"/>
      <c r="AW14" s="112"/>
      <c r="AX14" s="112"/>
      <c r="AY14" s="112"/>
      <c r="AZ14" s="112"/>
      <c r="BA14" s="112"/>
      <c r="BB14" s="112"/>
      <c r="BC14" s="112"/>
      <c r="BD14" s="112"/>
      <c r="BE14" s="112"/>
      <c r="BF14" s="112"/>
      <c r="BG14" s="112"/>
      <c r="BH14" s="112"/>
      <c r="BI14" s="112"/>
      <c r="BJ14" s="112"/>
      <c r="BK14" s="113"/>
    </row>
    <row r="15" spans="1:63">
      <c r="A15" s="112"/>
      <c r="B15" s="116"/>
      <c r="C15" s="119" t="s">
        <v>261</v>
      </c>
      <c r="D15" s="114"/>
      <c r="E15" s="126" t="s">
        <v>236</v>
      </c>
      <c r="F15" s="119" t="s">
        <v>262</v>
      </c>
      <c r="G15" s="114"/>
      <c r="H15" s="122">
        <f>HLOOKUP($AJ$25,$AJ$19:$AR$23,($E$12)+1)</f>
        <v>89.449092152450163</v>
      </c>
      <c r="I15" s="119" t="s">
        <v>238</v>
      </c>
      <c r="J15" s="112"/>
      <c r="K15" s="130"/>
      <c r="L15" s="114"/>
      <c r="M15" s="114"/>
      <c r="N15" s="114"/>
      <c r="O15" s="114"/>
      <c r="P15" s="114"/>
      <c r="Q15" s="114"/>
      <c r="R15" s="114"/>
      <c r="S15" s="114"/>
      <c r="T15" s="114"/>
      <c r="U15" s="114"/>
      <c r="V15" s="114"/>
      <c r="W15" s="114"/>
      <c r="X15" s="114"/>
      <c r="Y15" s="114"/>
      <c r="Z15" s="114"/>
      <c r="AA15" s="122"/>
      <c r="AB15" s="114"/>
      <c r="AC15" s="114"/>
      <c r="AD15" s="114"/>
      <c r="AE15" s="114"/>
      <c r="AF15" s="114"/>
      <c r="AG15" s="114"/>
      <c r="AH15" s="114"/>
      <c r="AI15" s="114"/>
      <c r="AJ15" s="114" t="str">
        <f>AE6</f>
        <v>not yet</v>
      </c>
      <c r="AK15" s="114" t="str">
        <f>AE12</f>
        <v>not yet</v>
      </c>
      <c r="AL15" s="114" t="str">
        <f>AE18</f>
        <v>not yet</v>
      </c>
      <c r="AM15" s="114" t="str">
        <f>AE24</f>
        <v>not yet</v>
      </c>
      <c r="AN15" s="114" t="str">
        <f>AE30</f>
        <v>not yet</v>
      </c>
      <c r="AO15" s="114" t="str">
        <f>AE36</f>
        <v>not yet</v>
      </c>
      <c r="AP15" s="114" t="str">
        <f>AE42</f>
        <v>yes</v>
      </c>
      <c r="AQ15" s="114" t="str">
        <f>AE48</f>
        <v>yes</v>
      </c>
      <c r="AR15" s="114" t="str">
        <f>AE54</f>
        <v>yes</v>
      </c>
      <c r="AS15" s="112"/>
      <c r="AT15" s="112"/>
      <c r="AU15" s="112"/>
      <c r="AV15" s="112"/>
      <c r="AW15" s="112"/>
      <c r="AX15" s="112"/>
      <c r="AY15" s="112"/>
      <c r="AZ15" s="112"/>
      <c r="BA15" s="112"/>
      <c r="BB15" s="112"/>
      <c r="BC15" s="112"/>
      <c r="BD15" s="112"/>
      <c r="BE15" s="112"/>
      <c r="BF15" s="112"/>
      <c r="BG15" s="112"/>
      <c r="BH15" s="112"/>
      <c r="BI15" s="112"/>
      <c r="BJ15" s="112"/>
      <c r="BK15" s="113"/>
    </row>
    <row r="16" spans="1:63">
      <c r="A16" s="112"/>
      <c r="B16" s="116"/>
      <c r="C16" s="131"/>
      <c r="D16" s="131"/>
      <c r="E16" s="132"/>
      <c r="F16" s="114"/>
      <c r="G16" s="114"/>
      <c r="H16" s="131"/>
      <c r="I16" s="116"/>
      <c r="J16" s="112"/>
      <c r="K16" s="117"/>
      <c r="L16" s="114"/>
      <c r="M16" s="114"/>
      <c r="N16" s="114"/>
      <c r="O16" s="114"/>
      <c r="P16" s="114"/>
      <c r="Q16" s="114"/>
      <c r="R16" s="114"/>
      <c r="S16" s="114"/>
      <c r="T16" s="114"/>
      <c r="U16" s="114"/>
      <c r="V16" s="119" t="s">
        <v>263</v>
      </c>
      <c r="W16" s="128" t="s">
        <v>227</v>
      </c>
      <c r="X16" s="128" t="s">
        <v>228</v>
      </c>
      <c r="Y16" s="128" t="s">
        <v>229</v>
      </c>
      <c r="Z16" s="114"/>
      <c r="AA16" s="122"/>
      <c r="AB16" s="114"/>
      <c r="AC16" s="114"/>
      <c r="AD16" s="114"/>
      <c r="AE16" s="114"/>
      <c r="AF16" s="114"/>
      <c r="AG16" s="114"/>
      <c r="AH16" s="114"/>
      <c r="AI16" s="114"/>
      <c r="AJ16" s="114" t="str">
        <f>AE7</f>
        <v>not yet</v>
      </c>
      <c r="AK16" s="114" t="str">
        <f>AE13</f>
        <v>not yet</v>
      </c>
      <c r="AL16" s="114" t="str">
        <f>AE19</f>
        <v>not yet</v>
      </c>
      <c r="AM16" s="114" t="str">
        <f>AE25</f>
        <v>not yet</v>
      </c>
      <c r="AN16" s="114" t="str">
        <f>AE31</f>
        <v>not yet</v>
      </c>
      <c r="AO16" s="114" t="str">
        <f>AE37</f>
        <v>not yet</v>
      </c>
      <c r="AP16" s="114" t="str">
        <f>AE43</f>
        <v>yes</v>
      </c>
      <c r="AQ16" s="114" t="str">
        <f>AE49</f>
        <v>yes</v>
      </c>
      <c r="AR16" s="114" t="str">
        <f>AE55</f>
        <v>yes</v>
      </c>
      <c r="AS16" s="112"/>
      <c r="AT16" s="112"/>
      <c r="AU16" s="112"/>
      <c r="AV16" s="112"/>
      <c r="AW16" s="112"/>
      <c r="AX16" s="112"/>
      <c r="AY16" s="112"/>
      <c r="AZ16" s="112"/>
      <c r="BA16" s="112"/>
      <c r="BB16" s="112"/>
      <c r="BC16" s="112"/>
      <c r="BD16" s="112"/>
      <c r="BE16" s="112"/>
      <c r="BF16" s="112"/>
      <c r="BG16" s="112"/>
      <c r="BH16" s="112"/>
      <c r="BI16" s="112"/>
      <c r="BJ16" s="112"/>
      <c r="BK16" s="113"/>
    </row>
    <row r="17" spans="1:63">
      <c r="A17" s="112"/>
      <c r="B17" s="126" t="s">
        <v>245</v>
      </c>
      <c r="C17" s="119" t="s">
        <v>264</v>
      </c>
      <c r="D17" s="114"/>
      <c r="E17" s="133">
        <f>'Corp-BS'!D65</f>
        <v>0.51901335120677927</v>
      </c>
      <c r="F17" s="119" t="s">
        <v>265</v>
      </c>
      <c r="G17" s="114"/>
      <c r="H17" s="114"/>
      <c r="I17" s="116"/>
      <c r="J17" s="112"/>
      <c r="K17" s="114"/>
      <c r="L17" s="114"/>
      <c r="M17" s="114"/>
      <c r="N17" s="114"/>
      <c r="O17" s="114"/>
      <c r="P17" s="114"/>
      <c r="Q17" s="114"/>
      <c r="R17" s="114"/>
      <c r="S17" s="114"/>
      <c r="T17" s="114"/>
      <c r="U17" s="114"/>
      <c r="V17" s="122">
        <f>100*(+AD11/$E$9)</f>
        <v>149.92734809479035</v>
      </c>
      <c r="W17" s="129">
        <f>EXP(5.7226-(0.68367*LN(+V17)))</f>
        <v>9.9473897647751137</v>
      </c>
      <c r="X17" s="123">
        <f>(+W17*V17)/100</f>
        <v>14.913857678979932</v>
      </c>
      <c r="Y17" s="122">
        <f>100*((((X17/100)-((X17/100)-0.03574)*$E$21)-0.03574-0.00619)/0.344)</f>
        <v>19.957285081763825</v>
      </c>
      <c r="Z17" s="114">
        <f>$E$20</f>
        <v>0.25</v>
      </c>
      <c r="AA17" s="122">
        <f>Y17+Z17</f>
        <v>20.207285081763825</v>
      </c>
      <c r="AB17" s="122">
        <f>100*($E$17*$E$19+($E$18*(AA17/100))/(1-$E$21))</f>
        <v>16.277615096110388</v>
      </c>
      <c r="AC17" s="123">
        <f>AB17/V17</f>
        <v>0.10857001943247205</v>
      </c>
      <c r="AD17" s="121">
        <f>$E$8/(1-AC17)</f>
        <v>105643.00544869389</v>
      </c>
      <c r="AE17" s="114" t="str">
        <f>IF(AD17=AD11,"yes","not yet")</f>
        <v>not yet</v>
      </c>
      <c r="AF17" s="122">
        <f>100*(1-AC17)</f>
        <v>89.142998056752802</v>
      </c>
      <c r="AG17" s="114"/>
      <c r="AH17" s="114"/>
      <c r="AI17" s="114"/>
      <c r="AJ17" s="114" t="str">
        <f>AE8</f>
        <v>not yet</v>
      </c>
      <c r="AK17" s="114" t="str">
        <f>AE14</f>
        <v>not yet</v>
      </c>
      <c r="AL17" s="114" t="str">
        <f>AE20</f>
        <v>not yet</v>
      </c>
      <c r="AM17" s="114" t="str">
        <f>AE26</f>
        <v>not yet</v>
      </c>
      <c r="AN17" s="114" t="str">
        <f>AE32</f>
        <v>not yet</v>
      </c>
      <c r="AO17" s="114" t="str">
        <f>AE38</f>
        <v>not yet</v>
      </c>
      <c r="AP17" s="114" t="str">
        <f>AE44</f>
        <v>yes</v>
      </c>
      <c r="AQ17" s="114" t="str">
        <f>AE50</f>
        <v>yes</v>
      </c>
      <c r="AR17" s="114" t="str">
        <f>AE56</f>
        <v>yes</v>
      </c>
      <c r="AS17" s="112"/>
      <c r="AT17" s="112"/>
      <c r="AU17" s="112"/>
      <c r="AV17" s="112"/>
      <c r="AW17" s="112"/>
      <c r="AX17" s="112"/>
      <c r="AY17" s="112"/>
      <c r="AZ17" s="112"/>
      <c r="BA17" s="112"/>
      <c r="BB17" s="112"/>
      <c r="BC17" s="112"/>
      <c r="BD17" s="112"/>
      <c r="BE17" s="112"/>
      <c r="BF17" s="112"/>
      <c r="BG17" s="112"/>
      <c r="BH17" s="112"/>
      <c r="BI17" s="112"/>
      <c r="BJ17" s="112"/>
      <c r="BK17" s="113"/>
    </row>
    <row r="18" spans="1:63">
      <c r="A18" s="112"/>
      <c r="B18" s="126" t="s">
        <v>245</v>
      </c>
      <c r="C18" s="119" t="s">
        <v>266</v>
      </c>
      <c r="D18" s="114"/>
      <c r="E18" s="133">
        <f>'Corp-BS'!D66</f>
        <v>0.48098664879322067</v>
      </c>
      <c r="F18" s="119" t="s">
        <v>267</v>
      </c>
      <c r="G18" s="114"/>
      <c r="H18" s="120">
        <v>1.4999999999999999E-2</v>
      </c>
      <c r="I18" s="119" t="s">
        <v>245</v>
      </c>
      <c r="J18" s="112"/>
      <c r="K18" s="114"/>
      <c r="L18" s="114"/>
      <c r="M18" s="114"/>
      <c r="N18" s="114"/>
      <c r="O18" s="114"/>
      <c r="P18" s="114"/>
      <c r="Q18" s="114"/>
      <c r="R18" s="114"/>
      <c r="S18" s="114"/>
      <c r="T18" s="114"/>
      <c r="U18" s="114"/>
      <c r="V18" s="122">
        <f>100*(+AD12/$E$9)</f>
        <v>149.6149821347401</v>
      </c>
      <c r="W18" s="129">
        <f>EXP(5.70827-(0.68367*LN(+V18)))</f>
        <v>9.8198520780195349</v>
      </c>
      <c r="X18" s="123">
        <f>(+W18*V18)/100</f>
        <v>14.691969932186833</v>
      </c>
      <c r="Y18" s="122">
        <f>100*((((X18/100)-((X18/100)-0.03574)*$E$21)-0.03574-0.00619)/0.344)</f>
        <v>19.531570218730547</v>
      </c>
      <c r="Z18" s="114">
        <f>$E$20</f>
        <v>0.25</v>
      </c>
      <c r="AA18" s="122">
        <f>Y18+Z18</f>
        <v>19.781570218730547</v>
      </c>
      <c r="AB18" s="122">
        <f>100*($E$17*$E$19+($E$18*(AA18/100))/(1-$E$21))</f>
        <v>15.96736787594093</v>
      </c>
      <c r="AC18" s="123">
        <f>AB18/V18</f>
        <v>0.10672305439010817</v>
      </c>
      <c r="AD18" s="121">
        <f>$E$8/(1-AC18)</f>
        <v>105424.57493955233</v>
      </c>
      <c r="AE18" s="114" t="str">
        <f>IF(AD18=AD12,"yes","not yet")</f>
        <v>not yet</v>
      </c>
      <c r="AF18" s="122">
        <f>100*(1-AC18)</f>
        <v>89.327694560989173</v>
      </c>
      <c r="AG18" s="114"/>
      <c r="AH18" s="114"/>
      <c r="AI18" s="114"/>
      <c r="AJ18" s="114"/>
      <c r="AK18" s="114"/>
      <c r="AL18" s="114"/>
      <c r="AM18" s="114"/>
      <c r="AN18" s="114"/>
      <c r="AO18" s="114"/>
      <c r="AP18" s="114"/>
      <c r="AQ18" s="114"/>
      <c r="AR18" s="114"/>
      <c r="AS18" s="112"/>
      <c r="AT18" s="112"/>
      <c r="AU18" s="112"/>
      <c r="AV18" s="112"/>
      <c r="AW18" s="112"/>
      <c r="AX18" s="112"/>
      <c r="AY18" s="112"/>
      <c r="AZ18" s="112"/>
      <c r="BA18" s="112"/>
      <c r="BB18" s="112"/>
      <c r="BC18" s="112"/>
      <c r="BD18" s="112"/>
      <c r="BE18" s="112"/>
      <c r="BF18" s="112"/>
      <c r="BG18" s="112"/>
      <c r="BH18" s="112"/>
      <c r="BI18" s="112"/>
      <c r="BJ18" s="112"/>
      <c r="BK18" s="113"/>
    </row>
    <row r="19" spans="1:63">
      <c r="A19" s="112"/>
      <c r="B19" s="126" t="s">
        <v>245</v>
      </c>
      <c r="C19" s="119" t="s">
        <v>268</v>
      </c>
      <c r="D19" s="114"/>
      <c r="E19" s="133">
        <f>'Corp-BS'!C75</f>
        <v>2.9887466997092278E-2</v>
      </c>
      <c r="F19" s="119" t="s">
        <v>269</v>
      </c>
      <c r="G19" s="114"/>
      <c r="H19" s="130">
        <v>4.2750000000000002E-3</v>
      </c>
      <c r="I19" s="119" t="s">
        <v>245</v>
      </c>
      <c r="J19" s="112"/>
      <c r="K19" s="114"/>
      <c r="L19" s="114"/>
      <c r="M19" s="114"/>
      <c r="N19" s="114"/>
      <c r="O19" s="114"/>
      <c r="P19" s="114"/>
      <c r="Q19" s="114"/>
      <c r="R19" s="114"/>
      <c r="S19" s="114"/>
      <c r="T19" s="114"/>
      <c r="U19" s="114"/>
      <c r="V19" s="122">
        <f>100*(+AD13/$E$9)</f>
        <v>149.40476362097462</v>
      </c>
      <c r="W19" s="129">
        <f>EXP(5.6985-(0.68367*LN(V19)))</f>
        <v>9.7337315651276182</v>
      </c>
      <c r="X19" s="123">
        <f>(+W19*V19)/100</f>
        <v>14.542658636379111</v>
      </c>
      <c r="Y19" s="122">
        <f>100*((((X19/100)-((X19/100)-0.03574)*$E$21)-0.03574-0.00619)/0.344)</f>
        <v>19.245100872122713</v>
      </c>
      <c r="Z19" s="114">
        <f>$E$20</f>
        <v>0.25</v>
      </c>
      <c r="AA19" s="122">
        <f>Y19+Z19</f>
        <v>19.495100872122713</v>
      </c>
      <c r="AB19" s="122">
        <f>100*($E$17*$E$19+($E$18*(AA19/100))/(1-$E$21))</f>
        <v>15.758598283506252</v>
      </c>
      <c r="AC19" s="123">
        <f>AB19/V19</f>
        <v>0.10547587574573115</v>
      </c>
      <c r="AD19" s="121">
        <f>$E$8/(1-AC19)</f>
        <v>105277.5880949362</v>
      </c>
      <c r="AE19" s="114" t="str">
        <f>IF(AD19=AD13,"yes","not yet")</f>
        <v>not yet</v>
      </c>
      <c r="AF19" s="122">
        <f>100*(1-AC19)</f>
        <v>89.452412425426886</v>
      </c>
      <c r="AG19" s="114"/>
      <c r="AH19" s="114"/>
      <c r="AI19" s="114"/>
      <c r="AJ19" s="114" t="str">
        <f>HLOOKUP(1,$AJ$13:$AR$17,($E$12)+1)</f>
        <v>not yet</v>
      </c>
      <c r="AK19" s="114" t="str">
        <f>HLOOKUP(2,$AJ$13:$AR$17,($E$12)+1)</f>
        <v>not yet</v>
      </c>
      <c r="AL19" s="114" t="str">
        <f>HLOOKUP(3,$AJ$13:$AR$17,($E$12)+1)</f>
        <v>not yet</v>
      </c>
      <c r="AM19" s="114" t="str">
        <f>HLOOKUP(4,$AJ$13:$AR$17,($E$12)+1)</f>
        <v>not yet</v>
      </c>
      <c r="AN19" s="114" t="str">
        <f>HLOOKUP(5,$AJ$13:$AR$17,($E$12)+1)</f>
        <v>not yet</v>
      </c>
      <c r="AO19" s="114" t="str">
        <f>HLOOKUP(6,$AJ$13:$AR$17,($E$12)+1)</f>
        <v>not yet</v>
      </c>
      <c r="AP19" s="114" t="str">
        <f>HLOOKUP(7,$AJ$13:$AR$17,($E$12)+1)</f>
        <v>yes</v>
      </c>
      <c r="AQ19" s="114" t="str">
        <f>HLOOKUP(8,$AJ$13:$AR$17,($E$12)+1)</f>
        <v>yes</v>
      </c>
      <c r="AR19" s="114" t="str">
        <f>HLOOKUP(9,$AJ$13:$AR$17,($E$12)+1)</f>
        <v>yes</v>
      </c>
      <c r="AS19" s="112"/>
      <c r="AT19" s="112"/>
      <c r="AU19" s="112"/>
      <c r="AV19" s="112"/>
      <c r="AW19" s="112"/>
      <c r="AX19" s="112"/>
      <c r="AY19" s="112"/>
      <c r="AZ19" s="112"/>
      <c r="BA19" s="112"/>
      <c r="BB19" s="112"/>
      <c r="BC19" s="112"/>
      <c r="BD19" s="112"/>
      <c r="BE19" s="112"/>
      <c r="BF19" s="112"/>
      <c r="BG19" s="112"/>
      <c r="BH19" s="112"/>
      <c r="BI19" s="112"/>
      <c r="BJ19" s="112"/>
      <c r="BK19" s="113"/>
    </row>
    <row r="20" spans="1:63">
      <c r="A20" s="112"/>
      <c r="B20" s="126" t="s">
        <v>245</v>
      </c>
      <c r="C20" s="119" t="s">
        <v>270</v>
      </c>
      <c r="D20" s="114"/>
      <c r="E20" s="134">
        <v>0.25</v>
      </c>
      <c r="F20" s="119" t="s">
        <v>271</v>
      </c>
      <c r="G20" s="114"/>
      <c r="H20" s="120"/>
      <c r="I20" s="119" t="s">
        <v>245</v>
      </c>
      <c r="J20" s="112"/>
      <c r="K20" s="135"/>
      <c r="L20" s="114"/>
      <c r="M20" s="114"/>
      <c r="N20" s="114"/>
      <c r="O20" s="114"/>
      <c r="P20" s="114"/>
      <c r="Q20" s="114"/>
      <c r="R20" s="114"/>
      <c r="S20" s="114"/>
      <c r="T20" s="114"/>
      <c r="U20" s="114"/>
      <c r="V20" s="122">
        <f>100*(+AD14/$E$9)</f>
        <v>149.27037708406354</v>
      </c>
      <c r="W20" s="129">
        <f>EXP(5.6922-(0.68367*LN(V20)))</f>
        <v>9.6785544643727981</v>
      </c>
      <c r="X20" s="123">
        <f>(+W20*V20)/100</f>
        <v>14.447214745255742</v>
      </c>
      <c r="Y20" s="122">
        <f>100*((((X20/100)-((X20/100)-0.03574)*$E$21)-0.03574-0.00619)/0.344)</f>
        <v>19.061981778688345</v>
      </c>
      <c r="Z20" s="114">
        <f>$E$20</f>
        <v>0.25</v>
      </c>
      <c r="AA20" s="122">
        <f>Y20+Z20</f>
        <v>19.311981778688345</v>
      </c>
      <c r="AB20" s="122">
        <f>100*($E$17*$E$19+($E$18*(AA20/100))/(1-$E$21))</f>
        <v>15.625147012171331</v>
      </c>
      <c r="AC20" s="123">
        <f>AB20/V20</f>
        <v>0.10467681074706355</v>
      </c>
      <c r="AD20" s="121">
        <f>$E$8/(1-AC20)</f>
        <v>105183.62913486392</v>
      </c>
      <c r="AE20" s="114" t="str">
        <f>IF(AD20=AD14,"yes","not yet")</f>
        <v>not yet</v>
      </c>
      <c r="AF20" s="122">
        <f>100*(1-AC20)</f>
        <v>89.532318925293637</v>
      </c>
      <c r="AG20" s="114"/>
      <c r="AH20" s="114"/>
      <c r="AI20" s="114">
        <v>1</v>
      </c>
      <c r="AJ20" s="122">
        <f>AF5</f>
        <v>89.818271715766556</v>
      </c>
      <c r="AK20" s="122">
        <f>AF11</f>
        <v>89.09033721814545</v>
      </c>
      <c r="AL20" s="122">
        <f>AF17</f>
        <v>89.142998056752802</v>
      </c>
      <c r="AM20" s="122">
        <f>AF23</f>
        <v>89.139181710409716</v>
      </c>
      <c r="AN20" s="122">
        <f>AF29</f>
        <v>89.139458246838871</v>
      </c>
      <c r="AO20" s="122">
        <f>AF35</f>
        <v>89.139438208535964</v>
      </c>
      <c r="AP20" s="122">
        <f>AF41</f>
        <v>89.139425942166937</v>
      </c>
      <c r="AQ20" s="122">
        <f>AF47</f>
        <v>89.139425942166937</v>
      </c>
      <c r="AR20" s="122">
        <f>AF53</f>
        <v>89.139425942166937</v>
      </c>
      <c r="AS20" s="112"/>
      <c r="AT20" s="112"/>
      <c r="AU20" s="112"/>
      <c r="AV20" s="112"/>
      <c r="AW20" s="112"/>
      <c r="AX20" s="112"/>
      <c r="AY20" s="112"/>
      <c r="AZ20" s="112"/>
      <c r="BA20" s="112"/>
      <c r="BB20" s="112"/>
      <c r="BC20" s="112"/>
      <c r="BD20" s="112"/>
      <c r="BE20" s="112"/>
      <c r="BF20" s="112"/>
      <c r="BG20" s="112"/>
      <c r="BH20" s="112"/>
      <c r="BI20" s="112"/>
      <c r="BJ20" s="112"/>
      <c r="BK20" s="113"/>
    </row>
    <row r="21" spans="1:63">
      <c r="A21" s="112"/>
      <c r="B21" s="126" t="s">
        <v>245</v>
      </c>
      <c r="C21" s="119" t="s">
        <v>272</v>
      </c>
      <c r="D21" s="114"/>
      <c r="E21" s="134">
        <v>0.34</v>
      </c>
      <c r="F21" s="119" t="s">
        <v>273</v>
      </c>
      <c r="G21" s="114"/>
      <c r="H21" s="133">
        <f>'Restating Expl'!B154</f>
        <v>6.8269382016241066E-3</v>
      </c>
      <c r="I21" s="119" t="s">
        <v>245</v>
      </c>
      <c r="J21" s="112"/>
      <c r="K21" s="136"/>
      <c r="L21" s="114"/>
      <c r="M21" s="114"/>
      <c r="N21" s="114"/>
      <c r="O21" s="114"/>
      <c r="P21" s="114"/>
      <c r="Q21" s="114"/>
      <c r="R21" s="114"/>
      <c r="S21" s="114"/>
      <c r="T21" s="114"/>
      <c r="U21" s="114"/>
      <c r="V21" s="114"/>
      <c r="W21" s="114"/>
      <c r="X21" s="114"/>
      <c r="Y21" s="114"/>
      <c r="Z21" s="114"/>
      <c r="AA21" s="122"/>
      <c r="AB21" s="114"/>
      <c r="AC21" s="114"/>
      <c r="AD21" s="114"/>
      <c r="AE21" s="114"/>
      <c r="AF21" s="114"/>
      <c r="AG21" s="114"/>
      <c r="AH21" s="114"/>
      <c r="AI21" s="114">
        <v>2</v>
      </c>
      <c r="AJ21" s="122">
        <f>AF6</f>
        <v>90.00212303200648</v>
      </c>
      <c r="AK21" s="122">
        <f>AF12</f>
        <v>89.276339905304724</v>
      </c>
      <c r="AL21" s="122">
        <f>AF18</f>
        <v>89.327694560989173</v>
      </c>
      <c r="AM21" s="122">
        <f>AF24</f>
        <v>89.324054402719142</v>
      </c>
      <c r="AN21" s="122">
        <f>AF30</f>
        <v>89.324312394741682</v>
      </c>
      <c r="AO21" s="122">
        <f>AF36</f>
        <v>89.324294109691976</v>
      </c>
      <c r="AP21" s="122">
        <f>AF42</f>
        <v>89.324320127085983</v>
      </c>
      <c r="AQ21" s="122">
        <f>AF48</f>
        <v>89.324320127085983</v>
      </c>
      <c r="AR21" s="122">
        <f>AF54</f>
        <v>89.324320127085983</v>
      </c>
      <c r="AS21" s="112"/>
      <c r="AT21" s="112"/>
      <c r="AU21" s="112"/>
      <c r="AV21" s="112"/>
      <c r="AW21" s="112"/>
      <c r="AX21" s="112"/>
      <c r="AY21" s="112"/>
      <c r="AZ21" s="112"/>
      <c r="BA21" s="112"/>
      <c r="BB21" s="112"/>
      <c r="BC21" s="112"/>
      <c r="BD21" s="112"/>
      <c r="BE21" s="112"/>
      <c r="BF21" s="112"/>
      <c r="BG21" s="112"/>
      <c r="BH21" s="112"/>
      <c r="BI21" s="112"/>
      <c r="BJ21" s="112"/>
      <c r="BK21" s="113"/>
    </row>
    <row r="22" spans="1:63">
      <c r="A22" s="112"/>
      <c r="B22" s="116"/>
      <c r="C22" s="114"/>
      <c r="D22" s="114"/>
      <c r="E22" s="114"/>
      <c r="F22" s="114"/>
      <c r="G22" s="114"/>
      <c r="H22" s="131"/>
      <c r="I22" s="131"/>
      <c r="J22" s="116"/>
      <c r="K22" s="114"/>
      <c r="L22" s="114"/>
      <c r="M22" s="114"/>
      <c r="N22" s="114"/>
      <c r="O22" s="114"/>
      <c r="P22" s="114"/>
      <c r="Q22" s="114"/>
      <c r="R22" s="114"/>
      <c r="S22" s="114"/>
      <c r="T22" s="114"/>
      <c r="U22" s="114"/>
      <c r="V22" s="119" t="s">
        <v>274</v>
      </c>
      <c r="W22" s="128" t="s">
        <v>227</v>
      </c>
      <c r="X22" s="128" t="s">
        <v>228</v>
      </c>
      <c r="Y22" s="128" t="s">
        <v>229</v>
      </c>
      <c r="Z22" s="114"/>
      <c r="AA22" s="122"/>
      <c r="AB22" s="114"/>
      <c r="AC22" s="114"/>
      <c r="AD22" s="114"/>
      <c r="AE22" s="114"/>
      <c r="AF22" s="114"/>
      <c r="AG22" s="114"/>
      <c r="AH22" s="114"/>
      <c r="AI22" s="114">
        <v>3</v>
      </c>
      <c r="AJ22" s="122">
        <f>AF7</f>
        <v>90.125968431847966</v>
      </c>
      <c r="AK22" s="122">
        <f>AF13</f>
        <v>89.401955307614955</v>
      </c>
      <c r="AL22" s="122">
        <f>AF19</f>
        <v>89.452412425426886</v>
      </c>
      <c r="AM22" s="122">
        <f>AF25</f>
        <v>89.448889790062125</v>
      </c>
      <c r="AN22" s="122">
        <f>AF31</f>
        <v>89.449135690445601</v>
      </c>
      <c r="AO22" s="122">
        <f>AF37</f>
        <v>89.449118525024105</v>
      </c>
      <c r="AP22" s="122">
        <f>AF43</f>
        <v>89.449092152450163</v>
      </c>
      <c r="AQ22" s="122">
        <f>AF49</f>
        <v>89.449092152450163</v>
      </c>
      <c r="AR22" s="122">
        <f>AF55</f>
        <v>89.449092152450163</v>
      </c>
      <c r="AS22" s="112"/>
      <c r="AT22" s="112"/>
      <c r="AU22" s="112"/>
      <c r="AV22" s="112"/>
      <c r="AW22" s="112"/>
      <c r="AX22" s="112"/>
      <c r="AY22" s="112"/>
      <c r="AZ22" s="112"/>
      <c r="BA22" s="112"/>
      <c r="BB22" s="112"/>
      <c r="BC22" s="112"/>
      <c r="BD22" s="112"/>
      <c r="BE22" s="112"/>
      <c r="BF22" s="112"/>
      <c r="BG22" s="112"/>
      <c r="BH22" s="112"/>
      <c r="BI22" s="112"/>
      <c r="BJ22" s="112"/>
      <c r="BK22" s="113"/>
    </row>
    <row r="23" spans="1:63">
      <c r="A23" s="112"/>
      <c r="B23" s="116"/>
      <c r="C23" s="114"/>
      <c r="D23" s="114"/>
      <c r="E23" s="114"/>
      <c r="F23" s="119" t="s">
        <v>275</v>
      </c>
      <c r="G23" s="114"/>
      <c r="H23" s="120">
        <f>SUM(H18:H21)</f>
        <v>2.6101938201624108E-2</v>
      </c>
      <c r="I23" s="120"/>
      <c r="J23" s="116"/>
      <c r="K23" s="137"/>
      <c r="L23" s="114"/>
      <c r="M23" s="114"/>
      <c r="N23" s="117"/>
      <c r="O23" s="114"/>
      <c r="P23" s="117"/>
      <c r="Q23" s="114"/>
      <c r="R23" s="114"/>
      <c r="S23" s="114"/>
      <c r="T23" s="114"/>
      <c r="U23" s="114"/>
      <c r="V23" s="122">
        <f>100*(+AD17/$E$9)</f>
        <v>149.83877916562082</v>
      </c>
      <c r="W23" s="129">
        <f>EXP(5.7226-(0.68367*LN(+V23)))</f>
        <v>9.9514092666209528</v>
      </c>
      <c r="X23" s="123">
        <f>(+W23*V23)/100</f>
        <v>14.911070154879296</v>
      </c>
      <c r="Y23" s="122">
        <f>100*((((X23/100)-((X23/100)-0.03574)*$E$21)-0.03574-0.00619)/0.344)</f>
        <v>19.951936925059119</v>
      </c>
      <c r="Z23" s="114">
        <f>$E$20</f>
        <v>0.25</v>
      </c>
      <c r="AA23" s="122">
        <f>Y23+Z23</f>
        <v>20.201936925059119</v>
      </c>
      <c r="AB23" s="122">
        <f>100*($E$17*$E$19+($E$18*(AA23/100))/(1-$E$21))</f>
        <v>16.273717532518543</v>
      </c>
      <c r="AC23" s="123">
        <f>AB23/V23</f>
        <v>0.10860818289590285</v>
      </c>
      <c r="AD23" s="121">
        <f>$E$8/(1-AC23)</f>
        <v>105647.52837890013</v>
      </c>
      <c r="AE23" s="114" t="str">
        <f>IF(AD23=AD17,"yes","not yet")</f>
        <v>not yet</v>
      </c>
      <c r="AF23" s="122">
        <f>100*(1-AC23)</f>
        <v>89.139181710409716</v>
      </c>
      <c r="AG23" s="114"/>
      <c r="AH23" s="114"/>
      <c r="AI23" s="114">
        <v>4</v>
      </c>
      <c r="AJ23" s="122">
        <f>AF8</f>
        <v>90.205188516134896</v>
      </c>
      <c r="AK23" s="122">
        <f>AF14</f>
        <v>89.482442939532064</v>
      </c>
      <c r="AL23" s="122">
        <f>AF20</f>
        <v>89.532318925293637</v>
      </c>
      <c r="AM23" s="122">
        <f>AF26</f>
        <v>89.528870920794532</v>
      </c>
      <c r="AN23" s="122">
        <f>AF32</f>
        <v>89.529109257468278</v>
      </c>
      <c r="AO23" s="122">
        <f>AF38</f>
        <v>89.529092782764792</v>
      </c>
      <c r="AP23" s="122">
        <f>AF44</f>
        <v>89.529069247650625</v>
      </c>
      <c r="AQ23" s="122">
        <f>AF50</f>
        <v>89.529069247650625</v>
      </c>
      <c r="AR23" s="122">
        <f>AF56</f>
        <v>89.529069247650625</v>
      </c>
      <c r="AS23" s="112"/>
      <c r="AT23" s="112"/>
      <c r="AU23" s="112"/>
      <c r="AV23" s="112"/>
      <c r="AW23" s="112"/>
      <c r="AX23" s="112"/>
      <c r="AY23" s="112"/>
      <c r="AZ23" s="112"/>
      <c r="BA23" s="112"/>
      <c r="BB23" s="112"/>
      <c r="BC23" s="112"/>
      <c r="BD23" s="112"/>
      <c r="BE23" s="112"/>
      <c r="BF23" s="112"/>
      <c r="BG23" s="112"/>
      <c r="BH23" s="112"/>
      <c r="BI23" s="112"/>
      <c r="BJ23" s="112"/>
      <c r="BK23" s="113"/>
    </row>
    <row r="24" spans="1:63">
      <c r="A24" s="112"/>
      <c r="B24" s="116"/>
      <c r="C24" s="114"/>
      <c r="D24" s="114"/>
      <c r="E24" s="114"/>
      <c r="F24" s="114"/>
      <c r="G24" s="114"/>
      <c r="H24" s="114"/>
      <c r="I24" s="114"/>
      <c r="J24" s="116"/>
      <c r="K24" s="114"/>
      <c r="L24" s="114"/>
      <c r="M24" s="114"/>
      <c r="N24" s="114"/>
      <c r="O24" s="114"/>
      <c r="P24" s="114"/>
      <c r="Q24" s="114"/>
      <c r="R24" s="114"/>
      <c r="S24" s="114"/>
      <c r="T24" s="114"/>
      <c r="U24" s="114"/>
      <c r="V24" s="122">
        <f>100*(+AD18/$E$9)</f>
        <v>149.52896820669096</v>
      </c>
      <c r="W24" s="129">
        <f>EXP(5.70827-(0.68367*LN(+V24)))</f>
        <v>9.8237135724165174</v>
      </c>
      <c r="X24" s="123">
        <f>(+W24*V24)/100</f>
        <v>14.689297544415078</v>
      </c>
      <c r="Y24" s="122">
        <f>100*((((X24/100)-((X24/100)-0.03574)*$E$21)-0.03574-0.00619)/0.344)</f>
        <v>19.526442963121948</v>
      </c>
      <c r="Z24" s="114">
        <f>$E$20</f>
        <v>0.25</v>
      </c>
      <c r="AA24" s="122">
        <f>Y24+Z24</f>
        <v>19.776442963121948</v>
      </c>
      <c r="AB24" s="122">
        <f>100*($E$17*$E$19+($E$18*(AA24/100))/(1-$E$21))</f>
        <v>15.96363129792171</v>
      </c>
      <c r="AC24" s="123">
        <f>AB24/V24</f>
        <v>0.10675945597280853</v>
      </c>
      <c r="AD24" s="121">
        <f>$E$8/(1-AC24)</f>
        <v>105428.87123063425</v>
      </c>
      <c r="AE24" s="114" t="str">
        <f>IF(AD24=AD18,"yes","not yet")</f>
        <v>not yet</v>
      </c>
      <c r="AF24" s="122">
        <f>100*(1-AC24)</f>
        <v>89.324054402719142</v>
      </c>
      <c r="AG24" s="114"/>
      <c r="AH24" s="114"/>
      <c r="AI24" s="114"/>
      <c r="AJ24" s="114"/>
      <c r="AK24" s="114"/>
      <c r="AL24" s="114"/>
      <c r="AM24" s="114"/>
      <c r="AN24" s="114"/>
      <c r="AO24" s="114"/>
      <c r="AP24" s="114"/>
      <c r="AQ24" s="114"/>
      <c r="AR24" s="114"/>
      <c r="AS24" s="112"/>
      <c r="AT24" s="112"/>
      <c r="AU24" s="112"/>
      <c r="AV24" s="112"/>
      <c r="AW24" s="112"/>
      <c r="AX24" s="112"/>
      <c r="AY24" s="112"/>
      <c r="AZ24" s="112"/>
      <c r="BA24" s="112"/>
      <c r="BB24" s="112"/>
      <c r="BC24" s="112"/>
      <c r="BD24" s="112"/>
      <c r="BE24" s="112"/>
      <c r="BF24" s="112"/>
      <c r="BG24" s="112"/>
      <c r="BH24" s="112"/>
      <c r="BI24" s="112"/>
      <c r="BJ24" s="112"/>
      <c r="BK24" s="113"/>
    </row>
    <row r="25" spans="1:63">
      <c r="A25" s="112"/>
      <c r="B25" s="116"/>
      <c r="C25" s="114"/>
      <c r="D25" s="114"/>
      <c r="E25" s="114"/>
      <c r="F25" s="119" t="s">
        <v>276</v>
      </c>
      <c r="G25" s="114"/>
      <c r="H25" s="123">
        <f>((+H15/100)-H23)</f>
        <v>0.86838898332287751</v>
      </c>
      <c r="I25" s="123"/>
      <c r="J25" s="116"/>
      <c r="K25" s="114"/>
      <c r="L25" s="117"/>
      <c r="M25" s="114"/>
      <c r="N25" s="114"/>
      <c r="O25" s="114"/>
      <c r="P25" s="114"/>
      <c r="Q25" s="114"/>
      <c r="R25" s="114"/>
      <c r="S25" s="114"/>
      <c r="T25" s="114"/>
      <c r="U25" s="114"/>
      <c r="V25" s="122">
        <f>100*(+AD19/$E$9)</f>
        <v>149.32048938448077</v>
      </c>
      <c r="W25" s="129">
        <f>EXP(5.6985-(0.68367*LN(V25)))</f>
        <v>9.7374870200244139</v>
      </c>
      <c r="X25" s="123">
        <f>(+W25*V25)/100</f>
        <v>14.540063272050748</v>
      </c>
      <c r="Y25" s="122">
        <f>100*((((X25/100)-((X25/100)-0.03574)*$E$21)-0.03574-0.00619)/0.344)</f>
        <v>19.240121394050856</v>
      </c>
      <c r="Z25" s="114">
        <f>$E$20</f>
        <v>0.25</v>
      </c>
      <c r="AA25" s="122">
        <f>Y25+Z25</f>
        <v>19.490121394050856</v>
      </c>
      <c r="AB25" s="122">
        <f>100*($E$17*$E$19+($E$18*(AA25/100))/(1-$E$21))</f>
        <v>15.754969400975158</v>
      </c>
      <c r="AC25" s="123">
        <f>AB25/V25</f>
        <v>0.10551110209937879</v>
      </c>
      <c r="AD25" s="121">
        <f>$E$8/(1-AC25)</f>
        <v>105281.73408887543</v>
      </c>
      <c r="AE25" s="114" t="str">
        <f>IF(AD25=AD19,"yes","not yet")</f>
        <v>not yet</v>
      </c>
      <c r="AF25" s="122">
        <f>100*(1-AC25)</f>
        <v>89.448889790062125</v>
      </c>
      <c r="AG25" s="114"/>
      <c r="AH25" s="114"/>
      <c r="AI25" s="114"/>
      <c r="AJ25" s="114" t="s">
        <v>277</v>
      </c>
      <c r="AK25" s="114"/>
      <c r="AL25" s="114"/>
      <c r="AM25" s="114"/>
      <c r="AN25" s="114"/>
      <c r="AO25" s="114"/>
      <c r="AP25" s="114"/>
      <c r="AQ25" s="114"/>
      <c r="AR25" s="114"/>
      <c r="AS25" s="112"/>
      <c r="AT25" s="112"/>
      <c r="AU25" s="112"/>
      <c r="AV25" s="112"/>
      <c r="AW25" s="112"/>
      <c r="AX25" s="112"/>
      <c r="AY25" s="112"/>
      <c r="AZ25" s="112"/>
      <c r="BA25" s="112"/>
      <c r="BB25" s="112"/>
      <c r="BC25" s="112"/>
      <c r="BD25" s="112"/>
      <c r="BE25" s="112"/>
      <c r="BF25" s="112"/>
      <c r="BG25" s="112"/>
      <c r="BH25" s="112"/>
      <c r="BI25" s="112"/>
      <c r="BJ25" s="112"/>
      <c r="BK25" s="113"/>
    </row>
    <row r="26" spans="1:63">
      <c r="A26" s="112"/>
      <c r="B26" s="116"/>
      <c r="C26" s="114"/>
      <c r="D26" s="114"/>
      <c r="E26" s="114"/>
      <c r="F26" s="114"/>
      <c r="G26" s="114"/>
      <c r="H26" s="114"/>
      <c r="I26" s="114"/>
      <c r="J26" s="116"/>
      <c r="K26" s="114"/>
      <c r="L26" s="114"/>
      <c r="M26" s="114"/>
      <c r="N26" s="114"/>
      <c r="O26" s="114"/>
      <c r="P26" s="114"/>
      <c r="Q26" s="114"/>
      <c r="R26" s="114"/>
      <c r="S26" s="114"/>
      <c r="T26" s="114"/>
      <c r="U26" s="114"/>
      <c r="V26" s="122">
        <f>100*(+AD20/$E$9)</f>
        <v>149.18722267355079</v>
      </c>
      <c r="W26" s="129">
        <f>EXP(5.6922-(0.68367*LN(V26)))</f>
        <v>9.6822423071914656</v>
      </c>
      <c r="X26" s="123">
        <f>(+W26*V26)/100</f>
        <v>14.444668390622473</v>
      </c>
      <c r="Y26" s="122">
        <f>100*((((X26/100)-((X26/100)-0.03574)*$E$21)-0.03574-0.00619)/0.344)</f>
        <v>19.05709633084544</v>
      </c>
      <c r="Z26" s="114">
        <f>$E$20</f>
        <v>0.25</v>
      </c>
      <c r="AA26" s="122">
        <f>Y26+Z26</f>
        <v>19.30709633084544</v>
      </c>
      <c r="AB26" s="122">
        <f>100*($E$17*$E$19+($E$18*(AA26/100))/(1-$E$21))</f>
        <v>15.621586655829189</v>
      </c>
      <c r="AC26" s="123">
        <f>AB26/V26</f>
        <v>0.10471129079205467</v>
      </c>
      <c r="AD26" s="121">
        <f>$E$8/(1-AC26)</f>
        <v>105187.68004741045</v>
      </c>
      <c r="AE26" s="114" t="str">
        <f>IF(AD26=AD20,"yes","not yet")</f>
        <v>not yet</v>
      </c>
      <c r="AF26" s="122">
        <f>100*(1-AC26)</f>
        <v>89.528870920794532</v>
      </c>
      <c r="AG26" s="114"/>
      <c r="AH26" s="114"/>
      <c r="AI26" s="114"/>
      <c r="AJ26" s="122">
        <f>HLOOKUP($AJ$25,$AJ$19:$AR$23,($E$12)+1)</f>
        <v>89.449092152450163</v>
      </c>
      <c r="AK26" s="114"/>
      <c r="AL26" s="114"/>
      <c r="AM26" s="114"/>
      <c r="AN26" s="114"/>
      <c r="AO26" s="114"/>
      <c r="AP26" s="114"/>
      <c r="AQ26" s="114"/>
      <c r="AR26" s="114"/>
      <c r="AS26" s="112"/>
      <c r="AT26" s="112"/>
      <c r="AU26" s="112"/>
      <c r="AV26" s="112"/>
      <c r="AW26" s="112"/>
      <c r="AX26" s="112"/>
      <c r="AY26" s="112"/>
      <c r="AZ26" s="112"/>
      <c r="BA26" s="112"/>
      <c r="BB26" s="112"/>
      <c r="BC26" s="112"/>
      <c r="BD26" s="112"/>
      <c r="BE26" s="112"/>
      <c r="BF26" s="112"/>
      <c r="BG26" s="112"/>
      <c r="BH26" s="112"/>
      <c r="BI26" s="112"/>
      <c r="BJ26" s="112"/>
      <c r="BK26" s="113"/>
    </row>
    <row r="27" spans="1:63" ht="15.75">
      <c r="A27" s="112"/>
      <c r="B27" s="116"/>
      <c r="C27" s="114"/>
      <c r="D27" s="114"/>
      <c r="E27" s="138"/>
      <c r="F27" s="139"/>
      <c r="G27" s="139"/>
      <c r="H27" s="114"/>
      <c r="I27" s="114"/>
      <c r="J27" s="116"/>
      <c r="K27" s="114"/>
      <c r="L27" s="114"/>
      <c r="M27" s="114"/>
      <c r="N27" s="114"/>
      <c r="O27" s="114"/>
      <c r="P27" s="114"/>
      <c r="Q27" s="114"/>
      <c r="R27" s="114"/>
      <c r="S27" s="114"/>
      <c r="T27" s="114"/>
      <c r="U27" s="114"/>
      <c r="V27" s="114"/>
      <c r="W27" s="114"/>
      <c r="X27" s="114"/>
      <c r="Y27" s="114"/>
      <c r="Z27" s="114"/>
      <c r="AA27" s="122"/>
      <c r="AB27" s="114"/>
      <c r="AC27" s="114"/>
      <c r="AD27" s="114"/>
      <c r="AE27" s="114"/>
      <c r="AF27" s="114"/>
      <c r="AG27" s="114"/>
      <c r="AH27" s="114"/>
      <c r="AI27" s="114"/>
      <c r="AJ27" s="114"/>
      <c r="AK27" s="114"/>
      <c r="AL27" s="114"/>
      <c r="AM27" s="114"/>
      <c r="AN27" s="114"/>
      <c r="AO27" s="114"/>
      <c r="AP27" s="114"/>
      <c r="AQ27" s="114"/>
      <c r="AR27" s="114"/>
      <c r="AS27" s="112"/>
      <c r="AT27" s="112"/>
      <c r="AU27" s="112"/>
      <c r="AV27" s="112"/>
      <c r="AW27" s="112"/>
      <c r="AX27" s="112"/>
      <c r="AY27" s="112"/>
      <c r="AZ27" s="112"/>
      <c r="BA27" s="112"/>
      <c r="BB27" s="112"/>
      <c r="BC27" s="112"/>
      <c r="BD27" s="112"/>
      <c r="BE27" s="112"/>
      <c r="BF27" s="112"/>
      <c r="BG27" s="112"/>
      <c r="BH27" s="112"/>
      <c r="BI27" s="112"/>
      <c r="BJ27" s="112"/>
      <c r="BK27" s="113"/>
    </row>
    <row r="28" spans="1:63" ht="15.75" thickBot="1">
      <c r="A28" s="112"/>
      <c r="B28" s="116"/>
      <c r="C28" s="154"/>
      <c r="D28" s="155"/>
      <c r="E28" s="156"/>
      <c r="F28" s="157"/>
      <c r="G28" s="158"/>
      <c r="H28" s="154"/>
      <c r="I28" s="154"/>
      <c r="J28" s="114"/>
      <c r="K28" s="114"/>
      <c r="L28" s="114"/>
      <c r="M28" s="114"/>
      <c r="N28" s="114"/>
      <c r="O28" s="114"/>
      <c r="P28" s="114"/>
      <c r="Q28" s="114"/>
      <c r="R28" s="114"/>
      <c r="S28" s="114"/>
      <c r="T28" s="114"/>
      <c r="U28" s="114"/>
      <c r="V28" s="119" t="s">
        <v>278</v>
      </c>
      <c r="W28" s="128" t="s">
        <v>227</v>
      </c>
      <c r="X28" s="128" t="s">
        <v>228</v>
      </c>
      <c r="Y28" s="128" t="s">
        <v>229</v>
      </c>
      <c r="Z28" s="114"/>
      <c r="AA28" s="122"/>
      <c r="AB28" s="114"/>
      <c r="AC28" s="114"/>
      <c r="AD28" s="114"/>
      <c r="AE28" s="114"/>
      <c r="AF28" s="114"/>
      <c r="AG28" s="114"/>
      <c r="AH28" s="114"/>
      <c r="AI28" s="114"/>
      <c r="AJ28" s="114" t="str">
        <f>HLOOKUP(1,$AJ$13:$AR$17,($E$12)+1)</f>
        <v>not yet</v>
      </c>
      <c r="AK28" s="114" t="str">
        <f>HLOOKUP(2,$AJ$13:$AR$17,($E$12)+1)</f>
        <v>not yet</v>
      </c>
      <c r="AL28" s="114" t="str">
        <f>HLOOKUP(3,$AJ$13:$AR$17,($E$12)+1)</f>
        <v>not yet</v>
      </c>
      <c r="AM28" s="114" t="str">
        <f>HLOOKUP(4,$AJ$13:$AR$17,($E$12)+1)</f>
        <v>not yet</v>
      </c>
      <c r="AN28" s="114" t="str">
        <f>HLOOKUP(5,$AJ$13:$AR$17,($E$12)+1)</f>
        <v>not yet</v>
      </c>
      <c r="AO28" s="114" t="str">
        <f>HLOOKUP(6,$AJ$13:$AR$17,($E$12)+1)</f>
        <v>not yet</v>
      </c>
      <c r="AP28" s="114" t="str">
        <f>HLOOKUP(7,$AJ$13:$AR$17,($E$12)+1)</f>
        <v>yes</v>
      </c>
      <c r="AQ28" s="114" t="str">
        <f>HLOOKUP(8,$AJ$13:$AR$17,($E$12)+1)</f>
        <v>yes</v>
      </c>
      <c r="AR28" s="114" t="str">
        <f>HLOOKUP(9,$AJ$13:$AR$17,($E$12)+1)</f>
        <v>yes</v>
      </c>
      <c r="AS28" s="112"/>
      <c r="AT28" s="112"/>
      <c r="AU28" s="112"/>
      <c r="AV28" s="112"/>
      <c r="AW28" s="112"/>
      <c r="AX28" s="112"/>
      <c r="AY28" s="112"/>
      <c r="AZ28" s="112"/>
      <c r="BA28" s="112"/>
      <c r="BB28" s="112"/>
      <c r="BC28" s="112"/>
      <c r="BD28" s="112"/>
      <c r="BE28" s="112"/>
      <c r="BF28" s="112"/>
      <c r="BG28" s="112"/>
      <c r="BH28" s="112"/>
      <c r="BI28" s="112"/>
      <c r="BJ28" s="112"/>
      <c r="BK28" s="113"/>
    </row>
    <row r="29" spans="1:63">
      <c r="A29" s="112"/>
      <c r="B29" s="114"/>
      <c r="C29" s="600" t="s">
        <v>1378</v>
      </c>
      <c r="D29" s="601"/>
      <c r="E29" s="602">
        <f>E5</f>
        <v>105292.82249867741</v>
      </c>
      <c r="F29" s="140"/>
      <c r="G29" s="141"/>
      <c r="H29" s="114"/>
      <c r="I29" s="118"/>
      <c r="J29" s="114"/>
      <c r="K29" s="114"/>
      <c r="L29" s="114"/>
      <c r="M29" s="114"/>
      <c r="N29" s="114"/>
      <c r="O29" s="114"/>
      <c r="P29" s="114"/>
      <c r="Q29" s="114"/>
      <c r="R29" s="114"/>
      <c r="S29" s="114"/>
      <c r="T29" s="114"/>
      <c r="U29" s="114"/>
      <c r="V29" s="122">
        <f>100*(+AD23/$E$9)</f>
        <v>149.84519426463734</v>
      </c>
      <c r="W29" s="129">
        <f>EXP(5.7226-(0.68367*LN(+V29)))</f>
        <v>9.9511179973984909</v>
      </c>
      <c r="X29" s="123">
        <f>(+W29*V29)/100</f>
        <v>14.911272094705057</v>
      </c>
      <c r="Y29" s="122">
        <f>100*((((X29/100)-((X29/100)-0.03574)*$E$21)-0.03574-0.00619)/0.344)</f>
        <v>19.952324367748073</v>
      </c>
      <c r="Z29" s="114">
        <f>$E$20</f>
        <v>0.25</v>
      </c>
      <c r="AA29" s="122">
        <f>Y29+Z29</f>
        <v>20.202324367748073</v>
      </c>
      <c r="AB29" s="122">
        <f>100*($E$17*$E$19+($E$18*(AA29/100))/(1-$E$21))</f>
        <v>16.273999888216359</v>
      </c>
      <c r="AC29" s="123">
        <f>AB29/V29</f>
        <v>0.10860541753161139</v>
      </c>
      <c r="AD29" s="121">
        <f>$E$8/(1-AC29)</f>
        <v>105647.20062965393</v>
      </c>
      <c r="AE29" s="114" t="str">
        <f>IF(AD29=AD23,"yes","not yet")</f>
        <v>not yet</v>
      </c>
      <c r="AF29" s="122">
        <f>100*(1-AC29)</f>
        <v>89.139458246838871</v>
      </c>
      <c r="AG29" s="114"/>
      <c r="AH29" s="114"/>
      <c r="AI29" s="114">
        <v>1</v>
      </c>
      <c r="AJ29" s="122">
        <f>V5</f>
        <v>166.96347499983938</v>
      </c>
      <c r="AK29" s="122">
        <f>V11</f>
        <v>148.71225803872233</v>
      </c>
      <c r="AL29" s="122">
        <f>V17</f>
        <v>149.92734809479035</v>
      </c>
      <c r="AM29" s="122">
        <f>V23</f>
        <v>149.83877916562082</v>
      </c>
      <c r="AN29" s="122">
        <f>V29</f>
        <v>149.84519426463734</v>
      </c>
      <c r="AO29" s="122">
        <f>V35</f>
        <v>149.84472940142456</v>
      </c>
      <c r="AP29" s="122">
        <f>V41</f>
        <v>149.84444483831237</v>
      </c>
      <c r="AQ29" s="122">
        <f>V47</f>
        <v>149.84444483831237</v>
      </c>
      <c r="AR29" s="122">
        <f>V53</f>
        <v>149.84444483831237</v>
      </c>
      <c r="AS29" s="112"/>
      <c r="AT29" s="112"/>
      <c r="AU29" s="112"/>
      <c r="AV29" s="112"/>
      <c r="AW29" s="112"/>
      <c r="AX29" s="112"/>
      <c r="AY29" s="112"/>
      <c r="AZ29" s="112"/>
      <c r="BA29" s="112"/>
      <c r="BB29" s="112"/>
      <c r="BC29" s="112"/>
      <c r="BD29" s="112"/>
      <c r="BE29" s="112"/>
      <c r="BF29" s="112"/>
      <c r="BG29" s="112"/>
      <c r="BH29" s="112"/>
      <c r="BI29" s="112"/>
      <c r="BJ29" s="112"/>
      <c r="BK29" s="113"/>
    </row>
    <row r="30" spans="1:63">
      <c r="A30" s="112"/>
      <c r="B30" s="114"/>
      <c r="C30" s="603" t="s">
        <v>1379</v>
      </c>
      <c r="D30" s="604"/>
      <c r="E30" s="605">
        <f>-'Consolidated IS'!L11</f>
        <v>-7126.7</v>
      </c>
      <c r="F30" s="140"/>
      <c r="G30" s="141"/>
      <c r="H30" s="114"/>
      <c r="I30" s="118"/>
      <c r="J30" s="114"/>
      <c r="K30" s="114"/>
      <c r="L30" s="114"/>
      <c r="M30" s="114"/>
      <c r="N30" s="114"/>
      <c r="O30" s="114"/>
      <c r="P30" s="114"/>
      <c r="Q30" s="114"/>
      <c r="R30" s="114"/>
      <c r="S30" s="114"/>
      <c r="T30" s="114"/>
      <c r="U30" s="114"/>
      <c r="V30" s="122">
        <f>100*(+AD24/$E$9)</f>
        <v>149.53506185205742</v>
      </c>
      <c r="W30" s="129">
        <f>EXP(5.70827-(0.68367*LN(+V30)))</f>
        <v>9.8234398822745419</v>
      </c>
      <c r="X30" s="123">
        <f>(+W30*V30)/100</f>
        <v>14.689486903958914</v>
      </c>
      <c r="Y30" s="122">
        <f>100*((((X30/100)-((X30/100)-0.03574)*$E$21)-0.03574-0.00619)/0.344)</f>
        <v>19.526806269223503</v>
      </c>
      <c r="Z30" s="114">
        <f>$E$20</f>
        <v>0.25</v>
      </c>
      <c r="AA30" s="122">
        <f>Y30+Z30</f>
        <v>19.776806269223503</v>
      </c>
      <c r="AB30" s="122">
        <f>100*($E$17*$E$19+($E$18*(AA30/100))/(1-$E$21))</f>
        <v>15.963896063655453</v>
      </c>
      <c r="AC30" s="123">
        <f>AB30/V30</f>
        <v>0.10675687605258317</v>
      </c>
      <c r="AD30" s="121">
        <f>$E$8/(1-AC30)</f>
        <v>105428.56672442543</v>
      </c>
      <c r="AE30" s="114" t="str">
        <f>IF(AD30=AD24,"yes","not yet")</f>
        <v>not yet</v>
      </c>
      <c r="AF30" s="122">
        <f>100*(1-AC30)</f>
        <v>89.324312394741682</v>
      </c>
      <c r="AG30" s="114"/>
      <c r="AH30" s="114"/>
      <c r="AI30" s="114">
        <v>2</v>
      </c>
      <c r="AJ30" s="122">
        <f>V6</f>
        <v>166.96347499983938</v>
      </c>
      <c r="AK30" s="122">
        <f>V12</f>
        <v>148.4084769337843</v>
      </c>
      <c r="AL30" s="122">
        <f>V18</f>
        <v>149.6149821347401</v>
      </c>
      <c r="AM30" s="122">
        <f>V24</f>
        <v>149.52896820669096</v>
      </c>
      <c r="AN30" s="122">
        <f>V30</f>
        <v>149.53506185205742</v>
      </c>
      <c r="AO30" s="122">
        <f>V36</f>
        <v>149.53462995561162</v>
      </c>
      <c r="AP30" s="122">
        <f>V42</f>
        <v>149.53524449211463</v>
      </c>
      <c r="AQ30" s="122">
        <f>V48</f>
        <v>149.53524449211463</v>
      </c>
      <c r="AR30" s="122">
        <f>V54</f>
        <v>149.53524449211463</v>
      </c>
      <c r="AS30" s="112"/>
      <c r="AT30" s="112"/>
      <c r="AU30" s="112"/>
      <c r="AV30" s="112"/>
      <c r="AW30" s="112"/>
      <c r="AX30" s="112"/>
      <c r="AY30" s="112"/>
      <c r="AZ30" s="112"/>
      <c r="BA30" s="112"/>
      <c r="BB30" s="112"/>
      <c r="BC30" s="112"/>
      <c r="BD30" s="112"/>
      <c r="BE30" s="112"/>
      <c r="BF30" s="112"/>
      <c r="BG30" s="112"/>
      <c r="BH30" s="112"/>
      <c r="BI30" s="112"/>
      <c r="BJ30" s="112"/>
      <c r="BK30" s="113"/>
    </row>
    <row r="31" spans="1:63">
      <c r="A31" s="112"/>
      <c r="B31" s="114"/>
      <c r="C31" s="603"/>
      <c r="D31" s="606"/>
      <c r="E31" s="607">
        <f>SUM(E29:E30)</f>
        <v>98166.122498677418</v>
      </c>
      <c r="F31" s="143"/>
      <c r="G31" s="142"/>
      <c r="H31" s="144"/>
      <c r="I31" s="142"/>
      <c r="J31" s="114"/>
      <c r="K31" s="114"/>
      <c r="L31" s="114"/>
      <c r="M31" s="114"/>
      <c r="N31" s="114"/>
      <c r="O31" s="114"/>
      <c r="P31" s="114"/>
      <c r="Q31" s="114"/>
      <c r="R31" s="114"/>
      <c r="S31" s="114"/>
      <c r="T31" s="114"/>
      <c r="U31" s="114"/>
      <c r="V31" s="122">
        <f>100*(+AD25/$E$9)</f>
        <v>149.32636985586305</v>
      </c>
      <c r="W31" s="129">
        <f>EXP(5.6985-(0.68367*LN(V31)))</f>
        <v>9.737224856810041</v>
      </c>
      <c r="X31" s="123">
        <f>(+W31*V31)/100</f>
        <v>14.540244403377194</v>
      </c>
      <c r="Y31" s="122">
        <f>100*((((X31/100)-((X31/100)-0.03574)*$E$21)-0.03574-0.00619)/0.344)</f>
        <v>19.240468913456244</v>
      </c>
      <c r="Z31" s="114">
        <f>$E$20</f>
        <v>0.25</v>
      </c>
      <c r="AA31" s="122">
        <f>Y31+Z31</f>
        <v>19.490468913456244</v>
      </c>
      <c r="AB31" s="122">
        <f>100*($E$17*$E$19+($E$18*(AA31/100))/(1-$E$21))</f>
        <v>15.755222661875445</v>
      </c>
      <c r="AC31" s="123">
        <f>AB31/V31</f>
        <v>0.10550864309554393</v>
      </c>
      <c r="AD31" s="121">
        <f>$E$8/(1-AC31)</f>
        <v>105281.44466384538</v>
      </c>
      <c r="AE31" s="114" t="str">
        <f>IF(AD31=AD25,"yes","not yet")</f>
        <v>not yet</v>
      </c>
      <c r="AF31" s="122">
        <f>100*(1-AC31)</f>
        <v>89.449135690445601</v>
      </c>
      <c r="AG31" s="114"/>
      <c r="AH31" s="114"/>
      <c r="AI31" s="114">
        <v>3</v>
      </c>
      <c r="AJ31" s="122">
        <f>V7</f>
        <v>166.96347499983938</v>
      </c>
      <c r="AK31" s="122">
        <f>V13</f>
        <v>148.20454340069134</v>
      </c>
      <c r="AL31" s="122">
        <f>V19</f>
        <v>149.40476362097462</v>
      </c>
      <c r="AM31" s="122">
        <f>V25</f>
        <v>149.32048938448077</v>
      </c>
      <c r="AN31" s="122">
        <f>V31</f>
        <v>149.32636985586305</v>
      </c>
      <c r="AO31" s="122">
        <f>V37</f>
        <v>149.32595934981038</v>
      </c>
      <c r="AP31" s="122">
        <f>V43</f>
        <v>149.32532866075104</v>
      </c>
      <c r="AQ31" s="122">
        <f>V49</f>
        <v>149.32532866075104</v>
      </c>
      <c r="AR31" s="122">
        <f>V55</f>
        <v>149.32532866075104</v>
      </c>
      <c r="AS31" s="112"/>
      <c r="AT31" s="112"/>
      <c r="AU31" s="112"/>
      <c r="AV31" s="112"/>
      <c r="AW31" s="112"/>
      <c r="AX31" s="112"/>
      <c r="AY31" s="112"/>
      <c r="AZ31" s="112"/>
      <c r="BA31" s="112"/>
      <c r="BB31" s="112"/>
      <c r="BC31" s="112"/>
      <c r="BD31" s="112"/>
      <c r="BE31" s="112"/>
      <c r="BF31" s="112"/>
      <c r="BG31" s="112"/>
      <c r="BH31" s="112"/>
      <c r="BI31" s="112"/>
      <c r="BJ31" s="112"/>
      <c r="BK31" s="113"/>
    </row>
    <row r="32" spans="1:63">
      <c r="A32" s="112"/>
      <c r="B32" s="114"/>
      <c r="C32" s="603"/>
      <c r="D32" s="608"/>
      <c r="E32" s="609"/>
      <c r="F32" s="143"/>
      <c r="G32" s="121"/>
      <c r="H32" s="114"/>
      <c r="I32" s="114"/>
      <c r="J32" s="114"/>
      <c r="K32" s="114"/>
      <c r="L32" s="114"/>
      <c r="M32" s="114"/>
      <c r="N32" s="114"/>
      <c r="O32" s="114"/>
      <c r="P32" s="114"/>
      <c r="Q32" s="114"/>
      <c r="R32" s="114"/>
      <c r="S32" s="114"/>
      <c r="T32" s="114"/>
      <c r="U32" s="114"/>
      <c r="V32" s="122">
        <f>100*(+AD26/$E$9)</f>
        <v>149.19296828621964</v>
      </c>
      <c r="W32" s="129">
        <f>EXP(5.6922-(0.68367*LN(V32)))</f>
        <v>9.6819873817932631</v>
      </c>
      <c r="X32" s="123">
        <f>(+W32*V32)/100</f>
        <v>14.44484436399461</v>
      </c>
      <c r="Y32" s="122">
        <f>100*((((X32/100)-((X32/100)-0.03574)*$E$21)-0.03574-0.00619)/0.344)</f>
        <v>19.057433954175711</v>
      </c>
      <c r="Z32" s="114">
        <f>$E$20</f>
        <v>0.25</v>
      </c>
      <c r="AA32" s="122">
        <f>Y32+Z32</f>
        <v>19.307433954175711</v>
      </c>
      <c r="AB32" s="122">
        <f>100*($E$17*$E$19+($E$18*(AA32/100))/(1-$E$21))</f>
        <v>15.621832704790069</v>
      </c>
      <c r="AC32" s="123">
        <f>AB32/V32</f>
        <v>0.10470890742531729</v>
      </c>
      <c r="AD32" s="121">
        <f>$E$8/(1-AC32)</f>
        <v>105187.40002583993</v>
      </c>
      <c r="AE32" s="114" t="str">
        <f>IF(AD32=AD26,"yes","not yet")</f>
        <v>not yet</v>
      </c>
      <c r="AF32" s="122">
        <f>100*(1-AC32)</f>
        <v>89.529109257468278</v>
      </c>
      <c r="AG32" s="114"/>
      <c r="AH32" s="114"/>
      <c r="AI32" s="114">
        <v>4</v>
      </c>
      <c r="AJ32" s="122">
        <f>V8</f>
        <v>166.96347499983938</v>
      </c>
      <c r="AK32" s="122">
        <f>V14</f>
        <v>148.07438706918711</v>
      </c>
      <c r="AL32" s="122">
        <f>V20</f>
        <v>149.27037708406354</v>
      </c>
      <c r="AM32" s="122">
        <f>V26</f>
        <v>149.18722267355079</v>
      </c>
      <c r="AN32" s="122">
        <f>V32</f>
        <v>149.19296828621964</v>
      </c>
      <c r="AO32" s="122">
        <f>V38</f>
        <v>149.19257111756573</v>
      </c>
      <c r="AP32" s="122">
        <f>V44</f>
        <v>149.1920037408309</v>
      </c>
      <c r="AQ32" s="122">
        <f>V50</f>
        <v>149.1920037408309</v>
      </c>
      <c r="AR32" s="122">
        <f>V56</f>
        <v>149.1920037408309</v>
      </c>
      <c r="AS32" s="112"/>
      <c r="AT32" s="112"/>
      <c r="AU32" s="112"/>
      <c r="AV32" s="112"/>
      <c r="AW32" s="112"/>
      <c r="AX32" s="112"/>
      <c r="AY32" s="112"/>
      <c r="AZ32" s="112"/>
      <c r="BA32" s="112"/>
      <c r="BB32" s="112"/>
      <c r="BC32" s="112"/>
      <c r="BD32" s="112"/>
      <c r="BE32" s="112"/>
      <c r="BF32" s="112"/>
      <c r="BG32" s="112"/>
      <c r="BH32" s="112"/>
      <c r="BI32" s="112"/>
      <c r="BJ32" s="112"/>
      <c r="BK32" s="113"/>
    </row>
    <row r="33" spans="1:63">
      <c r="A33" s="112"/>
      <c r="B33" s="114"/>
      <c r="C33" s="603" t="s">
        <v>19</v>
      </c>
      <c r="D33" s="606"/>
      <c r="E33" s="610">
        <f>E7</f>
        <v>104904.66999999998</v>
      </c>
      <c r="F33" s="143"/>
      <c r="G33" s="120"/>
      <c r="H33" s="114"/>
      <c r="I33" s="120"/>
      <c r="J33" s="114"/>
      <c r="K33" s="114"/>
      <c r="L33" s="114"/>
      <c r="M33" s="114"/>
      <c r="N33" s="114"/>
      <c r="O33" s="114"/>
      <c r="P33" s="114"/>
      <c r="Q33" s="114"/>
      <c r="R33" s="114"/>
      <c r="S33" s="114"/>
      <c r="T33" s="114"/>
      <c r="U33" s="114"/>
      <c r="V33" s="114"/>
      <c r="W33" s="114"/>
      <c r="X33" s="114"/>
      <c r="Y33" s="114"/>
      <c r="Z33" s="114"/>
      <c r="AA33" s="122"/>
      <c r="AB33" s="114"/>
      <c r="AC33" s="114"/>
      <c r="AD33" s="114"/>
      <c r="AE33" s="114"/>
      <c r="AF33" s="114"/>
      <c r="AG33" s="114"/>
      <c r="AH33" s="114"/>
      <c r="AI33" s="114"/>
      <c r="AJ33" s="114"/>
      <c r="AK33" s="114"/>
      <c r="AL33" s="114"/>
      <c r="AM33" s="114"/>
      <c r="AN33" s="114"/>
      <c r="AO33" s="114"/>
      <c r="AP33" s="114"/>
      <c r="AQ33" s="114"/>
      <c r="AR33" s="114"/>
      <c r="AS33" s="112"/>
      <c r="AT33" s="112"/>
      <c r="AU33" s="112"/>
      <c r="AV33" s="112"/>
      <c r="AW33" s="112"/>
      <c r="AX33" s="112"/>
      <c r="AY33" s="112"/>
      <c r="AZ33" s="112"/>
      <c r="BA33" s="112"/>
      <c r="BB33" s="112"/>
      <c r="BC33" s="112"/>
      <c r="BD33" s="112"/>
      <c r="BE33" s="112"/>
      <c r="BF33" s="112"/>
      <c r="BG33" s="112"/>
      <c r="BH33" s="112"/>
      <c r="BI33" s="112"/>
      <c r="BJ33" s="112"/>
      <c r="BK33" s="113"/>
    </row>
    <row r="34" spans="1:63">
      <c r="A34" s="112"/>
      <c r="B34" s="114"/>
      <c r="C34" s="603" t="s">
        <v>1379</v>
      </c>
      <c r="D34" s="606"/>
      <c r="E34" s="605">
        <f>E30</f>
        <v>-7126.7</v>
      </c>
      <c r="F34" s="143"/>
      <c r="G34" s="114"/>
      <c r="H34" s="114"/>
      <c r="I34" s="114"/>
      <c r="J34" s="114"/>
      <c r="K34" s="114"/>
      <c r="L34" s="114"/>
      <c r="M34" s="114"/>
      <c r="N34" s="114"/>
      <c r="O34" s="114"/>
      <c r="P34" s="114"/>
      <c r="Q34" s="114"/>
      <c r="R34" s="114"/>
      <c r="S34" s="114"/>
      <c r="T34" s="114"/>
      <c r="U34" s="114"/>
      <c r="V34" s="119" t="s">
        <v>279</v>
      </c>
      <c r="W34" s="128" t="s">
        <v>227</v>
      </c>
      <c r="X34" s="128" t="s">
        <v>228</v>
      </c>
      <c r="Y34" s="128" t="s">
        <v>229</v>
      </c>
      <c r="Z34" s="114"/>
      <c r="AA34" s="122"/>
      <c r="AB34" s="114"/>
      <c r="AC34" s="114"/>
      <c r="AD34" s="114"/>
      <c r="AE34" s="114"/>
      <c r="AF34" s="114"/>
      <c r="AG34" s="114"/>
      <c r="AH34" s="114"/>
      <c r="AI34" s="114"/>
      <c r="AJ34" s="114" t="s">
        <v>277</v>
      </c>
      <c r="AK34" s="114"/>
      <c r="AL34" s="114"/>
      <c r="AM34" s="114"/>
      <c r="AN34" s="114"/>
      <c r="AO34" s="114"/>
      <c r="AP34" s="114"/>
      <c r="AQ34" s="114"/>
      <c r="AR34" s="114"/>
      <c r="AS34" s="112"/>
      <c r="AT34" s="112"/>
      <c r="AU34" s="112"/>
      <c r="AV34" s="112"/>
      <c r="AW34" s="112"/>
      <c r="AX34" s="112"/>
      <c r="AY34" s="112"/>
      <c r="AZ34" s="112"/>
      <c r="BA34" s="112"/>
      <c r="BB34" s="112"/>
      <c r="BC34" s="112"/>
      <c r="BD34" s="112"/>
      <c r="BE34" s="112"/>
      <c r="BF34" s="112"/>
      <c r="BG34" s="112"/>
      <c r="BH34" s="112"/>
      <c r="BI34" s="112"/>
      <c r="BJ34" s="112"/>
      <c r="BK34" s="113"/>
    </row>
    <row r="35" spans="1:63">
      <c r="A35" s="112"/>
      <c r="B35" s="114"/>
      <c r="C35" s="603"/>
      <c r="D35" s="606"/>
      <c r="E35" s="611">
        <f>E33+E34</f>
        <v>97777.969999999987</v>
      </c>
      <c r="F35" s="143"/>
      <c r="G35" s="143"/>
      <c r="H35" s="114"/>
      <c r="I35" s="114"/>
      <c r="J35" s="114"/>
      <c r="K35" s="114"/>
      <c r="L35" s="114"/>
      <c r="M35" s="114"/>
      <c r="N35" s="114"/>
      <c r="O35" s="114"/>
      <c r="P35" s="114"/>
      <c r="Q35" s="114"/>
      <c r="R35" s="114"/>
      <c r="S35" s="114"/>
      <c r="T35" s="114"/>
      <c r="U35" s="114"/>
      <c r="V35" s="122">
        <f>100*(+AD29/$E$9)</f>
        <v>149.84472940142456</v>
      </c>
      <c r="W35" s="129">
        <f>EXP(5.7226-(0.68367*LN(+V35)))</f>
        <v>9.9511391032021432</v>
      </c>
      <c r="X35" s="123">
        <f>(+W35*V35)/100</f>
        <v>14.911257461552598</v>
      </c>
      <c r="Y35" s="122">
        <f>100*((((X35/100)-((X35/100)-0.03574)*$E$21)-0.03574-0.00619)/0.344)</f>
        <v>19.952296292513712</v>
      </c>
      <c r="Z35" s="114">
        <f>$E$20</f>
        <v>0.25</v>
      </c>
      <c r="AA35" s="122">
        <f>Y35+Z35</f>
        <v>20.202296292513712</v>
      </c>
      <c r="AB35" s="122">
        <f>100*($E$17*$E$19+($E$18*(AA35/100))/(1-$E$21))</f>
        <v>16.273979427893799</v>
      </c>
      <c r="AC35" s="123">
        <f>AB35/V35</f>
        <v>0.10860561791464041</v>
      </c>
      <c r="AD35" s="121">
        <f>ROUND($E$8/(1-AC35),0)</f>
        <v>105647</v>
      </c>
      <c r="AE35" s="114" t="str">
        <f>IF(AD35=AD29,"yes","not yet")</f>
        <v>not yet</v>
      </c>
      <c r="AF35" s="122">
        <f>100*(1-AC35)</f>
        <v>89.139438208535964</v>
      </c>
      <c r="AG35" s="114"/>
      <c r="AH35" s="114"/>
      <c r="AI35" s="114"/>
      <c r="AJ35" s="122">
        <f>HLOOKUP($AJ$34,$AJ$28:$AR$32,($E$12)+1)</f>
        <v>149.32532866075104</v>
      </c>
      <c r="AK35" s="114"/>
      <c r="AL35" s="114"/>
      <c r="AM35" s="114"/>
      <c r="AN35" s="114"/>
      <c r="AO35" s="114"/>
      <c r="AP35" s="114"/>
      <c r="AQ35" s="114"/>
      <c r="AR35" s="114"/>
      <c r="AS35" s="112"/>
      <c r="AT35" s="112"/>
      <c r="AU35" s="112"/>
      <c r="AV35" s="112"/>
      <c r="AW35" s="112"/>
      <c r="AX35" s="112"/>
      <c r="AY35" s="112"/>
      <c r="AZ35" s="112"/>
      <c r="BA35" s="112"/>
      <c r="BB35" s="112"/>
      <c r="BC35" s="112"/>
      <c r="BD35" s="112"/>
      <c r="BE35" s="112"/>
      <c r="BF35" s="112"/>
      <c r="BG35" s="112"/>
      <c r="BH35" s="112"/>
      <c r="BI35" s="112"/>
      <c r="BJ35" s="112"/>
      <c r="BK35" s="113"/>
    </row>
    <row r="36" spans="1:63" ht="15.75">
      <c r="A36" s="112"/>
      <c r="B36" s="114"/>
      <c r="C36" s="603"/>
      <c r="D36" s="606"/>
      <c r="E36" s="612"/>
      <c r="F36" s="114"/>
      <c r="G36" s="114"/>
      <c r="H36" s="114"/>
      <c r="I36" s="114"/>
      <c r="J36" s="114"/>
      <c r="K36" s="114"/>
      <c r="L36" s="114"/>
      <c r="M36" s="114"/>
      <c r="N36" s="114"/>
      <c r="O36" s="114"/>
      <c r="P36" s="114"/>
      <c r="Q36" s="114"/>
      <c r="R36" s="114"/>
      <c r="S36" s="114"/>
      <c r="T36" s="114"/>
      <c r="U36" s="114"/>
      <c r="V36" s="122">
        <f>100*(+AD30/$E$9)</f>
        <v>149.53462995561162</v>
      </c>
      <c r="W36" s="129">
        <f>EXP(5.70827-(0.68367*LN(+V36)))</f>
        <v>9.8234592798641192</v>
      </c>
      <c r="X36" s="123">
        <f>(+W36*V36)/100</f>
        <v>14.689473482985001</v>
      </c>
      <c r="Y36" s="122">
        <f>100*((((X36/100)-((X36/100)-0.03574)*$E$21)-0.03574-0.00619)/0.344)</f>
        <v>19.526780519680525</v>
      </c>
      <c r="Z36" s="114">
        <f>$E$20</f>
        <v>0.25</v>
      </c>
      <c r="AA36" s="122">
        <f>Y36+Z36</f>
        <v>19.776780519680525</v>
      </c>
      <c r="AB36" s="122">
        <f>100*($E$17*$E$19+($E$18*(AA36/100))/(1-$E$21))</f>
        <v>15.963877298221538</v>
      </c>
      <c r="AC36" s="123">
        <f>AB36/V36</f>
        <v>0.10675705890308025</v>
      </c>
      <c r="AD36" s="121">
        <f>ROUND($E$8/(1-AC36),0)</f>
        <v>105429</v>
      </c>
      <c r="AE36" s="114" t="str">
        <f>IF(AD36=AD30,"yes","not yet")</f>
        <v>not yet</v>
      </c>
      <c r="AF36" s="122">
        <f>100*(1-AC36)</f>
        <v>89.324294109691976</v>
      </c>
      <c r="AG36" s="114"/>
      <c r="AH36" s="114"/>
      <c r="AI36" s="114"/>
      <c r="AJ36" s="114"/>
      <c r="AK36" s="114"/>
      <c r="AL36" s="114"/>
      <c r="AM36" s="114"/>
      <c r="AN36" s="114"/>
      <c r="AO36" s="114"/>
      <c r="AP36" s="114"/>
      <c r="AQ36" s="114"/>
      <c r="AR36" s="114"/>
      <c r="AS36" s="112"/>
      <c r="AT36" s="112"/>
      <c r="AU36" s="112"/>
      <c r="AV36" s="112"/>
      <c r="AW36" s="112"/>
      <c r="AX36" s="112"/>
      <c r="AY36" s="112"/>
      <c r="AZ36" s="112"/>
      <c r="BA36" s="112"/>
      <c r="BB36" s="112"/>
      <c r="BC36" s="112"/>
      <c r="BD36" s="112"/>
      <c r="BE36" s="112"/>
      <c r="BF36" s="112"/>
      <c r="BG36" s="112"/>
      <c r="BH36" s="112"/>
      <c r="BI36" s="112"/>
      <c r="BJ36" s="112"/>
      <c r="BK36" s="113"/>
    </row>
    <row r="37" spans="1:63">
      <c r="A37" s="112"/>
      <c r="B37" s="114"/>
      <c r="C37" s="603" t="s">
        <v>241</v>
      </c>
      <c r="D37" s="606"/>
      <c r="E37" s="613">
        <f>E6</f>
        <v>388.15249867742563</v>
      </c>
      <c r="F37" s="114"/>
      <c r="G37" s="143"/>
      <c r="H37" s="114"/>
      <c r="I37" s="114"/>
      <c r="J37" s="114"/>
      <c r="K37" s="114"/>
      <c r="L37" s="114"/>
      <c r="M37" s="114"/>
      <c r="N37" s="114"/>
      <c r="O37" s="114"/>
      <c r="P37" s="114"/>
      <c r="Q37" s="114"/>
      <c r="R37" s="114"/>
      <c r="S37" s="114"/>
      <c r="T37" s="114"/>
      <c r="U37" s="114"/>
      <c r="V37" s="122">
        <f>100*(+AD31/$E$9)</f>
        <v>149.32595934981038</v>
      </c>
      <c r="W37" s="129">
        <f>EXP(5.6985-(0.68367*LN(V37)))</f>
        <v>9.7372431574292566</v>
      </c>
      <c r="X37" s="123">
        <f>(+W37*V37)/100</f>
        <v>14.540231759055004</v>
      </c>
      <c r="Y37" s="122">
        <f>100*((((X37/100)-((X37/100)-0.03574)*$E$21)-0.03574-0.00619)/0.344)</f>
        <v>19.240444654000882</v>
      </c>
      <c r="Z37" s="114">
        <f>$E$20</f>
        <v>0.25</v>
      </c>
      <c r="AA37" s="122">
        <f>Y37+Z37</f>
        <v>19.490444654000882</v>
      </c>
      <c r="AB37" s="122">
        <f>100*($E$17*$E$19+($E$18*(AA37/100))/(1-$E$21))</f>
        <v>15.755204982369179</v>
      </c>
      <c r="AC37" s="123">
        <f>AB37/V37</f>
        <v>0.10550881474975896</v>
      </c>
      <c r="AD37" s="121">
        <f>ROUND($E$8/(1-AC37),0)</f>
        <v>105281</v>
      </c>
      <c r="AE37" s="114" t="str">
        <f>IF(AD37=AD31,"yes","not yet")</f>
        <v>not yet</v>
      </c>
      <c r="AF37" s="122">
        <f>100*(1-AC37)</f>
        <v>89.449118525024105</v>
      </c>
      <c r="AG37" s="114"/>
      <c r="AH37" s="114"/>
      <c r="AI37" s="114"/>
      <c r="AJ37" s="114" t="str">
        <f>HLOOKUP(1,$AJ$13:$AR$17,($E$12)+1)</f>
        <v>not yet</v>
      </c>
      <c r="AK37" s="114" t="str">
        <f>HLOOKUP(2,$AJ$13:$AR$17,($E$12)+1)</f>
        <v>not yet</v>
      </c>
      <c r="AL37" s="114" t="str">
        <f>HLOOKUP(3,$AJ$13:$AR$17,($E$12)+1)</f>
        <v>not yet</v>
      </c>
      <c r="AM37" s="114" t="str">
        <f>HLOOKUP(4,$AJ$13:$AR$17,($E$12)+1)</f>
        <v>not yet</v>
      </c>
      <c r="AN37" s="114" t="str">
        <f>HLOOKUP(5,$AJ$13:$AR$17,($E$12)+1)</f>
        <v>not yet</v>
      </c>
      <c r="AO37" s="114" t="str">
        <f>HLOOKUP(6,$AJ$13:$AR$17,($E$12)+1)</f>
        <v>not yet</v>
      </c>
      <c r="AP37" s="114" t="str">
        <f>HLOOKUP(7,$AJ$13:$AR$17,($E$12)+1)</f>
        <v>yes</v>
      </c>
      <c r="AQ37" s="114" t="str">
        <f>HLOOKUP(8,$AJ$13:$AR$17,($E$12)+1)</f>
        <v>yes</v>
      </c>
      <c r="AR37" s="114" t="str">
        <f>HLOOKUP(9,$AJ$13:$AR$17,($E$12)+1)</f>
        <v>yes</v>
      </c>
      <c r="AS37" s="112"/>
      <c r="AT37" s="112"/>
      <c r="AU37" s="112"/>
      <c r="AV37" s="112"/>
      <c r="AW37" s="112"/>
      <c r="AX37" s="112"/>
      <c r="AY37" s="112"/>
      <c r="AZ37" s="112"/>
      <c r="BA37" s="112"/>
      <c r="BB37" s="112"/>
      <c r="BC37" s="112"/>
      <c r="BD37" s="112"/>
      <c r="BE37" s="112"/>
      <c r="BF37" s="112"/>
      <c r="BG37" s="112"/>
      <c r="BH37" s="112"/>
      <c r="BI37" s="112"/>
      <c r="BJ37" s="112"/>
      <c r="BK37" s="113"/>
    </row>
    <row r="38" spans="1:63">
      <c r="A38" s="112"/>
      <c r="B38" s="114"/>
      <c r="C38" s="603"/>
      <c r="D38" s="606"/>
      <c r="E38" s="611"/>
      <c r="F38" s="114"/>
      <c r="G38" s="114"/>
      <c r="H38" s="114"/>
      <c r="I38" s="114"/>
      <c r="J38" s="114"/>
      <c r="K38" s="114"/>
      <c r="L38" s="114"/>
      <c r="M38" s="114"/>
      <c r="N38" s="114"/>
      <c r="O38" s="114"/>
      <c r="P38" s="114"/>
      <c r="Q38" s="114"/>
      <c r="R38" s="114"/>
      <c r="S38" s="114"/>
      <c r="T38" s="114"/>
      <c r="U38" s="114"/>
      <c r="V38" s="122">
        <f>100*(+AD32/$E$9)</f>
        <v>149.19257111756573</v>
      </c>
      <c r="W38" s="129">
        <f>EXP(5.6922-(0.68367*LN(V38)))</f>
        <v>9.6820050031206026</v>
      </c>
      <c r="X38" s="123">
        <f>(+W38*V38)/100</f>
        <v>14.444832199886978</v>
      </c>
      <c r="Y38" s="122">
        <f>100*((((X38/100)-((X38/100)-0.03574)*$E$21)-0.03574-0.00619)/0.344)</f>
        <v>19.057410616062224</v>
      </c>
      <c r="Z38" s="114">
        <f>$E$20</f>
        <v>0.25</v>
      </c>
      <c r="AA38" s="122">
        <f>Y38+Z38</f>
        <v>19.307410616062224</v>
      </c>
      <c r="AB38" s="122">
        <f>100*($E$17*$E$19+($E$18*(AA38/100))/(1-$E$21))</f>
        <v>15.621815696727955</v>
      </c>
      <c r="AC38" s="123">
        <f>AB38/V38</f>
        <v>0.10470907217235204</v>
      </c>
      <c r="AD38" s="121">
        <f>ROUND($E$8/(1-AC38),0)</f>
        <v>105187</v>
      </c>
      <c r="AE38" s="114" t="str">
        <f>IF(AD38=AD32,"yes","not yet")</f>
        <v>not yet</v>
      </c>
      <c r="AF38" s="122">
        <f>100*(1-AC38)</f>
        <v>89.529092782764792</v>
      </c>
      <c r="AG38" s="114"/>
      <c r="AH38" s="114"/>
      <c r="AI38" s="114">
        <v>1</v>
      </c>
      <c r="AJ38" s="121">
        <f>AD5</f>
        <v>104848.75793673663</v>
      </c>
      <c r="AK38" s="121">
        <f>AD11</f>
        <v>105705.45048407755</v>
      </c>
      <c r="AL38" s="121">
        <f>AD17</f>
        <v>105643.00544869389</v>
      </c>
      <c r="AM38" s="121">
        <f>AD23</f>
        <v>105647.52837890013</v>
      </c>
      <c r="AN38" s="121">
        <f>AD29</f>
        <v>105647.20062965393</v>
      </c>
      <c r="AO38" s="121">
        <f>AD35</f>
        <v>105647</v>
      </c>
      <c r="AP38" s="121">
        <f>AD41</f>
        <v>105647</v>
      </c>
      <c r="AQ38" s="121">
        <f>AD47</f>
        <v>105647</v>
      </c>
      <c r="AR38" s="121">
        <f>AD53</f>
        <v>105647</v>
      </c>
      <c r="AS38" s="112"/>
      <c r="AT38" s="112"/>
      <c r="AU38" s="112"/>
      <c r="AV38" s="112"/>
      <c r="AW38" s="112"/>
      <c r="AX38" s="112"/>
      <c r="AY38" s="112"/>
      <c r="AZ38" s="112"/>
      <c r="BA38" s="112"/>
      <c r="BB38" s="112"/>
      <c r="BC38" s="112"/>
      <c r="BD38" s="112"/>
      <c r="BE38" s="112"/>
      <c r="BF38" s="112"/>
      <c r="BG38" s="112"/>
      <c r="BH38" s="112"/>
      <c r="BI38" s="112"/>
      <c r="BJ38" s="112"/>
      <c r="BK38" s="113"/>
    </row>
    <row r="39" spans="1:63" ht="16.5" thickBot="1">
      <c r="A39" s="112"/>
      <c r="B39" s="114"/>
      <c r="C39" s="614" t="s">
        <v>1380</v>
      </c>
      <c r="D39" s="615"/>
      <c r="E39" s="616">
        <f>E37/E35</f>
        <v>3.9697336596109089E-3</v>
      </c>
      <c r="F39" s="114"/>
      <c r="G39" s="114"/>
      <c r="H39" s="114"/>
      <c r="I39" s="114"/>
      <c r="J39" s="114"/>
      <c r="K39" s="114"/>
      <c r="L39" s="114"/>
      <c r="M39" s="114"/>
      <c r="N39" s="114"/>
      <c r="O39" s="114"/>
      <c r="P39" s="114"/>
      <c r="Q39" s="114"/>
      <c r="R39" s="114"/>
      <c r="S39" s="114"/>
      <c r="T39" s="114"/>
      <c r="U39" s="114"/>
      <c r="V39" s="114"/>
      <c r="W39" s="114"/>
      <c r="X39" s="114"/>
      <c r="Y39" s="114"/>
      <c r="Z39" s="114"/>
      <c r="AA39" s="122"/>
      <c r="AB39" s="114"/>
      <c r="AC39" s="114"/>
      <c r="AD39" s="114"/>
      <c r="AE39" s="114"/>
      <c r="AF39" s="114"/>
      <c r="AG39" s="114"/>
      <c r="AH39" s="114"/>
      <c r="AI39" s="114">
        <v>2</v>
      </c>
      <c r="AJ39" s="121">
        <f>AD6</f>
        <v>104634.57874291988</v>
      </c>
      <c r="AK39" s="121">
        <f>AD12</f>
        <v>105485.21858547737</v>
      </c>
      <c r="AL39" s="121">
        <f>AD18</f>
        <v>105424.57493955233</v>
      </c>
      <c r="AM39" s="121">
        <f>AD24</f>
        <v>105428.87123063425</v>
      </c>
      <c r="AN39" s="121">
        <f>AD30</f>
        <v>105428.56672442543</v>
      </c>
      <c r="AO39" s="121">
        <f>AD36</f>
        <v>105429</v>
      </c>
      <c r="AP39" s="121">
        <f>AD42</f>
        <v>105429</v>
      </c>
      <c r="AQ39" s="121">
        <f>AD48</f>
        <v>105429</v>
      </c>
      <c r="AR39" s="121">
        <f>AD54</f>
        <v>105429</v>
      </c>
      <c r="AS39" s="112"/>
      <c r="AT39" s="112"/>
      <c r="AU39" s="112"/>
      <c r="AV39" s="112"/>
      <c r="AW39" s="112"/>
      <c r="AX39" s="112"/>
      <c r="AY39" s="112"/>
      <c r="AZ39" s="112"/>
      <c r="BA39" s="112"/>
      <c r="BB39" s="112"/>
      <c r="BC39" s="112"/>
      <c r="BD39" s="112"/>
      <c r="BE39" s="112"/>
      <c r="BF39" s="112"/>
      <c r="BG39" s="112"/>
      <c r="BH39" s="112"/>
      <c r="BI39" s="112"/>
      <c r="BJ39" s="112"/>
      <c r="BK39" s="113"/>
    </row>
    <row r="40" spans="1:63">
      <c r="A40" s="112"/>
      <c r="B40" s="114"/>
      <c r="C40" s="114"/>
      <c r="D40" s="114"/>
      <c r="E40" s="118"/>
      <c r="F40" s="114"/>
      <c r="G40" s="114"/>
      <c r="H40" s="114"/>
      <c r="I40" s="114"/>
      <c r="J40" s="114"/>
      <c r="K40" s="114"/>
      <c r="L40" s="114"/>
      <c r="M40" s="114"/>
      <c r="N40" s="114"/>
      <c r="O40" s="114"/>
      <c r="P40" s="114"/>
      <c r="Q40" s="114"/>
      <c r="R40" s="114"/>
      <c r="S40" s="114"/>
      <c r="T40" s="114"/>
      <c r="U40" s="114"/>
      <c r="V40" s="119" t="s">
        <v>280</v>
      </c>
      <c r="W40" s="128" t="s">
        <v>227</v>
      </c>
      <c r="X40" s="128" t="s">
        <v>228</v>
      </c>
      <c r="Y40" s="128" t="s">
        <v>229</v>
      </c>
      <c r="Z40" s="114"/>
      <c r="AA40" s="122"/>
      <c r="AB40" s="114"/>
      <c r="AC40" s="114"/>
      <c r="AD40" s="114"/>
      <c r="AE40" s="114"/>
      <c r="AF40" s="114"/>
      <c r="AG40" s="114"/>
      <c r="AH40" s="114"/>
      <c r="AI40" s="114">
        <v>3</v>
      </c>
      <c r="AJ40" s="121">
        <f>AD7</f>
        <v>104490.79652934553</v>
      </c>
      <c r="AK40" s="121">
        <f>AD13</f>
        <v>105337.0051809181</v>
      </c>
      <c r="AL40" s="121">
        <f>AD19</f>
        <v>105277.5880949362</v>
      </c>
      <c r="AM40" s="121">
        <f>AD25</f>
        <v>105281.73408887543</v>
      </c>
      <c r="AN40" s="121">
        <f>AD31</f>
        <v>105281.44466384538</v>
      </c>
      <c r="AO40" s="121">
        <f>AD37</f>
        <v>105281</v>
      </c>
      <c r="AP40" s="121">
        <f>AD43</f>
        <v>105281</v>
      </c>
      <c r="AQ40" s="121">
        <f>AD49</f>
        <v>105281</v>
      </c>
      <c r="AR40" s="121">
        <f>AD55</f>
        <v>105281</v>
      </c>
      <c r="AS40" s="112"/>
      <c r="AT40" s="112"/>
      <c r="AU40" s="112"/>
      <c r="AV40" s="112"/>
      <c r="AW40" s="112"/>
      <c r="AX40" s="112"/>
      <c r="AY40" s="112"/>
      <c r="AZ40" s="112"/>
      <c r="BA40" s="112"/>
      <c r="BB40" s="112"/>
      <c r="BC40" s="112"/>
      <c r="BD40" s="112"/>
      <c r="BE40" s="112"/>
      <c r="BF40" s="112"/>
      <c r="BG40" s="112"/>
      <c r="BH40" s="112"/>
      <c r="BI40" s="112"/>
      <c r="BJ40" s="112"/>
      <c r="BK40" s="113"/>
    </row>
    <row r="41" spans="1:63">
      <c r="A41" s="112"/>
      <c r="B41" s="114"/>
      <c r="C41" s="114"/>
      <c r="D41" s="114"/>
      <c r="E41" s="118"/>
      <c r="F41" s="114"/>
      <c r="G41" s="114"/>
      <c r="H41" s="114"/>
      <c r="I41" s="114"/>
      <c r="J41" s="114"/>
      <c r="K41" s="114"/>
      <c r="L41" s="114"/>
      <c r="M41" s="114"/>
      <c r="N41" s="114"/>
      <c r="O41" s="114"/>
      <c r="P41" s="114"/>
      <c r="Q41" s="114"/>
      <c r="R41" s="114"/>
      <c r="S41" s="114"/>
      <c r="T41" s="114"/>
      <c r="U41" s="114"/>
      <c r="V41" s="122">
        <f>100*(+AD35/$E$9)</f>
        <v>149.84444483831237</v>
      </c>
      <c r="W41" s="129">
        <f>EXP(5.7226-(0.68367*LN(+V41)))</f>
        <v>9.9511520230424217</v>
      </c>
      <c r="X41" s="123">
        <f>(+W41*V41)/100</f>
        <v>14.911248503944407</v>
      </c>
      <c r="Y41" s="122">
        <f>100*((((X41/100)-((X41/100)-0.03574)*$E$21)-0.03574-0.00619)/0.344)</f>
        <v>19.952279106404966</v>
      </c>
      <c r="Z41" s="114">
        <f>$E$20</f>
        <v>0.25</v>
      </c>
      <c r="AA41" s="122">
        <f>Y41+Z41</f>
        <v>20.202279106404966</v>
      </c>
      <c r="AB41" s="122">
        <f>100*($E$17*$E$19+($E$18*(AA41/100))/(1-$E$21))</f>
        <v>16.273966903213722</v>
      </c>
      <c r="AC41" s="123">
        <f>AB41/V41</f>
        <v>0.1086057405783306</v>
      </c>
      <c r="AD41" s="121">
        <f>ROUND($E$8/(1-AC41),0)</f>
        <v>105647</v>
      </c>
      <c r="AE41" s="114" t="str">
        <f>IF(OR(OR(AD41=AD35,AD41=(AD35+1)),AD41=(AD27-1)),"yes","not yet")</f>
        <v>yes</v>
      </c>
      <c r="AF41" s="122">
        <f>100*(1-AC41)</f>
        <v>89.139425942166937</v>
      </c>
      <c r="AG41" s="114"/>
      <c r="AH41" s="114"/>
      <c r="AI41" s="114">
        <v>4</v>
      </c>
      <c r="AJ41" s="121">
        <f>AD8</f>
        <v>104399.03052514521</v>
      </c>
      <c r="AK41" s="121">
        <f>AD14</f>
        <v>105242.25669370948</v>
      </c>
      <c r="AL41" s="121">
        <f>AD20</f>
        <v>105183.62913486392</v>
      </c>
      <c r="AM41" s="121">
        <f>AD26</f>
        <v>105187.68004741045</v>
      </c>
      <c r="AN41" s="121">
        <f>AD32</f>
        <v>105187.40002583993</v>
      </c>
      <c r="AO41" s="121">
        <f>AD38</f>
        <v>105187</v>
      </c>
      <c r="AP41" s="121">
        <f>AD44</f>
        <v>105187</v>
      </c>
      <c r="AQ41" s="121">
        <f>AD50</f>
        <v>105187</v>
      </c>
      <c r="AR41" s="121">
        <f>AD56</f>
        <v>105187</v>
      </c>
      <c r="AS41" s="112"/>
      <c r="AT41" s="112"/>
      <c r="AU41" s="112"/>
      <c r="AV41" s="112"/>
      <c r="AW41" s="112"/>
      <c r="AX41" s="112"/>
      <c r="AY41" s="112"/>
      <c r="AZ41" s="112"/>
      <c r="BA41" s="112"/>
      <c r="BB41" s="112"/>
      <c r="BC41" s="112"/>
      <c r="BD41" s="112"/>
      <c r="BE41" s="112"/>
      <c r="BF41" s="112"/>
      <c r="BG41" s="112"/>
      <c r="BH41" s="112"/>
      <c r="BI41" s="112"/>
      <c r="BJ41" s="112"/>
      <c r="BK41" s="113"/>
    </row>
    <row r="42" spans="1:63">
      <c r="A42" s="112"/>
      <c r="B42" s="114"/>
      <c r="C42" s="114"/>
      <c r="D42" s="114"/>
      <c r="E42" s="117"/>
      <c r="F42" s="114"/>
      <c r="G42" s="114"/>
      <c r="H42" s="114"/>
      <c r="I42" s="114"/>
      <c r="J42" s="114"/>
      <c r="K42" s="114"/>
      <c r="L42" s="114"/>
      <c r="M42" s="114"/>
      <c r="N42" s="114"/>
      <c r="O42" s="114"/>
      <c r="P42" s="114"/>
      <c r="Q42" s="114"/>
      <c r="R42" s="114"/>
      <c r="S42" s="114"/>
      <c r="T42" s="114"/>
      <c r="U42" s="114"/>
      <c r="V42" s="122">
        <f>100*(+AD36/$E$9)</f>
        <v>149.53524449211463</v>
      </c>
      <c r="W42" s="129">
        <f>EXP(5.70827-(0.68367*LN(+V42)))</f>
        <v>9.8234316794642371</v>
      </c>
      <c r="X42" s="123">
        <f>(+W42*V42)/100</f>
        <v>14.689492579402689</v>
      </c>
      <c r="Y42" s="122">
        <f>100*((((X42/100)-((X42/100)-0.03574)*$E$21)-0.03574-0.00619)/0.344)</f>
        <v>19.526817158156323</v>
      </c>
      <c r="Z42" s="114">
        <f>$E$20</f>
        <v>0.25</v>
      </c>
      <c r="AA42" s="122">
        <f>Y42+Z42</f>
        <v>19.776817158156323</v>
      </c>
      <c r="AB42" s="122">
        <f>100*($E$17*$E$19+($E$18*(AA42/100))/(1-$E$21))</f>
        <v>15.963903999157436</v>
      </c>
      <c r="AC42" s="123">
        <f>AB42/V42</f>
        <v>0.1067567987291401</v>
      </c>
      <c r="AD42" s="121">
        <f>ROUND($E$8/(1-AC42),0)</f>
        <v>105429</v>
      </c>
      <c r="AE42" s="114" t="str">
        <f>IF(OR(OR(AD42=AD36,AD42=(AD36+5)),AD42=(AD28-5)),"yes","not yet")</f>
        <v>yes</v>
      </c>
      <c r="AF42" s="122">
        <f>100*(1-AC42)</f>
        <v>89.324320127085983</v>
      </c>
      <c r="AG42" s="114"/>
      <c r="AH42" s="114"/>
      <c r="AI42" s="114"/>
      <c r="AJ42" s="114"/>
      <c r="AK42" s="114"/>
      <c r="AL42" s="114"/>
      <c r="AM42" s="114"/>
      <c r="AN42" s="114"/>
      <c r="AO42" s="114"/>
      <c r="AP42" s="114"/>
      <c r="AQ42" s="114"/>
      <c r="AR42" s="114"/>
      <c r="AS42" s="112"/>
      <c r="AT42" s="112"/>
      <c r="AU42" s="112"/>
      <c r="AV42" s="112"/>
      <c r="AW42" s="112"/>
      <c r="AX42" s="112"/>
      <c r="AY42" s="112"/>
      <c r="AZ42" s="112"/>
      <c r="BA42" s="112"/>
      <c r="BB42" s="112"/>
      <c r="BC42" s="112"/>
      <c r="BD42" s="112"/>
      <c r="BE42" s="112"/>
      <c r="BF42" s="112"/>
      <c r="BG42" s="112"/>
      <c r="BH42" s="112"/>
      <c r="BI42" s="112"/>
      <c r="BJ42" s="112"/>
      <c r="BK42" s="113"/>
    </row>
    <row r="43" spans="1:63">
      <c r="A43" s="112"/>
      <c r="B43" s="114"/>
      <c r="C43" s="114"/>
      <c r="D43" s="114"/>
      <c r="E43" s="118"/>
      <c r="F43" s="114"/>
      <c r="G43" s="114"/>
      <c r="H43" s="114"/>
      <c r="I43" s="114"/>
      <c r="J43" s="114"/>
      <c r="K43" s="114"/>
      <c r="L43" s="114"/>
      <c r="M43" s="114"/>
      <c r="N43" s="114"/>
      <c r="O43" s="114"/>
      <c r="P43" s="114"/>
      <c r="Q43" s="114"/>
      <c r="R43" s="114"/>
      <c r="S43" s="114"/>
      <c r="T43" s="114"/>
      <c r="U43" s="114"/>
      <c r="V43" s="122">
        <f>100*(+AD37/$E$9)</f>
        <v>149.32532866075104</v>
      </c>
      <c r="W43" s="129">
        <f>EXP(5.6985-(0.68367*LN(V43)))</f>
        <v>9.7372712741110821</v>
      </c>
      <c r="X43" s="123">
        <f>(+W43*V43)/100</f>
        <v>14.540212332655274</v>
      </c>
      <c r="Y43" s="122">
        <f>100*((((X43/100)-((X43/100)-0.03574)*$E$21)-0.03574-0.00619)/0.344)</f>
        <v>19.240407382420003</v>
      </c>
      <c r="Z43" s="114">
        <f>$E$20</f>
        <v>0.25</v>
      </c>
      <c r="AA43" s="122">
        <f>Y43+Z43</f>
        <v>19.490407382420003</v>
      </c>
      <c r="AB43" s="122">
        <f>100*($E$17*$E$19+($E$18*(AA43/100))/(1-$E$21))</f>
        <v>15.75517782004678</v>
      </c>
      <c r="AC43" s="123">
        <f>AB43/V43</f>
        <v>0.10550907847549845</v>
      </c>
      <c r="AD43" s="121">
        <f>ROUND($E$8/(1-AC43),0)</f>
        <v>105281</v>
      </c>
      <c r="AE43" s="114" t="str">
        <f>IF(OR(OR(AD43=AD37,AD43=(AD37+5)),AD43=(AD29-5)),"yes","not yet")</f>
        <v>yes</v>
      </c>
      <c r="AF43" s="122">
        <f>100*(1-AC43)</f>
        <v>89.449092152450163</v>
      </c>
      <c r="AG43" s="114"/>
      <c r="AH43" s="114"/>
      <c r="AI43" s="114"/>
      <c r="AJ43" s="114" t="s">
        <v>277</v>
      </c>
      <c r="AK43" s="114"/>
      <c r="AL43" s="114"/>
      <c r="AM43" s="114"/>
      <c r="AN43" s="114"/>
      <c r="AO43" s="114"/>
      <c r="AP43" s="114"/>
      <c r="AQ43" s="114"/>
      <c r="AR43" s="114"/>
      <c r="AS43" s="112"/>
      <c r="AT43" s="112"/>
      <c r="AU43" s="112"/>
      <c r="AV43" s="112"/>
      <c r="AW43" s="112"/>
      <c r="AX43" s="112"/>
      <c r="AY43" s="112"/>
      <c r="AZ43" s="112"/>
      <c r="BA43" s="112"/>
      <c r="BB43" s="112"/>
      <c r="BC43" s="112"/>
      <c r="BD43" s="112"/>
      <c r="BE43" s="112"/>
      <c r="BF43" s="112"/>
      <c r="BG43" s="112"/>
      <c r="BH43" s="112"/>
      <c r="BI43" s="112"/>
      <c r="BJ43" s="112"/>
      <c r="BK43" s="113"/>
    </row>
    <row r="44" spans="1:63">
      <c r="A44" s="112"/>
      <c r="B44" s="114"/>
      <c r="C44" s="114"/>
      <c r="D44" s="114"/>
      <c r="E44" s="143"/>
      <c r="F44" s="114"/>
      <c r="G44" s="114"/>
      <c r="H44" s="114"/>
      <c r="I44" s="114"/>
      <c r="J44" s="114"/>
      <c r="K44" s="114"/>
      <c r="L44" s="114"/>
      <c r="M44" s="114"/>
      <c r="N44" s="114"/>
      <c r="O44" s="114"/>
      <c r="P44" s="114"/>
      <c r="Q44" s="114"/>
      <c r="R44" s="114"/>
      <c r="S44" s="114"/>
      <c r="T44" s="114"/>
      <c r="U44" s="114"/>
      <c r="V44" s="122">
        <f>100*(+AD38/$E$9)</f>
        <v>149.1920037408309</v>
      </c>
      <c r="W44" s="129">
        <f>EXP(5.6922-(0.68367*LN(V44)))</f>
        <v>9.6820301762693202</v>
      </c>
      <c r="X44" s="123">
        <f>(+W44*V44)/100</f>
        <v>14.444814822768102</v>
      </c>
      <c r="Y44" s="122">
        <f>100*((((X44/100)-((X44/100)-0.03574)*$E$21)-0.03574-0.00619)/0.344)</f>
        <v>19.057377276241123</v>
      </c>
      <c r="Z44" s="114">
        <f>$E$20</f>
        <v>0.25</v>
      </c>
      <c r="AA44" s="122">
        <f>Y44+Z44</f>
        <v>19.307377276241123</v>
      </c>
      <c r="AB44" s="122">
        <f>100*($E$17*$E$19+($E$18*(AA44/100))/(1-$E$21))</f>
        <v>15.621791399744891</v>
      </c>
      <c r="AC44" s="123">
        <f>AB44/V44</f>
        <v>0.10470930752349374</v>
      </c>
      <c r="AD44" s="121">
        <f>ROUND($E$8/(1-AC44),0)</f>
        <v>105187</v>
      </c>
      <c r="AE44" s="114" t="str">
        <f>IF(OR(OR(AD44=AD38,AD44=(AD38+5)),AD44=(AD30-5)),"yes","not yet")</f>
        <v>yes</v>
      </c>
      <c r="AF44" s="122">
        <f>100*(1-AC44)</f>
        <v>89.529069247650625</v>
      </c>
      <c r="AG44" s="114"/>
      <c r="AH44" s="114"/>
      <c r="AI44" s="114"/>
      <c r="AJ44" s="121">
        <f>HLOOKUP($AJ$34,$AJ$37:$AR$41,($E$12)+1)</f>
        <v>105281</v>
      </c>
      <c r="AK44" s="114"/>
      <c r="AL44" s="114"/>
      <c r="AM44" s="114"/>
      <c r="AN44" s="114"/>
      <c r="AO44" s="114"/>
      <c r="AP44" s="114"/>
      <c r="AQ44" s="114"/>
      <c r="AR44" s="114"/>
      <c r="AS44" s="112"/>
      <c r="AT44" s="112"/>
      <c r="AU44" s="112"/>
      <c r="AV44" s="112"/>
      <c r="AW44" s="112"/>
      <c r="AX44" s="112"/>
      <c r="AY44" s="112"/>
      <c r="AZ44" s="112"/>
      <c r="BA44" s="112"/>
      <c r="BB44" s="112"/>
      <c r="BC44" s="112"/>
      <c r="BD44" s="112"/>
      <c r="BE44" s="112"/>
      <c r="BF44" s="112"/>
      <c r="BG44" s="112"/>
      <c r="BH44" s="112"/>
      <c r="BI44" s="112"/>
      <c r="BJ44" s="112"/>
      <c r="BK44" s="113"/>
    </row>
    <row r="45" spans="1:63">
      <c r="A45" s="11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22"/>
      <c r="AB45" s="114"/>
      <c r="AC45" s="114"/>
      <c r="AD45" s="114"/>
      <c r="AE45" s="114"/>
      <c r="AF45" s="114"/>
      <c r="AG45" s="114"/>
      <c r="AH45" s="114"/>
      <c r="AI45" s="114"/>
      <c r="AJ45" s="114"/>
      <c r="AK45" s="114"/>
      <c r="AL45" s="114"/>
      <c r="AM45" s="114"/>
      <c r="AN45" s="114"/>
      <c r="AO45" s="114"/>
      <c r="AP45" s="114"/>
      <c r="AQ45" s="114"/>
      <c r="AR45" s="114"/>
      <c r="AS45" s="112"/>
      <c r="AT45" s="112"/>
      <c r="AU45" s="112"/>
      <c r="AV45" s="112"/>
      <c r="AW45" s="112"/>
      <c r="AX45" s="112"/>
      <c r="AY45" s="112"/>
      <c r="AZ45" s="112"/>
      <c r="BA45" s="112"/>
      <c r="BB45" s="112"/>
      <c r="BC45" s="112"/>
      <c r="BD45" s="112"/>
      <c r="BE45" s="112"/>
      <c r="BF45" s="112"/>
      <c r="BG45" s="112"/>
      <c r="BH45" s="112"/>
      <c r="BI45" s="112"/>
      <c r="BJ45" s="112"/>
      <c r="BK45" s="113"/>
    </row>
    <row r="46" spans="1:63">
      <c r="A46" s="112"/>
      <c r="B46" s="114"/>
      <c r="C46" s="114"/>
      <c r="D46" s="121"/>
      <c r="E46" s="121"/>
      <c r="F46" s="121"/>
      <c r="G46" s="114"/>
      <c r="H46" s="114"/>
      <c r="I46" s="114"/>
      <c r="J46" s="114"/>
      <c r="K46" s="114"/>
      <c r="L46" s="114"/>
      <c r="M46" s="114"/>
      <c r="N46" s="114"/>
      <c r="O46" s="114"/>
      <c r="P46" s="114"/>
      <c r="Q46" s="114"/>
      <c r="R46" s="114"/>
      <c r="S46" s="114"/>
      <c r="T46" s="114"/>
      <c r="U46" s="114"/>
      <c r="V46" s="119" t="s">
        <v>281</v>
      </c>
      <c r="W46" s="128" t="s">
        <v>227</v>
      </c>
      <c r="X46" s="128" t="s">
        <v>228</v>
      </c>
      <c r="Y46" s="128" t="s">
        <v>229</v>
      </c>
      <c r="Z46" s="114"/>
      <c r="AA46" s="122"/>
      <c r="AB46" s="114"/>
      <c r="AC46" s="114"/>
      <c r="AD46" s="114"/>
      <c r="AE46" s="114"/>
      <c r="AF46" s="114"/>
      <c r="AG46" s="114"/>
      <c r="AH46" s="114"/>
      <c r="AI46" s="114"/>
      <c r="AJ46" s="114"/>
      <c r="AK46" s="114"/>
      <c r="AL46" s="114"/>
      <c r="AM46" s="114"/>
      <c r="AN46" s="114"/>
      <c r="AO46" s="114"/>
      <c r="AP46" s="114"/>
      <c r="AQ46" s="114"/>
      <c r="AR46" s="114"/>
      <c r="AS46" s="112"/>
      <c r="AT46" s="112"/>
      <c r="AU46" s="112"/>
      <c r="AV46" s="112"/>
      <c r="AW46" s="112"/>
      <c r="AX46" s="112"/>
      <c r="AY46" s="112"/>
      <c r="AZ46" s="112"/>
      <c r="BA46" s="112"/>
      <c r="BB46" s="112"/>
      <c r="BC46" s="112"/>
      <c r="BD46" s="112"/>
      <c r="BE46" s="112"/>
      <c r="BF46" s="112"/>
      <c r="BG46" s="112"/>
      <c r="BH46" s="112"/>
      <c r="BI46" s="112"/>
      <c r="BJ46" s="112"/>
      <c r="BK46" s="113"/>
    </row>
    <row r="47" spans="1:63">
      <c r="A47" s="112"/>
      <c r="B47" s="114"/>
      <c r="C47" s="114"/>
      <c r="D47" s="121"/>
      <c r="E47" s="121"/>
      <c r="F47" s="121"/>
      <c r="G47" s="114"/>
      <c r="H47" s="114"/>
      <c r="I47" s="114"/>
      <c r="J47" s="114"/>
      <c r="K47" s="114"/>
      <c r="L47" s="114"/>
      <c r="M47" s="114"/>
      <c r="N47" s="114"/>
      <c r="O47" s="114"/>
      <c r="P47" s="114"/>
      <c r="Q47" s="114"/>
      <c r="R47" s="114"/>
      <c r="S47" s="114"/>
      <c r="T47" s="114"/>
      <c r="U47" s="114"/>
      <c r="V47" s="122">
        <f>100*(+AD41/$E$9)</f>
        <v>149.84444483831237</v>
      </c>
      <c r="W47" s="129">
        <f>EXP(5.7226-(0.68367*LN(+V47)))</f>
        <v>9.9511520230424217</v>
      </c>
      <c r="X47" s="123">
        <f>(+W47*V47)/100</f>
        <v>14.911248503944407</v>
      </c>
      <c r="Y47" s="122">
        <f>100*((((X47/100)-((X47/100)-0.03574)*$E$21)-0.03574-0.00619)/0.344)</f>
        <v>19.952279106404966</v>
      </c>
      <c r="Z47" s="114">
        <f>$E$20</f>
        <v>0.25</v>
      </c>
      <c r="AA47" s="122">
        <f>Y47+Z47</f>
        <v>20.202279106404966</v>
      </c>
      <c r="AB47" s="122">
        <f>100*($E$17*$E$19+($E$18*(AA47/100))/(1-$E$21))</f>
        <v>16.273966903213722</v>
      </c>
      <c r="AC47" s="123">
        <f>AB47/V47</f>
        <v>0.1086057405783306</v>
      </c>
      <c r="AD47" s="121">
        <f>ROUND($E$8/(1-AC47),0)</f>
        <v>105647</v>
      </c>
      <c r="AE47" s="114" t="str">
        <f>IF(OR(OR(AD47=AD41,AD47=(AD41+1)),AD47=(AD33-1)),"yes","not yet")</f>
        <v>yes</v>
      </c>
      <c r="AF47" s="122">
        <f>100*(1-AC47)</f>
        <v>89.139425942166937</v>
      </c>
      <c r="AG47" s="114"/>
      <c r="AH47" s="114"/>
      <c r="AI47" s="114"/>
      <c r="AJ47" s="114"/>
      <c r="AK47" s="114"/>
      <c r="AL47" s="114"/>
      <c r="AM47" s="114"/>
      <c r="AN47" s="114"/>
      <c r="AO47" s="114"/>
      <c r="AP47" s="114"/>
      <c r="AQ47" s="114"/>
      <c r="AR47" s="114"/>
      <c r="AS47" s="112"/>
      <c r="AT47" s="112"/>
      <c r="AU47" s="112"/>
      <c r="AV47" s="112"/>
      <c r="AW47" s="112"/>
      <c r="AX47" s="112"/>
      <c r="AY47" s="112"/>
      <c r="AZ47" s="112"/>
      <c r="BA47" s="112"/>
      <c r="BB47" s="112"/>
      <c r="BC47" s="112"/>
      <c r="BD47" s="112"/>
      <c r="BE47" s="112"/>
      <c r="BF47" s="112"/>
      <c r="BG47" s="112"/>
      <c r="BH47" s="112"/>
      <c r="BI47" s="112"/>
      <c r="BJ47" s="112"/>
      <c r="BK47" s="113"/>
    </row>
    <row r="48" spans="1:63">
      <c r="A48" s="112"/>
      <c r="B48" s="114"/>
      <c r="C48" s="114"/>
      <c r="D48" s="114"/>
      <c r="E48" s="117"/>
      <c r="F48" s="114"/>
      <c r="G48" s="114"/>
      <c r="H48" s="114"/>
      <c r="I48" s="114"/>
      <c r="J48" s="114"/>
      <c r="K48" s="114"/>
      <c r="L48" s="114"/>
      <c r="M48" s="114"/>
      <c r="N48" s="114"/>
      <c r="O48" s="114"/>
      <c r="P48" s="114"/>
      <c r="Q48" s="114"/>
      <c r="R48" s="114"/>
      <c r="S48" s="114"/>
      <c r="T48" s="114"/>
      <c r="U48" s="114"/>
      <c r="V48" s="122">
        <f>100*(+AD42/$E$9)</f>
        <v>149.53524449211463</v>
      </c>
      <c r="W48" s="129">
        <f>EXP(5.70827-(0.68367*LN(+V48)))</f>
        <v>9.8234316794642371</v>
      </c>
      <c r="X48" s="123">
        <f>(+W48*V48)/100</f>
        <v>14.689492579402689</v>
      </c>
      <c r="Y48" s="122">
        <f>100*((((X48/100)-((X48/100)-0.03574)*$E$21)-0.03574-0.00619)/0.344)</f>
        <v>19.526817158156323</v>
      </c>
      <c r="Z48" s="114">
        <f>$E$20</f>
        <v>0.25</v>
      </c>
      <c r="AA48" s="122">
        <f>Y48+Z48</f>
        <v>19.776817158156323</v>
      </c>
      <c r="AB48" s="122">
        <f>100*($E$17*$E$19+($E$18*(AA48/100))/(1-$E$21))</f>
        <v>15.963903999157436</v>
      </c>
      <c r="AC48" s="123">
        <f>AB48/V48</f>
        <v>0.1067567987291401</v>
      </c>
      <c r="AD48" s="121">
        <f>ROUND($E$8/(1-AC48),0)</f>
        <v>105429</v>
      </c>
      <c r="AE48" s="114" t="str">
        <f>IF(OR(OR(AD48=AD42,AD48=(AD42+1)),AD48=(AD42-1)),"yes","not yet")</f>
        <v>yes</v>
      </c>
      <c r="AF48" s="122">
        <f>100*(1-AC48)</f>
        <v>89.324320127085983</v>
      </c>
      <c r="AG48" s="114"/>
      <c r="AH48" s="114"/>
      <c r="AI48" s="114"/>
      <c r="AJ48" s="114"/>
      <c r="AK48" s="114"/>
      <c r="AL48" s="114"/>
      <c r="AM48" s="114"/>
      <c r="AN48" s="114"/>
      <c r="AO48" s="114"/>
      <c r="AP48" s="114"/>
      <c r="AQ48" s="114"/>
      <c r="AR48" s="114"/>
      <c r="AS48" s="112"/>
      <c r="AT48" s="112"/>
      <c r="AU48" s="112"/>
      <c r="AV48" s="112"/>
      <c r="AW48" s="112"/>
      <c r="AX48" s="112"/>
      <c r="AY48" s="112"/>
      <c r="AZ48" s="112"/>
      <c r="BA48" s="112"/>
      <c r="BB48" s="112"/>
      <c r="BC48" s="112"/>
      <c r="BD48" s="112"/>
      <c r="BE48" s="112"/>
      <c r="BF48" s="112"/>
      <c r="BG48" s="112"/>
      <c r="BH48" s="112"/>
      <c r="BI48" s="112"/>
      <c r="BJ48" s="112"/>
      <c r="BK48" s="113"/>
    </row>
    <row r="49" spans="1:63">
      <c r="A49" s="112"/>
      <c r="B49" s="114"/>
      <c r="C49" s="114"/>
      <c r="D49" s="114"/>
      <c r="E49" s="117"/>
      <c r="F49" s="114"/>
      <c r="G49" s="114"/>
      <c r="H49" s="114"/>
      <c r="I49" s="114"/>
      <c r="J49" s="114"/>
      <c r="K49" s="114"/>
      <c r="L49" s="114"/>
      <c r="M49" s="114"/>
      <c r="N49" s="114"/>
      <c r="O49" s="114"/>
      <c r="P49" s="114"/>
      <c r="Q49" s="114"/>
      <c r="R49" s="114"/>
      <c r="S49" s="114"/>
      <c r="T49" s="114"/>
      <c r="U49" s="114"/>
      <c r="V49" s="122">
        <f>100*(+AD43/$E$9)</f>
        <v>149.32532866075104</v>
      </c>
      <c r="W49" s="129">
        <f>EXP(5.6985-(0.68367*LN(V49)))</f>
        <v>9.7372712741110821</v>
      </c>
      <c r="X49" s="123">
        <f>(+W49*V49)/100</f>
        <v>14.540212332655274</v>
      </c>
      <c r="Y49" s="122">
        <f>100*((((X49/100)-((X49/100)-0.03574)*$E$21)-0.03574-0.00619)/0.344)</f>
        <v>19.240407382420003</v>
      </c>
      <c r="Z49" s="114">
        <f>$E$20</f>
        <v>0.25</v>
      </c>
      <c r="AA49" s="122">
        <f>Y49+Z49</f>
        <v>19.490407382420003</v>
      </c>
      <c r="AB49" s="122">
        <f>100*($E$17*$E$19+($E$18*(AA49/100))/(1-$E$21))</f>
        <v>15.75517782004678</v>
      </c>
      <c r="AC49" s="123">
        <f>AB49/V49</f>
        <v>0.10550907847549845</v>
      </c>
      <c r="AD49" s="121">
        <f>ROUND($E$8/(1-AC49),0)</f>
        <v>105281</v>
      </c>
      <c r="AE49" s="114" t="str">
        <f>IF(OR(OR(AD49=AD43,AD49=(AD43+1)),AD49=(AD43-1)),"yes","not yet")</f>
        <v>yes</v>
      </c>
      <c r="AF49" s="122">
        <f>100*(1-AC49)</f>
        <v>89.449092152450163</v>
      </c>
      <c r="AG49" s="114"/>
      <c r="AH49" s="114"/>
      <c r="AI49" s="114"/>
      <c r="AJ49" s="114"/>
      <c r="AK49" s="114"/>
      <c r="AL49" s="114"/>
      <c r="AM49" s="114"/>
      <c r="AN49" s="114"/>
      <c r="AO49" s="114"/>
      <c r="AP49" s="114"/>
      <c r="AQ49" s="114"/>
      <c r="AR49" s="114"/>
      <c r="AS49" s="112"/>
      <c r="AT49" s="112"/>
      <c r="AU49" s="112"/>
      <c r="AV49" s="112"/>
      <c r="AW49" s="112"/>
      <c r="AX49" s="112"/>
      <c r="AY49" s="112"/>
      <c r="AZ49" s="112"/>
      <c r="BA49" s="112"/>
      <c r="BB49" s="112"/>
      <c r="BC49" s="112"/>
      <c r="BD49" s="112"/>
      <c r="BE49" s="112"/>
      <c r="BF49" s="112"/>
      <c r="BG49" s="112"/>
      <c r="BH49" s="112"/>
      <c r="BI49" s="112"/>
      <c r="BJ49" s="112"/>
      <c r="BK49" s="113"/>
    </row>
    <row r="50" spans="1:63">
      <c r="A50" s="112"/>
      <c r="B50" s="114"/>
      <c r="C50" s="114"/>
      <c r="D50" s="114"/>
      <c r="E50" s="117"/>
      <c r="F50" s="114"/>
      <c r="G50" s="114"/>
      <c r="H50" s="114"/>
      <c r="I50" s="114"/>
      <c r="J50" s="114"/>
      <c r="K50" s="114"/>
      <c r="L50" s="114"/>
      <c r="M50" s="114"/>
      <c r="N50" s="114"/>
      <c r="O50" s="114"/>
      <c r="P50" s="114"/>
      <c r="Q50" s="114"/>
      <c r="R50" s="114"/>
      <c r="S50" s="114"/>
      <c r="T50" s="114"/>
      <c r="U50" s="114"/>
      <c r="V50" s="122">
        <f>100*(+AD44/$E$9)</f>
        <v>149.1920037408309</v>
      </c>
      <c r="W50" s="129">
        <f>EXP(5.6922-(0.68367*LN(V50)))</f>
        <v>9.6820301762693202</v>
      </c>
      <c r="X50" s="123">
        <f>(+W50*V50)/100</f>
        <v>14.444814822768102</v>
      </c>
      <c r="Y50" s="122">
        <f>100*((((X50/100)-((X50/100)-0.03574)*$E$21)-0.03574-0.00619)/0.344)</f>
        <v>19.057377276241123</v>
      </c>
      <c r="Z50" s="114">
        <f>$E$20</f>
        <v>0.25</v>
      </c>
      <c r="AA50" s="122">
        <f>Y50+Z50</f>
        <v>19.307377276241123</v>
      </c>
      <c r="AB50" s="122">
        <f>100*($E$17*$E$19+($E$18*(AA50/100))/(1-$E$21))</f>
        <v>15.621791399744891</v>
      </c>
      <c r="AC50" s="123">
        <f>AB50/V50</f>
        <v>0.10470930752349374</v>
      </c>
      <c r="AD50" s="121">
        <f>ROUND($E$8/(1-AC50),0)</f>
        <v>105187</v>
      </c>
      <c r="AE50" s="114" t="str">
        <f>IF(OR(OR(AD50=AD44,AD50=(AD44+1)),AD50=(AD44-1)),"yes","not yet")</f>
        <v>yes</v>
      </c>
      <c r="AF50" s="122">
        <f>100*(1-AC50)</f>
        <v>89.529069247650625</v>
      </c>
      <c r="AG50" s="114"/>
      <c r="AH50" s="114"/>
      <c r="AI50" s="114"/>
      <c r="AJ50" s="114"/>
      <c r="AK50" s="114"/>
      <c r="AL50" s="114"/>
      <c r="AM50" s="114"/>
      <c r="AN50" s="114"/>
      <c r="AO50" s="114"/>
      <c r="AP50" s="114"/>
      <c r="AQ50" s="114"/>
      <c r="AR50" s="114"/>
      <c r="AS50" s="112"/>
      <c r="AT50" s="112"/>
      <c r="AU50" s="112"/>
      <c r="AV50" s="112"/>
      <c r="AW50" s="112"/>
      <c r="AX50" s="112"/>
      <c r="AY50" s="112"/>
      <c r="AZ50" s="112"/>
      <c r="BA50" s="112"/>
      <c r="BB50" s="112"/>
      <c r="BC50" s="112"/>
      <c r="BD50" s="112"/>
      <c r="BE50" s="112"/>
      <c r="BF50" s="112"/>
      <c r="BG50" s="112"/>
      <c r="BH50" s="112"/>
      <c r="BI50" s="112"/>
      <c r="BJ50" s="112"/>
      <c r="BK50" s="113"/>
    </row>
    <row r="51" spans="1:63">
      <c r="A51" s="112"/>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22"/>
      <c r="AB51" s="114"/>
      <c r="AC51" s="114"/>
      <c r="AD51" s="114"/>
      <c r="AE51" s="114"/>
      <c r="AF51" s="114"/>
      <c r="AG51" s="114"/>
      <c r="AH51" s="114"/>
      <c r="AI51" s="114"/>
      <c r="AJ51" s="114"/>
      <c r="AK51" s="114"/>
      <c r="AL51" s="114"/>
      <c r="AM51" s="114"/>
      <c r="AN51" s="114"/>
      <c r="AO51" s="114"/>
      <c r="AP51" s="114"/>
      <c r="AQ51" s="114"/>
      <c r="AR51" s="114"/>
      <c r="AS51" s="112"/>
      <c r="AT51" s="112"/>
      <c r="AU51" s="112"/>
      <c r="AV51" s="112"/>
      <c r="AW51" s="112"/>
      <c r="AX51" s="112"/>
      <c r="AY51" s="112"/>
      <c r="AZ51" s="112"/>
      <c r="BA51" s="112"/>
      <c r="BB51" s="112"/>
      <c r="BC51" s="112"/>
      <c r="BD51" s="112"/>
      <c r="BE51" s="112"/>
      <c r="BF51" s="112"/>
      <c r="BG51" s="112"/>
      <c r="BH51" s="112"/>
      <c r="BI51" s="112"/>
      <c r="BJ51" s="112"/>
      <c r="BK51" s="113"/>
    </row>
    <row r="52" spans="1:63">
      <c r="A52" s="112"/>
      <c r="B52" s="114"/>
      <c r="C52" s="114"/>
      <c r="D52" s="114"/>
      <c r="E52" s="114"/>
      <c r="F52" s="114"/>
      <c r="G52" s="114"/>
      <c r="H52" s="114"/>
      <c r="I52" s="114"/>
      <c r="J52" s="114"/>
      <c r="K52" s="114"/>
      <c r="L52" s="114"/>
      <c r="M52" s="114"/>
      <c r="N52" s="114"/>
      <c r="O52" s="114"/>
      <c r="P52" s="114"/>
      <c r="Q52" s="114"/>
      <c r="R52" s="114"/>
      <c r="S52" s="114"/>
      <c r="T52" s="114"/>
      <c r="U52" s="114"/>
      <c r="V52" s="119" t="s">
        <v>282</v>
      </c>
      <c r="W52" s="128" t="s">
        <v>227</v>
      </c>
      <c r="X52" s="128" t="s">
        <v>228</v>
      </c>
      <c r="Y52" s="128" t="s">
        <v>229</v>
      </c>
      <c r="Z52" s="114"/>
      <c r="AA52" s="122"/>
      <c r="AB52" s="114"/>
      <c r="AC52" s="114"/>
      <c r="AD52" s="114"/>
      <c r="AE52" s="114"/>
      <c r="AF52" s="114"/>
      <c r="AG52" s="114"/>
      <c r="AH52" s="114"/>
      <c r="AI52" s="114"/>
      <c r="AJ52" s="114"/>
      <c r="AK52" s="114"/>
      <c r="AL52" s="114"/>
      <c r="AM52" s="114"/>
      <c r="AN52" s="114"/>
      <c r="AO52" s="114"/>
      <c r="AP52" s="114"/>
      <c r="AQ52" s="114"/>
      <c r="AR52" s="114"/>
      <c r="AS52" s="112"/>
      <c r="AT52" s="112"/>
      <c r="AU52" s="112"/>
      <c r="AV52" s="112"/>
      <c r="AW52" s="112"/>
      <c r="AX52" s="112"/>
      <c r="AY52" s="112"/>
      <c r="AZ52" s="112"/>
      <c r="BA52" s="112"/>
      <c r="BB52" s="112"/>
      <c r="BC52" s="112"/>
      <c r="BD52" s="112"/>
      <c r="BE52" s="112"/>
      <c r="BF52" s="112"/>
      <c r="BG52" s="112"/>
      <c r="BH52" s="112"/>
      <c r="BI52" s="112"/>
      <c r="BJ52" s="112"/>
      <c r="BK52" s="113"/>
    </row>
    <row r="53" spans="1:63">
      <c r="A53" s="112"/>
      <c r="B53" s="114"/>
      <c r="C53" s="114"/>
      <c r="D53" s="114"/>
      <c r="E53" s="114"/>
      <c r="F53" s="114"/>
      <c r="G53" s="114"/>
      <c r="H53" s="114"/>
      <c r="I53" s="114"/>
      <c r="J53" s="114"/>
      <c r="K53" s="114"/>
      <c r="L53" s="114"/>
      <c r="M53" s="114"/>
      <c r="N53" s="114"/>
      <c r="O53" s="114"/>
      <c r="P53" s="114"/>
      <c r="Q53" s="114"/>
      <c r="R53" s="114"/>
      <c r="S53" s="114"/>
      <c r="T53" s="114"/>
      <c r="U53" s="114"/>
      <c r="V53" s="122">
        <f>100*(+AD47/$E$9)</f>
        <v>149.84444483831237</v>
      </c>
      <c r="W53" s="129">
        <f>EXP(5.7226-(0.68367*LN(+V53)))</f>
        <v>9.9511520230424217</v>
      </c>
      <c r="X53" s="123">
        <f>(+W53*V53)/100</f>
        <v>14.911248503944407</v>
      </c>
      <c r="Y53" s="122">
        <f>100*((((X53/100)-((X53/100)-0.03574)*$E$21)-0.03574-0.00619)/0.344)</f>
        <v>19.952279106404966</v>
      </c>
      <c r="Z53" s="114">
        <f>$E$20</f>
        <v>0.25</v>
      </c>
      <c r="AA53" s="122">
        <f>Y53+Z53</f>
        <v>20.202279106404966</v>
      </c>
      <c r="AB53" s="122">
        <f>100*($E$17*$E$19+($E$18*(AA53/100))/(1-$E$21))</f>
        <v>16.273966903213722</v>
      </c>
      <c r="AC53" s="123">
        <f>AB53/V53</f>
        <v>0.1086057405783306</v>
      </c>
      <c r="AD53" s="121">
        <f>ROUND($E$8/(1-AC53),0)</f>
        <v>105647</v>
      </c>
      <c r="AE53" s="114" t="str">
        <f>IF(OR(OR(AD53=AD47,AD53=(AD47+1)),AD53=(AD39-1)),"yes","not yet")</f>
        <v>yes</v>
      </c>
      <c r="AF53" s="122">
        <f>100*(1-AC53)</f>
        <v>89.139425942166937</v>
      </c>
      <c r="AG53" s="114"/>
      <c r="AH53" s="114"/>
      <c r="AI53" s="114"/>
      <c r="AJ53" s="114"/>
      <c r="AK53" s="114"/>
      <c r="AL53" s="114"/>
      <c r="AM53" s="114"/>
      <c r="AN53" s="114"/>
      <c r="AO53" s="114"/>
      <c r="AP53" s="114"/>
      <c r="AQ53" s="114"/>
      <c r="AR53" s="114"/>
      <c r="AS53" s="112"/>
      <c r="AT53" s="112"/>
      <c r="AU53" s="112"/>
      <c r="AV53" s="112"/>
      <c r="AW53" s="112"/>
      <c r="AX53" s="112"/>
      <c r="AY53" s="112"/>
      <c r="AZ53" s="112"/>
      <c r="BA53" s="112"/>
      <c r="BB53" s="112"/>
      <c r="BC53" s="112"/>
      <c r="BD53" s="112"/>
      <c r="BE53" s="112"/>
      <c r="BF53" s="112"/>
      <c r="BG53" s="112"/>
      <c r="BH53" s="112"/>
      <c r="BI53" s="112"/>
      <c r="BJ53" s="112"/>
      <c r="BK53" s="113"/>
    </row>
    <row r="54" spans="1:63">
      <c r="A54" s="112"/>
      <c r="B54" s="114"/>
      <c r="C54" s="114"/>
      <c r="D54" s="114"/>
      <c r="E54" s="114"/>
      <c r="F54" s="114"/>
      <c r="G54" s="114"/>
      <c r="H54" s="114"/>
      <c r="I54" s="114"/>
      <c r="J54" s="114"/>
      <c r="K54" s="114"/>
      <c r="L54" s="114"/>
      <c r="M54" s="114"/>
      <c r="N54" s="114"/>
      <c r="O54" s="114"/>
      <c r="P54" s="114"/>
      <c r="Q54" s="114"/>
      <c r="R54" s="114"/>
      <c r="S54" s="114"/>
      <c r="T54" s="114"/>
      <c r="U54" s="114"/>
      <c r="V54" s="122">
        <f>100*(+AD48/$E$9)</f>
        <v>149.53524449211463</v>
      </c>
      <c r="W54" s="129">
        <f>EXP(5.70827-(0.68367*LN(+V54)))</f>
        <v>9.8234316794642371</v>
      </c>
      <c r="X54" s="123">
        <f>(+W54*V54)/100</f>
        <v>14.689492579402689</v>
      </c>
      <c r="Y54" s="122">
        <f>100*((((X54/100)-((X54/100)-0.03574)*$E$21)-0.03574-0.00619)/0.344)</f>
        <v>19.526817158156323</v>
      </c>
      <c r="Z54" s="114">
        <f>$E$20</f>
        <v>0.25</v>
      </c>
      <c r="AA54" s="122">
        <f>Y54+Z54</f>
        <v>19.776817158156323</v>
      </c>
      <c r="AB54" s="122">
        <f>100*($E$17*$E$19+($E$18*(AA54/100))/(1-$E$21))</f>
        <v>15.963903999157436</v>
      </c>
      <c r="AC54" s="123">
        <f>AB54/V54</f>
        <v>0.1067567987291401</v>
      </c>
      <c r="AD54" s="121">
        <f>ROUND($E$8/(1-AC54),0)</f>
        <v>105429</v>
      </c>
      <c r="AE54" s="114" t="str">
        <f>IF(OR(OR(AD54=AD48,AD54=(AD48+1)),AD54=(AD48-1)),"yes","not yet")</f>
        <v>yes</v>
      </c>
      <c r="AF54" s="122">
        <f>100*(1-AC54)</f>
        <v>89.324320127085983</v>
      </c>
      <c r="AG54" s="114"/>
      <c r="AH54" s="114"/>
      <c r="AI54" s="114"/>
      <c r="AJ54" s="114"/>
      <c r="AK54" s="114"/>
      <c r="AL54" s="114"/>
      <c r="AM54" s="114"/>
      <c r="AN54" s="114"/>
      <c r="AO54" s="114"/>
      <c r="AP54" s="114"/>
      <c r="AQ54" s="114"/>
      <c r="AR54" s="114"/>
      <c r="AS54" s="112"/>
      <c r="AT54" s="112"/>
      <c r="AU54" s="112"/>
      <c r="AV54" s="112"/>
      <c r="AW54" s="112"/>
      <c r="AX54" s="112"/>
      <c r="AY54" s="112"/>
      <c r="AZ54" s="112"/>
      <c r="BA54" s="112"/>
      <c r="BB54" s="112"/>
      <c r="BC54" s="112"/>
      <c r="BD54" s="112"/>
      <c r="BE54" s="112"/>
      <c r="BF54" s="112"/>
      <c r="BG54" s="112"/>
      <c r="BH54" s="112"/>
      <c r="BI54" s="112"/>
      <c r="BJ54" s="112"/>
      <c r="BK54" s="113"/>
    </row>
    <row r="55" spans="1:63">
      <c r="A55" s="112"/>
      <c r="B55" s="114"/>
      <c r="C55" s="114"/>
      <c r="D55" s="114"/>
      <c r="E55" s="114"/>
      <c r="F55" s="114"/>
      <c r="G55" s="114"/>
      <c r="H55" s="114"/>
      <c r="I55" s="114"/>
      <c r="J55" s="114"/>
      <c r="K55" s="114"/>
      <c r="L55" s="114"/>
      <c r="M55" s="114"/>
      <c r="N55" s="114"/>
      <c r="O55" s="114"/>
      <c r="P55" s="114"/>
      <c r="Q55" s="114"/>
      <c r="R55" s="114"/>
      <c r="S55" s="114"/>
      <c r="T55" s="114"/>
      <c r="U55" s="114"/>
      <c r="V55" s="122">
        <f>100*(+AD49/$E$9)</f>
        <v>149.32532866075104</v>
      </c>
      <c r="W55" s="129">
        <f>EXP(5.6985-(0.68367*LN(V55)))</f>
        <v>9.7372712741110821</v>
      </c>
      <c r="X55" s="123">
        <f>(+W55*V55)/100</f>
        <v>14.540212332655274</v>
      </c>
      <c r="Y55" s="122">
        <f>100*((((X55/100)-((X55/100)-0.03574)*$E$21)-0.03574-0.00619)/0.344)</f>
        <v>19.240407382420003</v>
      </c>
      <c r="Z55" s="114">
        <f>$E$20</f>
        <v>0.25</v>
      </c>
      <c r="AA55" s="122">
        <f>Y55+Z55</f>
        <v>19.490407382420003</v>
      </c>
      <c r="AB55" s="122">
        <f>100*($E$17*$E$19+($E$18*(AA55/100))/(1-$E$21))</f>
        <v>15.75517782004678</v>
      </c>
      <c r="AC55" s="123">
        <f>AB55/V55</f>
        <v>0.10550907847549845</v>
      </c>
      <c r="AD55" s="121">
        <f>ROUND($E$8/(1-AC55),0)</f>
        <v>105281</v>
      </c>
      <c r="AE55" s="114" t="str">
        <f>IF(OR(OR(AD55=AD49,AD55=(AD49+1)),AD55=(AD49-1)),"yes","not yet")</f>
        <v>yes</v>
      </c>
      <c r="AF55" s="122">
        <f>100*(1-AC55)</f>
        <v>89.449092152450163</v>
      </c>
      <c r="AG55" s="114"/>
      <c r="AH55" s="114"/>
      <c r="AI55" s="114"/>
      <c r="AJ55" s="114"/>
      <c r="AK55" s="114"/>
      <c r="AL55" s="114"/>
      <c r="AM55" s="114"/>
      <c r="AN55" s="114"/>
      <c r="AO55" s="114"/>
      <c r="AP55" s="114"/>
      <c r="AQ55" s="114"/>
      <c r="AR55" s="114"/>
      <c r="AS55" s="112"/>
      <c r="AT55" s="112"/>
      <c r="AU55" s="112"/>
      <c r="AV55" s="112"/>
      <c r="AW55" s="112"/>
      <c r="AX55" s="112"/>
      <c r="AY55" s="112"/>
      <c r="AZ55" s="112"/>
      <c r="BA55" s="112"/>
      <c r="BB55" s="112"/>
      <c r="BC55" s="112"/>
      <c r="BD55" s="112"/>
      <c r="BE55" s="112"/>
      <c r="BF55" s="112"/>
      <c r="BG55" s="112"/>
      <c r="BH55" s="112"/>
      <c r="BI55" s="112"/>
      <c r="BJ55" s="112"/>
      <c r="BK55" s="113"/>
    </row>
    <row r="56" spans="1:63">
      <c r="A56" s="112"/>
      <c r="B56" s="114"/>
      <c r="C56" s="114"/>
      <c r="D56" s="114"/>
      <c r="E56" s="114"/>
      <c r="F56" s="114"/>
      <c r="G56" s="114"/>
      <c r="H56" s="114"/>
      <c r="I56" s="114"/>
      <c r="J56" s="114"/>
      <c r="K56" s="114"/>
      <c r="L56" s="114"/>
      <c r="M56" s="114"/>
      <c r="N56" s="114"/>
      <c r="O56" s="114"/>
      <c r="P56" s="114"/>
      <c r="Q56" s="114"/>
      <c r="R56" s="114"/>
      <c r="S56" s="114"/>
      <c r="T56" s="114"/>
      <c r="U56" s="114"/>
      <c r="V56" s="122">
        <f>100*(+AD50/$E$9)</f>
        <v>149.1920037408309</v>
      </c>
      <c r="W56" s="129">
        <f>EXP(5.6922-(0.68367*LN(V56)))</f>
        <v>9.6820301762693202</v>
      </c>
      <c r="X56" s="123">
        <f>(+W56*V56)/100</f>
        <v>14.444814822768102</v>
      </c>
      <c r="Y56" s="122">
        <f>100*((((X56/100)-((X56/100)-0.03574)*$E$21)-0.03574-0.00619)/0.344)</f>
        <v>19.057377276241123</v>
      </c>
      <c r="Z56" s="114">
        <f>$E$20</f>
        <v>0.25</v>
      </c>
      <c r="AA56" s="122">
        <f>Y56+Z56</f>
        <v>19.307377276241123</v>
      </c>
      <c r="AB56" s="122">
        <f>100*($E$17*$E$19+($E$18*(AA56/100))/(1-$E$21))</f>
        <v>15.621791399744891</v>
      </c>
      <c r="AC56" s="123">
        <f>AB56/V56</f>
        <v>0.10470930752349374</v>
      </c>
      <c r="AD56" s="121">
        <f>ROUND($E$8/(1-AC56),0)</f>
        <v>105187</v>
      </c>
      <c r="AE56" s="114" t="str">
        <f>IF(OR(OR(AD56=AD50,AD56=(AD50+1)),AD56=(AD50-1)),"yes","not yet")</f>
        <v>yes</v>
      </c>
      <c r="AF56" s="122">
        <f>100*(1-AC56)</f>
        <v>89.529069247650625</v>
      </c>
      <c r="AG56" s="114"/>
      <c r="AH56" s="114"/>
      <c r="AI56" s="114"/>
      <c r="AJ56" s="114"/>
      <c r="AK56" s="114"/>
      <c r="AL56" s="114"/>
      <c r="AM56" s="114"/>
      <c r="AN56" s="114"/>
      <c r="AO56" s="114"/>
      <c r="AP56" s="114"/>
      <c r="AQ56" s="114"/>
      <c r="AR56" s="114"/>
      <c r="AS56" s="112"/>
      <c r="AT56" s="112"/>
      <c r="AU56" s="112"/>
      <c r="AV56" s="112"/>
      <c r="AW56" s="112"/>
      <c r="AX56" s="112"/>
      <c r="AY56" s="112"/>
      <c r="AZ56" s="112"/>
      <c r="BA56" s="112"/>
      <c r="BB56" s="112"/>
      <c r="BC56" s="112"/>
      <c r="BD56" s="112"/>
      <c r="BE56" s="112"/>
      <c r="BF56" s="112"/>
      <c r="BG56" s="112"/>
      <c r="BH56" s="112"/>
      <c r="BI56" s="112"/>
      <c r="BJ56" s="112"/>
      <c r="BK56" s="113"/>
    </row>
    <row r="57" spans="1:63">
      <c r="A57" s="112"/>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22"/>
      <c r="AB57" s="114"/>
      <c r="AC57" s="114"/>
      <c r="AD57" s="114"/>
      <c r="AE57" s="114"/>
      <c r="AF57" s="114"/>
      <c r="AG57" s="114"/>
      <c r="AH57" s="114"/>
      <c r="AI57" s="114"/>
      <c r="AJ57" s="114"/>
      <c r="AK57" s="114"/>
      <c r="AL57" s="114"/>
      <c r="AM57" s="114"/>
      <c r="AN57" s="114"/>
      <c r="AO57" s="114"/>
      <c r="AP57" s="114"/>
      <c r="AQ57" s="114"/>
      <c r="AR57" s="114"/>
      <c r="AS57" s="112"/>
      <c r="AT57" s="112"/>
      <c r="AU57" s="112"/>
      <c r="AV57" s="112"/>
      <c r="AW57" s="112"/>
      <c r="AX57" s="112"/>
      <c r="AY57" s="112"/>
      <c r="AZ57" s="112"/>
      <c r="BA57" s="112"/>
      <c r="BB57" s="112"/>
      <c r="BC57" s="112"/>
      <c r="BD57" s="112"/>
      <c r="BE57" s="112"/>
      <c r="BF57" s="112"/>
      <c r="BG57" s="112"/>
      <c r="BH57" s="112"/>
      <c r="BI57" s="112"/>
      <c r="BJ57" s="112"/>
      <c r="BK57" s="113"/>
    </row>
    <row r="58" spans="1:63">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3"/>
    </row>
    <row r="59" spans="1:63">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3"/>
    </row>
    <row r="60" spans="1:63">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3"/>
    </row>
    <row r="61" spans="1:63">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3"/>
    </row>
    <row r="62" spans="1:63">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3"/>
    </row>
    <row r="63" spans="1:63">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3"/>
    </row>
    <row r="64" spans="1:63">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3"/>
    </row>
    <row r="65" spans="1:63">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3"/>
    </row>
    <row r="66" spans="1:63">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3"/>
    </row>
    <row r="67" spans="1:63">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3"/>
    </row>
    <row r="68" spans="1:63">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3"/>
    </row>
    <row r="69" spans="1:63">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3"/>
    </row>
    <row r="70" spans="1:63">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3"/>
    </row>
    <row r="71" spans="1:63">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3"/>
    </row>
    <row r="72" spans="1:63">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3"/>
    </row>
    <row r="73" spans="1:63">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3"/>
    </row>
    <row r="74" spans="1:63">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3"/>
    </row>
    <row r="75" spans="1:63">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3"/>
    </row>
    <row r="76" spans="1:63">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3"/>
    </row>
    <row r="77" spans="1:63">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3"/>
    </row>
    <row r="78" spans="1:63">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3"/>
    </row>
    <row r="79" spans="1:63">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3"/>
    </row>
    <row r="80" spans="1:63">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3"/>
    </row>
    <row r="81" spans="1:63">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3"/>
    </row>
    <row r="82" spans="1:63">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3"/>
    </row>
    <row r="83" spans="1:63">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3"/>
    </row>
    <row r="84" spans="1:63">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3"/>
    </row>
    <row r="85" spans="1:63">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3"/>
    </row>
    <row r="86" spans="1:63">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3"/>
    </row>
    <row r="87" spans="1:63">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3"/>
    </row>
    <row r="88" spans="1:63">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3"/>
    </row>
    <row r="89" spans="1:63">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3"/>
    </row>
    <row r="90" spans="1:63">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3"/>
    </row>
    <row r="91" spans="1:63">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3"/>
    </row>
    <row r="92" spans="1:63">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3"/>
    </row>
    <row r="93" spans="1:63">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3"/>
    </row>
    <row r="94" spans="1:63">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3"/>
    </row>
    <row r="95" spans="1:63">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3"/>
    </row>
    <row r="96" spans="1:63">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3"/>
    </row>
    <row r="97" spans="1:63">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3"/>
    </row>
    <row r="98" spans="1:63">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3"/>
    </row>
    <row r="99" spans="1:63">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3"/>
    </row>
    <row r="100" spans="1:63">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3"/>
    </row>
    <row r="101" spans="1:63">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3"/>
    </row>
    <row r="102" spans="1:63">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3"/>
    </row>
    <row r="103" spans="1:63">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3"/>
    </row>
    <row r="104" spans="1:63">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3"/>
    </row>
    <row r="105" spans="1:63">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3"/>
    </row>
    <row r="106" spans="1:63">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3"/>
    </row>
    <row r="107" spans="1:63">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3"/>
    </row>
    <row r="108" spans="1:63">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3"/>
    </row>
    <row r="109" spans="1:63">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3"/>
    </row>
    <row r="110" spans="1:63">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3"/>
    </row>
    <row r="111" spans="1:63">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3"/>
    </row>
    <row r="112" spans="1:63">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3"/>
    </row>
    <row r="113" spans="1:63">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3"/>
    </row>
    <row r="114" spans="1:63">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3"/>
    </row>
    <row r="115" spans="1:63">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3"/>
    </row>
    <row r="116" spans="1:63">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3"/>
    </row>
    <row r="117" spans="1:63">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3"/>
    </row>
    <row r="118" spans="1:63">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3"/>
    </row>
    <row r="119" spans="1:63">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3"/>
    </row>
    <row r="120" spans="1:63">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3"/>
    </row>
    <row r="121" spans="1:63">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3"/>
    </row>
    <row r="122" spans="1:63">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3"/>
    </row>
    <row r="123" spans="1:63">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3"/>
    </row>
    <row r="124" spans="1:63">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3"/>
    </row>
    <row r="125" spans="1:63">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3"/>
    </row>
    <row r="126" spans="1:63">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3"/>
    </row>
    <row r="127" spans="1:63">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3"/>
    </row>
    <row r="128" spans="1:63">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3"/>
    </row>
    <row r="129" spans="1:63">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3"/>
    </row>
    <row r="130" spans="1:63">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3"/>
    </row>
    <row r="131" spans="1:63">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3"/>
    </row>
    <row r="132" spans="1:63">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3"/>
    </row>
    <row r="133" spans="1:63">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3"/>
    </row>
    <row r="134" spans="1:63">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3"/>
    </row>
    <row r="135" spans="1:63">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3"/>
    </row>
    <row r="136" spans="1:63">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3"/>
    </row>
    <row r="137" spans="1:63">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3"/>
    </row>
    <row r="138" spans="1:63">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3"/>
    </row>
    <row r="139" spans="1:63">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3"/>
    </row>
    <row r="140" spans="1:63">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3"/>
    </row>
    <row r="141" spans="1:63">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3"/>
    </row>
    <row r="142" spans="1:63">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3"/>
    </row>
    <row r="143" spans="1:63">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3"/>
    </row>
    <row r="144" spans="1:63">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3"/>
    </row>
    <row r="145" spans="1:63">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3"/>
    </row>
    <row r="146" spans="1:63">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3"/>
    </row>
    <row r="147" spans="1:63">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3"/>
    </row>
    <row r="148" spans="1:63">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3"/>
    </row>
    <row r="149" spans="1:63">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3"/>
    </row>
    <row r="150" spans="1:63">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3"/>
    </row>
    <row r="151" spans="1:63">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3"/>
    </row>
    <row r="152" spans="1:63">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3"/>
    </row>
    <row r="153" spans="1:63">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3"/>
    </row>
    <row r="154" spans="1:63">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3"/>
    </row>
    <row r="155" spans="1:63">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3"/>
    </row>
    <row r="156" spans="1:63">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3"/>
    </row>
    <row r="157" spans="1:63">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3"/>
    </row>
    <row r="158" spans="1:63">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3"/>
    </row>
    <row r="159" spans="1:63">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3"/>
    </row>
    <row r="160" spans="1:63">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3"/>
    </row>
    <row r="161" spans="1:63">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3"/>
    </row>
    <row r="162" spans="1:63">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3"/>
    </row>
    <row r="163" spans="1:63">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3"/>
    </row>
    <row r="164" spans="1:63">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3"/>
    </row>
    <row r="165" spans="1:63">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3"/>
    </row>
    <row r="166" spans="1:63">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3"/>
    </row>
    <row r="167" spans="1:63">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3"/>
    </row>
    <row r="168" spans="1:63">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3"/>
    </row>
    <row r="169" spans="1:63">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3"/>
    </row>
    <row r="170" spans="1:63">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3"/>
    </row>
    <row r="171" spans="1:63">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3"/>
    </row>
    <row r="172" spans="1:63">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3"/>
    </row>
    <row r="173" spans="1:63">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3"/>
    </row>
    <row r="174" spans="1:63">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3"/>
    </row>
    <row r="175" spans="1:63">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3"/>
    </row>
    <row r="176" spans="1:63">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3"/>
    </row>
    <row r="177" spans="1:63">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3"/>
    </row>
    <row r="178" spans="1:63">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3"/>
    </row>
    <row r="179" spans="1:63">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3"/>
    </row>
    <row r="180" spans="1:63">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3"/>
    </row>
    <row r="181" spans="1:63">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3"/>
    </row>
    <row r="182" spans="1:63">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3"/>
    </row>
    <row r="183" spans="1:63">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3"/>
    </row>
    <row r="184" spans="1:63">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3"/>
    </row>
    <row r="185" spans="1:63">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3"/>
    </row>
    <row r="186" spans="1:63">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3"/>
    </row>
    <row r="187" spans="1:63">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3"/>
    </row>
    <row r="188" spans="1:63">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3"/>
    </row>
    <row r="189" spans="1:63">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3"/>
    </row>
    <row r="190" spans="1:63">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3"/>
    </row>
    <row r="191" spans="1:63">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3"/>
    </row>
    <row r="192" spans="1:63">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3"/>
    </row>
    <row r="193" spans="1:63">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3"/>
    </row>
    <row r="194" spans="1:63">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3"/>
    </row>
    <row r="195" spans="1:63">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3"/>
    </row>
    <row r="196" spans="1:63">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3"/>
    </row>
    <row r="197" spans="1:63">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3"/>
    </row>
    <row r="198" spans="1:63">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3"/>
    </row>
    <row r="199" spans="1:63">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3"/>
    </row>
    <row r="200" spans="1:63">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3"/>
    </row>
    <row r="201" spans="1:63">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3"/>
    </row>
    <row r="202" spans="1:63">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3"/>
    </row>
    <row r="203" spans="1:63">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3"/>
    </row>
    <row r="204" spans="1:63">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3"/>
    </row>
    <row r="205" spans="1:63">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3"/>
    </row>
    <row r="206" spans="1:63">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3"/>
    </row>
    <row r="207" spans="1:63">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3"/>
    </row>
    <row r="208" spans="1:63">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3"/>
    </row>
    <row r="209" spans="1:63">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3"/>
    </row>
    <row r="210" spans="1:63">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3"/>
    </row>
    <row r="211" spans="1:63">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3"/>
    </row>
    <row r="212" spans="1:63">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3"/>
    </row>
    <row r="213" spans="1:63">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3"/>
    </row>
    <row r="214" spans="1:63">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3"/>
    </row>
    <row r="215" spans="1:63">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3"/>
    </row>
    <row r="216" spans="1:63">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3"/>
    </row>
    <row r="217" spans="1:63">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3"/>
    </row>
    <row r="218" spans="1:63">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3"/>
    </row>
    <row r="219" spans="1:63">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3"/>
    </row>
    <row r="220" spans="1:63">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3"/>
    </row>
    <row r="221" spans="1:63">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3"/>
    </row>
    <row r="222" spans="1:63">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3"/>
    </row>
    <row r="223" spans="1:63">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3"/>
    </row>
    <row r="224" spans="1:63">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3"/>
    </row>
    <row r="225" spans="1:63">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3"/>
    </row>
    <row r="226" spans="1:63">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3"/>
    </row>
    <row r="227" spans="1:63">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3"/>
    </row>
    <row r="228" spans="1:63">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3"/>
    </row>
    <row r="229" spans="1:63">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3"/>
    </row>
    <row r="230" spans="1:63">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3"/>
    </row>
    <row r="231" spans="1:63">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3"/>
    </row>
    <row r="232" spans="1:63">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3"/>
    </row>
    <row r="233" spans="1:63">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3"/>
    </row>
    <row r="234" spans="1:63">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3"/>
    </row>
    <row r="235" spans="1:63">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3"/>
    </row>
    <row r="236" spans="1:63">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3"/>
    </row>
    <row r="237" spans="1:63">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3"/>
    </row>
    <row r="238" spans="1:63">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3"/>
    </row>
    <row r="239" spans="1:63">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3"/>
    </row>
    <row r="240" spans="1:63">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3"/>
    </row>
    <row r="241" spans="1:63">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3"/>
    </row>
    <row r="242" spans="1:63">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3"/>
    </row>
    <row r="243" spans="1:63">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3"/>
    </row>
    <row r="244" spans="1:63">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3"/>
    </row>
    <row r="245" spans="1:63">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3"/>
    </row>
    <row r="246" spans="1:63">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3"/>
    </row>
    <row r="247" spans="1:63">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3"/>
    </row>
    <row r="248" spans="1:63">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3"/>
    </row>
    <row r="249" spans="1:63">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3"/>
    </row>
    <row r="250" spans="1:63">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3"/>
    </row>
    <row r="251" spans="1:63">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3"/>
    </row>
    <row r="252" spans="1:63">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3"/>
    </row>
    <row r="253" spans="1:63">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3"/>
    </row>
    <row r="254" spans="1:63">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3"/>
    </row>
    <row r="255" spans="1:63">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3"/>
    </row>
    <row r="256" spans="1:63">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3"/>
    </row>
    <row r="257" spans="1:63">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3"/>
    </row>
    <row r="258" spans="1:63">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3"/>
    </row>
    <row r="259" spans="1:63">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3"/>
    </row>
    <row r="260" spans="1:63">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row>
    <row r="261" spans="1:63">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c r="BE261" s="113"/>
      <c r="BF261" s="113"/>
      <c r="BG261" s="113"/>
      <c r="BH261" s="113"/>
      <c r="BI261" s="113"/>
      <c r="BJ261" s="113"/>
      <c r="BK261" s="113"/>
    </row>
    <row r="262" spans="1:63">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row>
    <row r="263" spans="1:63">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row>
    <row r="264" spans="1:63">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row>
    <row r="265" spans="1:63">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c r="BE265" s="113"/>
      <c r="BF265" s="113"/>
      <c r="BG265" s="113"/>
      <c r="BH265" s="113"/>
      <c r="BI265" s="113"/>
      <c r="BJ265" s="113"/>
      <c r="BK265" s="113"/>
    </row>
    <row r="266" spans="1:63">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row>
    <row r="267" spans="1:63">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row>
    <row r="268" spans="1:63">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row>
    <row r="269" spans="1:63">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row>
    <row r="270" spans="1:63">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row>
    <row r="271" spans="1:63">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row>
    <row r="272" spans="1:63">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row>
    <row r="273" spans="1:63">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row>
    <row r="274" spans="1:63">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row>
    <row r="275" spans="1:63">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row>
    <row r="276" spans="1:63">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row>
    <row r="277" spans="1:63">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row>
    <row r="278" spans="1:63">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row>
    <row r="279" spans="1:63">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c r="BF279" s="113"/>
      <c r="BG279" s="113"/>
      <c r="BH279" s="113"/>
      <c r="BI279" s="113"/>
      <c r="BJ279" s="113"/>
      <c r="BK279" s="113"/>
    </row>
    <row r="280" spans="1:63">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c r="BE280" s="113"/>
      <c r="BF280" s="113"/>
      <c r="BG280" s="113"/>
      <c r="BH280" s="113"/>
      <c r="BI280" s="113"/>
      <c r="BJ280" s="113"/>
      <c r="BK280" s="113"/>
    </row>
    <row r="281" spans="1:63">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c r="BE281" s="113"/>
      <c r="BF281" s="113"/>
      <c r="BG281" s="113"/>
      <c r="BH281" s="113"/>
      <c r="BI281" s="113"/>
      <c r="BJ281" s="113"/>
      <c r="BK281" s="113"/>
    </row>
    <row r="282" spans="1:63">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row>
    <row r="283" spans="1:63">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row>
    <row r="284" spans="1:63">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row>
    <row r="285" spans="1:63">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c r="BC285" s="113"/>
      <c r="BD285" s="113"/>
      <c r="BE285" s="113"/>
      <c r="BF285" s="113"/>
      <c r="BG285" s="113"/>
      <c r="BH285" s="113"/>
      <c r="BI285" s="113"/>
      <c r="BJ285" s="113"/>
      <c r="BK285" s="113"/>
    </row>
    <row r="286" spans="1:63">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row>
    <row r="287" spans="1:63">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row>
    <row r="288" spans="1:63">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row>
    <row r="289" spans="1:63">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row>
    <row r="290" spans="1:63">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3"/>
      <c r="AY290" s="113"/>
      <c r="AZ290" s="113"/>
      <c r="BA290" s="113"/>
      <c r="BB290" s="113"/>
      <c r="BC290" s="113"/>
      <c r="BD290" s="113"/>
      <c r="BE290" s="113"/>
      <c r="BF290" s="113"/>
      <c r="BG290" s="113"/>
      <c r="BH290" s="113"/>
      <c r="BI290" s="113"/>
      <c r="BJ290" s="113"/>
      <c r="BK290" s="113"/>
    </row>
    <row r="291" spans="1:63">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c r="AO291" s="113"/>
      <c r="AP291" s="113"/>
      <c r="AQ291" s="113"/>
      <c r="AR291" s="113"/>
      <c r="AS291" s="113"/>
      <c r="AT291" s="113"/>
      <c r="AU291" s="113"/>
      <c r="AV291" s="113"/>
      <c r="AW291" s="113"/>
      <c r="AX291" s="113"/>
      <c r="AY291" s="113"/>
      <c r="AZ291" s="113"/>
      <c r="BA291" s="113"/>
      <c r="BB291" s="113"/>
      <c r="BC291" s="113"/>
      <c r="BD291" s="113"/>
      <c r="BE291" s="113"/>
      <c r="BF291" s="113"/>
      <c r="BG291" s="113"/>
      <c r="BH291" s="113"/>
      <c r="BI291" s="113"/>
      <c r="BJ291" s="113"/>
      <c r="BK291" s="113"/>
    </row>
    <row r="292" spans="1:63">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c r="AO292" s="113"/>
      <c r="AP292" s="113"/>
      <c r="AQ292" s="113"/>
      <c r="AR292" s="113"/>
      <c r="AS292" s="113"/>
      <c r="AT292" s="113"/>
      <c r="AU292" s="113"/>
      <c r="AV292" s="113"/>
      <c r="AW292" s="113"/>
      <c r="AX292" s="113"/>
      <c r="AY292" s="113"/>
      <c r="AZ292" s="113"/>
      <c r="BA292" s="113"/>
      <c r="BB292" s="113"/>
      <c r="BC292" s="113"/>
      <c r="BD292" s="113"/>
      <c r="BE292" s="113"/>
      <c r="BF292" s="113"/>
      <c r="BG292" s="113"/>
      <c r="BH292" s="113"/>
      <c r="BI292" s="113"/>
      <c r="BJ292" s="113"/>
      <c r="BK292" s="113"/>
    </row>
    <row r="293" spans="1:63">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row>
    <row r="294" spans="1:63">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c r="BE294" s="113"/>
      <c r="BF294" s="113"/>
      <c r="BG294" s="113"/>
      <c r="BH294" s="113"/>
      <c r="BI294" s="113"/>
      <c r="BJ294" s="113"/>
      <c r="BK294" s="113"/>
    </row>
    <row r="295" spans="1:63">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row>
    <row r="296" spans="1:63">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row>
    <row r="297" spans="1:63">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row>
    <row r="298" spans="1:63">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row>
    <row r="299" spans="1:63">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row>
    <row r="300" spans="1:63">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c r="BE300" s="113"/>
      <c r="BF300" s="113"/>
      <c r="BG300" s="113"/>
      <c r="BH300" s="113"/>
      <c r="BI300" s="113"/>
      <c r="BJ300" s="113"/>
      <c r="BK300" s="113"/>
    </row>
    <row r="301" spans="1:63">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c r="BE301" s="113"/>
      <c r="BF301" s="113"/>
      <c r="BG301" s="113"/>
      <c r="BH301" s="113"/>
      <c r="BI301" s="113"/>
      <c r="BJ301" s="113"/>
      <c r="BK301" s="113"/>
    </row>
    <row r="302" spans="1:63">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row>
    <row r="303" spans="1:63">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c r="BE303" s="113"/>
      <c r="BF303" s="113"/>
      <c r="BG303" s="113"/>
      <c r="BH303" s="113"/>
      <c r="BI303" s="113"/>
      <c r="BJ303" s="113"/>
      <c r="BK303" s="113"/>
    </row>
    <row r="304" spans="1:63">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row>
    <row r="305" spans="1:63">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c r="BE305" s="113"/>
      <c r="BF305" s="113"/>
      <c r="BG305" s="113"/>
      <c r="BH305" s="113"/>
      <c r="BI305" s="113"/>
      <c r="BJ305" s="113"/>
      <c r="BK305" s="113"/>
    </row>
    <row r="306" spans="1:63">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c r="BE306" s="113"/>
      <c r="BF306" s="113"/>
      <c r="BG306" s="113"/>
      <c r="BH306" s="113"/>
      <c r="BI306" s="113"/>
      <c r="BJ306" s="113"/>
      <c r="BK306" s="113"/>
    </row>
    <row r="307" spans="1:63">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c r="BE307" s="113"/>
      <c r="BF307" s="113"/>
      <c r="BG307" s="113"/>
      <c r="BH307" s="113"/>
      <c r="BI307" s="113"/>
      <c r="BJ307" s="113"/>
      <c r="BK307" s="113"/>
    </row>
    <row r="308" spans="1:63">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113"/>
      <c r="BJ308" s="113"/>
      <c r="BK308" s="113"/>
    </row>
    <row r="309" spans="1:63">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c r="AO309" s="113"/>
      <c r="AP309" s="113"/>
      <c r="AQ309" s="113"/>
      <c r="AR309" s="113"/>
      <c r="AS309" s="113"/>
      <c r="AT309" s="113"/>
      <c r="AU309" s="113"/>
      <c r="AV309" s="113"/>
      <c r="AW309" s="113"/>
      <c r="AX309" s="113"/>
      <c r="AY309" s="113"/>
      <c r="AZ309" s="113"/>
      <c r="BA309" s="113"/>
      <c r="BB309" s="113"/>
      <c r="BC309" s="113"/>
      <c r="BD309" s="113"/>
      <c r="BE309" s="113"/>
      <c r="BF309" s="113"/>
      <c r="BG309" s="113"/>
      <c r="BH309" s="113"/>
      <c r="BI309" s="113"/>
      <c r="BJ309" s="113"/>
      <c r="BK309" s="113"/>
    </row>
    <row r="310" spans="1:63">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3"/>
      <c r="AY310" s="113"/>
      <c r="AZ310" s="113"/>
      <c r="BA310" s="113"/>
      <c r="BB310" s="113"/>
      <c r="BC310" s="113"/>
      <c r="BD310" s="113"/>
      <c r="BE310" s="113"/>
      <c r="BF310" s="113"/>
      <c r="BG310" s="113"/>
      <c r="BH310" s="113"/>
      <c r="BI310" s="113"/>
      <c r="BJ310" s="113"/>
      <c r="BK310" s="113"/>
    </row>
    <row r="311" spans="1:63">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row>
    <row r="312" spans="1:63">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row>
    <row r="313" spans="1:63">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row>
    <row r="314" spans="1:63">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row>
    <row r="315" spans="1:63">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row>
    <row r="316" spans="1:63">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3"/>
      <c r="BI316" s="113"/>
      <c r="BJ316" s="113"/>
      <c r="BK316" s="113"/>
    </row>
    <row r="317" spans="1:63">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row>
    <row r="318" spans="1:63">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row>
    <row r="319" spans="1:63">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3"/>
      <c r="BI319" s="113"/>
      <c r="BJ319" s="113"/>
      <c r="BK319" s="113"/>
    </row>
    <row r="320" spans="1:63">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row>
    <row r="321" spans="1:63">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c r="BE321" s="113"/>
      <c r="BF321" s="113"/>
      <c r="BG321" s="113"/>
      <c r="BH321" s="113"/>
      <c r="BI321" s="113"/>
      <c r="BJ321" s="113"/>
      <c r="BK321" s="113"/>
    </row>
    <row r="322" spans="1:63">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c r="BE322" s="113"/>
      <c r="BF322" s="113"/>
      <c r="BG322" s="113"/>
      <c r="BH322" s="113"/>
      <c r="BI322" s="113"/>
      <c r="BJ322" s="113"/>
      <c r="BK322" s="113"/>
    </row>
    <row r="323" spans="1:63">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row>
    <row r="324" spans="1:63">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c r="BE324" s="113"/>
      <c r="BF324" s="113"/>
      <c r="BG324" s="113"/>
      <c r="BH324" s="113"/>
      <c r="BI324" s="113"/>
      <c r="BJ324" s="113"/>
      <c r="BK324" s="113"/>
    </row>
    <row r="325" spans="1:63">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c r="BE325" s="113"/>
      <c r="BF325" s="113"/>
      <c r="BG325" s="113"/>
      <c r="BH325" s="113"/>
      <c r="BI325" s="113"/>
      <c r="BJ325" s="113"/>
      <c r="BK325" s="113"/>
    </row>
    <row r="326" spans="1:63">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c r="BE326" s="113"/>
      <c r="BF326" s="113"/>
      <c r="BG326" s="113"/>
      <c r="BH326" s="113"/>
      <c r="BI326" s="113"/>
      <c r="BJ326" s="113"/>
      <c r="BK326" s="113"/>
    </row>
    <row r="327" spans="1:63">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c r="BE327" s="113"/>
      <c r="BF327" s="113"/>
      <c r="BG327" s="113"/>
      <c r="BH327" s="113"/>
      <c r="BI327" s="113"/>
      <c r="BJ327" s="113"/>
      <c r="BK327" s="113"/>
    </row>
    <row r="328" spans="1:63">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row>
    <row r="329" spans="1:63">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row>
    <row r="330" spans="1:63">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row>
    <row r="331" spans="1:63">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113"/>
      <c r="BG331" s="113"/>
      <c r="BH331" s="113"/>
      <c r="BI331" s="113"/>
      <c r="BJ331" s="113"/>
      <c r="BK331" s="113"/>
    </row>
    <row r="332" spans="1:63">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row>
    <row r="333" spans="1:63">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c r="BF333" s="113"/>
      <c r="BG333" s="113"/>
      <c r="BH333" s="113"/>
      <c r="BI333" s="113"/>
      <c r="BJ333" s="113"/>
      <c r="BK333" s="113"/>
    </row>
    <row r="334" spans="1:63">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c r="BE334" s="113"/>
      <c r="BF334" s="113"/>
      <c r="BG334" s="113"/>
      <c r="BH334" s="113"/>
      <c r="BI334" s="113"/>
      <c r="BJ334" s="113"/>
      <c r="BK334" s="113"/>
    </row>
    <row r="335" spans="1:63">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c r="BE335" s="113"/>
      <c r="BF335" s="113"/>
      <c r="BG335" s="113"/>
      <c r="BH335" s="113"/>
      <c r="BI335" s="113"/>
      <c r="BJ335" s="113"/>
      <c r="BK335" s="113"/>
    </row>
    <row r="336" spans="1:63">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row>
    <row r="337" spans="1:63">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c r="BF337" s="113"/>
      <c r="BG337" s="113"/>
      <c r="BH337" s="113"/>
      <c r="BI337" s="113"/>
      <c r="BJ337" s="113"/>
      <c r="BK337" s="113"/>
    </row>
    <row r="338" spans="1:63">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c r="BF338" s="113"/>
      <c r="BG338" s="113"/>
      <c r="BH338" s="113"/>
      <c r="BI338" s="113"/>
      <c r="BJ338" s="113"/>
      <c r="BK338" s="113"/>
    </row>
    <row r="339" spans="1:63">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c r="BE339" s="113"/>
      <c r="BF339" s="113"/>
      <c r="BG339" s="113"/>
      <c r="BH339" s="113"/>
      <c r="BI339" s="113"/>
      <c r="BJ339" s="113"/>
      <c r="BK339" s="113"/>
    </row>
    <row r="340" spans="1:63">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row>
    <row r="341" spans="1:63">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row>
    <row r="342" spans="1:63">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c r="BF342" s="113"/>
      <c r="BG342" s="113"/>
      <c r="BH342" s="113"/>
      <c r="BI342" s="113"/>
      <c r="BJ342" s="113"/>
      <c r="BK342" s="113"/>
    </row>
    <row r="343" spans="1:63">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3"/>
      <c r="BI343" s="113"/>
      <c r="BJ343" s="113"/>
      <c r="BK343" s="113"/>
    </row>
    <row r="344" spans="1:63">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c r="BE344" s="113"/>
      <c r="BF344" s="113"/>
      <c r="BG344" s="113"/>
      <c r="BH344" s="113"/>
      <c r="BI344" s="113"/>
      <c r="BJ344" s="113"/>
      <c r="BK344" s="113"/>
    </row>
    <row r="345" spans="1:63">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c r="BE345" s="113"/>
      <c r="BF345" s="113"/>
      <c r="BG345" s="113"/>
      <c r="BH345" s="113"/>
      <c r="BI345" s="113"/>
      <c r="BJ345" s="113"/>
      <c r="BK345" s="113"/>
    </row>
    <row r="346" spans="1:63">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c r="BE346" s="113"/>
      <c r="BF346" s="113"/>
      <c r="BG346" s="113"/>
      <c r="BH346" s="113"/>
      <c r="BI346" s="113"/>
      <c r="BJ346" s="113"/>
      <c r="BK346" s="113"/>
    </row>
    <row r="347" spans="1:63">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c r="BE347" s="113"/>
      <c r="BF347" s="113"/>
      <c r="BG347" s="113"/>
      <c r="BH347" s="113"/>
      <c r="BI347" s="113"/>
      <c r="BJ347" s="113"/>
      <c r="BK347" s="113"/>
    </row>
    <row r="348" spans="1:63">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row>
    <row r="349" spans="1:63">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row>
    <row r="350" spans="1:63">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c r="BE350" s="113"/>
      <c r="BF350" s="113"/>
      <c r="BG350" s="113"/>
      <c r="BH350" s="113"/>
      <c r="BI350" s="113"/>
      <c r="BJ350" s="113"/>
      <c r="BK350" s="113"/>
    </row>
    <row r="351" spans="1:63">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113"/>
      <c r="BI351" s="113"/>
      <c r="BJ351" s="113"/>
      <c r="BK351" s="113"/>
    </row>
    <row r="352" spans="1:63">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row>
    <row r="353" spans="1:63">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c r="BE353" s="113"/>
      <c r="BF353" s="113"/>
      <c r="BG353" s="113"/>
      <c r="BH353" s="113"/>
      <c r="BI353" s="113"/>
      <c r="BJ353" s="113"/>
      <c r="BK353" s="113"/>
    </row>
    <row r="354" spans="1:63">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c r="BE354" s="113"/>
      <c r="BF354" s="113"/>
      <c r="BG354" s="113"/>
      <c r="BH354" s="113"/>
      <c r="BI354" s="113"/>
      <c r="BJ354" s="113"/>
      <c r="BK354" s="113"/>
    </row>
    <row r="355" spans="1:63">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c r="AO355" s="113"/>
      <c r="AP355" s="113"/>
      <c r="AQ355" s="113"/>
      <c r="AR355" s="113"/>
      <c r="AS355" s="113"/>
      <c r="AT355" s="113"/>
      <c r="AU355" s="113"/>
      <c r="AV355" s="113"/>
      <c r="AW355" s="113"/>
      <c r="AX355" s="113"/>
      <c r="AY355" s="113"/>
      <c r="AZ355" s="113"/>
      <c r="BA355" s="113"/>
      <c r="BB355" s="113"/>
      <c r="BC355" s="113"/>
      <c r="BD355" s="113"/>
      <c r="BE355" s="113"/>
      <c r="BF355" s="113"/>
      <c r="BG355" s="113"/>
      <c r="BH355" s="113"/>
      <c r="BI355" s="113"/>
      <c r="BJ355" s="113"/>
      <c r="BK355" s="113"/>
    </row>
    <row r="356" spans="1:63">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row>
    <row r="357" spans="1:63">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c r="AO357" s="113"/>
      <c r="AP357" s="113"/>
      <c r="AQ357" s="113"/>
      <c r="AR357" s="113"/>
      <c r="AS357" s="113"/>
      <c r="AT357" s="113"/>
      <c r="AU357" s="113"/>
      <c r="AV357" s="113"/>
      <c r="AW357" s="113"/>
      <c r="AX357" s="113"/>
      <c r="AY357" s="113"/>
      <c r="AZ357" s="113"/>
      <c r="BA357" s="113"/>
      <c r="BB357" s="113"/>
      <c r="BC357" s="113"/>
      <c r="BD357" s="113"/>
      <c r="BE357" s="113"/>
      <c r="BF357" s="113"/>
      <c r="BG357" s="113"/>
      <c r="BH357" s="113"/>
      <c r="BI357" s="113"/>
      <c r="BJ357" s="113"/>
      <c r="BK357" s="113"/>
    </row>
    <row r="358" spans="1:63">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c r="AO358" s="113"/>
      <c r="AP358" s="113"/>
      <c r="AQ358" s="113"/>
      <c r="AR358" s="113"/>
      <c r="AS358" s="113"/>
      <c r="AT358" s="113"/>
      <c r="AU358" s="113"/>
      <c r="AV358" s="113"/>
      <c r="AW358" s="113"/>
      <c r="AX358" s="113"/>
      <c r="AY358" s="113"/>
      <c r="AZ358" s="113"/>
      <c r="BA358" s="113"/>
      <c r="BB358" s="113"/>
      <c r="BC358" s="113"/>
      <c r="BD358" s="113"/>
      <c r="BE358" s="113"/>
      <c r="BF358" s="113"/>
      <c r="BG358" s="113"/>
      <c r="BH358" s="113"/>
      <c r="BI358" s="113"/>
      <c r="BJ358" s="113"/>
      <c r="BK358" s="113"/>
    </row>
    <row r="359" spans="1:63">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c r="AO359" s="113"/>
      <c r="AP359" s="113"/>
      <c r="AQ359" s="113"/>
      <c r="AR359" s="113"/>
      <c r="AS359" s="113"/>
      <c r="AT359" s="113"/>
      <c r="AU359" s="113"/>
      <c r="AV359" s="113"/>
      <c r="AW359" s="113"/>
      <c r="AX359" s="113"/>
      <c r="AY359" s="113"/>
      <c r="AZ359" s="113"/>
      <c r="BA359" s="113"/>
      <c r="BB359" s="113"/>
      <c r="BC359" s="113"/>
      <c r="BD359" s="113"/>
      <c r="BE359" s="113"/>
      <c r="BF359" s="113"/>
      <c r="BG359" s="113"/>
      <c r="BH359" s="113"/>
      <c r="BI359" s="113"/>
      <c r="BJ359" s="113"/>
      <c r="BK359" s="113"/>
    </row>
    <row r="360" spans="1:63">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c r="AO360" s="113"/>
      <c r="AP360" s="113"/>
      <c r="AQ360" s="113"/>
      <c r="AR360" s="113"/>
      <c r="AS360" s="113"/>
      <c r="AT360" s="113"/>
      <c r="AU360" s="113"/>
      <c r="AV360" s="113"/>
      <c r="AW360" s="113"/>
      <c r="AX360" s="113"/>
      <c r="AY360" s="113"/>
      <c r="AZ360" s="113"/>
      <c r="BA360" s="113"/>
      <c r="BB360" s="113"/>
      <c r="BC360" s="113"/>
      <c r="BD360" s="113"/>
      <c r="BE360" s="113"/>
      <c r="BF360" s="113"/>
      <c r="BG360" s="113"/>
      <c r="BH360" s="113"/>
      <c r="BI360" s="113"/>
      <c r="BJ360" s="113"/>
      <c r="BK360" s="113"/>
    </row>
    <row r="361" spans="1:63">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row>
    <row r="362" spans="1:63">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row>
    <row r="363" spans="1:63">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c r="BE363" s="113"/>
      <c r="BF363" s="113"/>
      <c r="BG363" s="113"/>
      <c r="BH363" s="113"/>
      <c r="BI363" s="113"/>
      <c r="BJ363" s="113"/>
      <c r="BK363" s="113"/>
    </row>
    <row r="364" spans="1:63">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c r="BE364" s="113"/>
      <c r="BF364" s="113"/>
      <c r="BG364" s="113"/>
      <c r="BH364" s="113"/>
      <c r="BI364" s="113"/>
      <c r="BJ364" s="113"/>
      <c r="BK364" s="113"/>
    </row>
    <row r="365" spans="1:63">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c r="BE365" s="113"/>
      <c r="BF365" s="113"/>
      <c r="BG365" s="113"/>
      <c r="BH365" s="113"/>
      <c r="BI365" s="113"/>
      <c r="BJ365" s="113"/>
      <c r="BK365" s="113"/>
    </row>
    <row r="366" spans="1:63">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c r="BE366" s="113"/>
      <c r="BF366" s="113"/>
      <c r="BG366" s="113"/>
      <c r="BH366" s="113"/>
      <c r="BI366" s="113"/>
      <c r="BJ366" s="113"/>
      <c r="BK366" s="113"/>
    </row>
    <row r="367" spans="1:63">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c r="BE367" s="113"/>
      <c r="BF367" s="113"/>
      <c r="BG367" s="113"/>
      <c r="BH367" s="113"/>
      <c r="BI367" s="113"/>
      <c r="BJ367" s="113"/>
      <c r="BK367" s="113"/>
    </row>
    <row r="368" spans="1:63">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c r="BE368" s="113"/>
      <c r="BF368" s="113"/>
      <c r="BG368" s="113"/>
      <c r="BH368" s="113"/>
      <c r="BI368" s="113"/>
      <c r="BJ368" s="113"/>
      <c r="BK368" s="113"/>
    </row>
    <row r="369" spans="1:63">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c r="BE369" s="113"/>
      <c r="BF369" s="113"/>
      <c r="BG369" s="113"/>
      <c r="BH369" s="113"/>
      <c r="BI369" s="113"/>
      <c r="BJ369" s="113"/>
      <c r="BK369" s="113"/>
    </row>
    <row r="370" spans="1:63">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c r="BE370" s="113"/>
      <c r="BF370" s="113"/>
      <c r="BG370" s="113"/>
      <c r="BH370" s="113"/>
      <c r="BI370" s="113"/>
      <c r="BJ370" s="113"/>
      <c r="BK370" s="113"/>
    </row>
    <row r="371" spans="1:63">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c r="BE371" s="113"/>
      <c r="BF371" s="113"/>
      <c r="BG371" s="113"/>
      <c r="BH371" s="113"/>
      <c r="BI371" s="113"/>
      <c r="BJ371" s="113"/>
      <c r="BK371" s="113"/>
    </row>
  </sheetData>
  <pageMargins left="0.7" right="0.7" top="0.75" bottom="0.75" header="0.3" footer="0.3"/>
  <pageSetup scale="96" orientation="portrait" r:id="rId1"/>
</worksheet>
</file>

<file path=xl/worksheets/sheet12.xml><?xml version="1.0" encoding="utf-8"?>
<worksheet xmlns="http://schemas.openxmlformats.org/spreadsheetml/2006/main" xmlns:r="http://schemas.openxmlformats.org/officeDocument/2006/relationships">
  <sheetPr>
    <tabColor theme="8"/>
    <pageSetUpPr fitToPage="1"/>
  </sheetPr>
  <dimension ref="A1:N151"/>
  <sheetViews>
    <sheetView zoomScaleNormal="100" workbookViewId="0">
      <pane xSplit="2" ySplit="7" topLeftCell="C8" activePane="bottomRight" state="frozen"/>
      <selection activeCell="L37" sqref="L37"/>
      <selection pane="topRight" activeCell="L37" sqref="L37"/>
      <selection pane="bottomLeft" activeCell="L37" sqref="L37"/>
      <selection pane="bottomRight" activeCell="B28" sqref="B28:D28"/>
    </sheetView>
  </sheetViews>
  <sheetFormatPr defaultRowHeight="12.75"/>
  <cols>
    <col min="1" max="1" width="22.7109375" style="321" customWidth="1"/>
    <col min="2" max="2" width="29.140625" style="321" bestFit="1" customWidth="1"/>
    <col min="3" max="3" width="13.28515625" style="321" customWidth="1"/>
    <col min="4" max="4" width="16.7109375" style="321" customWidth="1"/>
    <col min="5" max="5" width="13.7109375" style="321" bestFit="1" customWidth="1"/>
    <col min="6" max="6" width="15" style="321" bestFit="1" customWidth="1"/>
    <col min="7" max="7" width="12" style="321" bestFit="1" customWidth="1"/>
    <col min="8" max="8" width="1" style="321" customWidth="1"/>
    <col min="9" max="9" width="14.5703125" style="321" bestFit="1" customWidth="1"/>
    <col min="10" max="10" width="15.42578125" style="321" bestFit="1" customWidth="1"/>
    <col min="11" max="11" width="8.42578125" style="321" bestFit="1" customWidth="1"/>
    <col min="12" max="12" width="2" style="321" customWidth="1"/>
    <col min="13" max="13" width="9.140625" style="321"/>
    <col min="14" max="14" width="12" style="321" bestFit="1" customWidth="1"/>
    <col min="15" max="16384" width="9.140625" style="321"/>
  </cols>
  <sheetData>
    <row r="1" spans="1:14" ht="12" customHeight="1">
      <c r="A1" s="319" t="s">
        <v>752</v>
      </c>
      <c r="B1" s="320"/>
      <c r="C1" s="369" t="s">
        <v>754</v>
      </c>
      <c r="D1" s="320"/>
      <c r="E1" s="320"/>
      <c r="F1" s="320"/>
      <c r="G1" s="320"/>
      <c r="H1" s="320"/>
      <c r="I1" s="320"/>
      <c r="J1" s="320"/>
    </row>
    <row r="2" spans="1:14" ht="12" customHeight="1">
      <c r="A2" s="319" t="s">
        <v>753</v>
      </c>
      <c r="B2" s="320"/>
      <c r="D2" s="320"/>
      <c r="F2" s="320"/>
      <c r="G2" s="320"/>
      <c r="H2" s="320"/>
      <c r="I2" s="320"/>
      <c r="J2" s="320"/>
    </row>
    <row r="3" spans="1:14" ht="12" customHeight="1">
      <c r="A3" s="322" t="s">
        <v>373</v>
      </c>
      <c r="B3" s="320"/>
      <c r="C3" s="320" t="s">
        <v>1000</v>
      </c>
      <c r="D3" s="320"/>
      <c r="E3" s="320"/>
      <c r="F3" s="320"/>
      <c r="G3" s="320"/>
      <c r="H3" s="320"/>
      <c r="I3" s="320"/>
      <c r="J3" s="320"/>
    </row>
    <row r="4" spans="1:14" ht="12" customHeight="1">
      <c r="B4" s="320"/>
      <c r="C4" s="320"/>
      <c r="D4" s="320"/>
      <c r="E4" s="320"/>
      <c r="F4" s="320"/>
      <c r="G4" s="320"/>
      <c r="H4" s="320"/>
      <c r="I4" s="320"/>
      <c r="J4" s="320"/>
    </row>
    <row r="5" spans="1:14" ht="12" customHeight="1">
      <c r="A5" s="323"/>
      <c r="B5" s="324"/>
      <c r="C5" s="325" t="s">
        <v>755</v>
      </c>
      <c r="D5" s="325" t="s">
        <v>756</v>
      </c>
      <c r="E5" s="326" t="s">
        <v>755</v>
      </c>
      <c r="F5" s="326" t="s">
        <v>756</v>
      </c>
      <c r="G5" s="327" t="s">
        <v>1</v>
      </c>
      <c r="H5" s="320"/>
      <c r="I5" s="328" t="s">
        <v>755</v>
      </c>
      <c r="J5" s="328" t="s">
        <v>756</v>
      </c>
      <c r="K5" s="329" t="s">
        <v>757</v>
      </c>
      <c r="M5" s="1034">
        <f>'LG G-48'!E39</f>
        <v>0.20581130465032496</v>
      </c>
      <c r="N5" s="1035" t="s">
        <v>19</v>
      </c>
    </row>
    <row r="6" spans="1:14" ht="12" customHeight="1">
      <c r="A6" s="325" t="s">
        <v>758</v>
      </c>
      <c r="B6" s="324" t="s">
        <v>759</v>
      </c>
      <c r="C6" s="325" t="s">
        <v>760</v>
      </c>
      <c r="D6" s="325" t="s">
        <v>760</v>
      </c>
      <c r="E6" s="327" t="s">
        <v>19</v>
      </c>
      <c r="F6" s="327" t="s">
        <v>19</v>
      </c>
      <c r="G6" s="327" t="s">
        <v>19</v>
      </c>
      <c r="H6" s="320"/>
      <c r="I6" s="330" t="s">
        <v>761</v>
      </c>
      <c r="J6" s="330" t="s">
        <v>761</v>
      </c>
      <c r="K6" s="329" t="s">
        <v>762</v>
      </c>
      <c r="M6" s="1035" t="s">
        <v>242</v>
      </c>
      <c r="N6" s="1035" t="s">
        <v>242</v>
      </c>
    </row>
    <row r="7" spans="1:14" ht="6.75" customHeight="1"/>
    <row r="8" spans="1:14" s="320" customFormat="1" ht="12" customHeight="1">
      <c r="K8" s="321"/>
    </row>
    <row r="9" spans="1:14" s="320" customFormat="1" ht="12" customHeight="1">
      <c r="D9" s="331"/>
      <c r="E9" s="331"/>
      <c r="K9" s="321"/>
    </row>
    <row r="10" spans="1:14" s="320" customFormat="1" ht="12" customHeight="1">
      <c r="A10" s="332" t="s">
        <v>763</v>
      </c>
      <c r="B10" s="332" t="s">
        <v>763</v>
      </c>
      <c r="C10" s="332"/>
      <c r="D10" s="331"/>
      <c r="E10" s="331"/>
      <c r="K10" s="321"/>
    </row>
    <row r="11" spans="1:14" s="320" customFormat="1" ht="12" customHeight="1">
      <c r="A11" s="332"/>
      <c r="B11" s="332"/>
      <c r="C11" s="332"/>
      <c r="D11" s="331"/>
      <c r="E11" s="331"/>
      <c r="K11" s="321"/>
    </row>
    <row r="12" spans="1:14" s="320" customFormat="1" ht="12" customHeight="1">
      <c r="A12" s="333" t="s">
        <v>764</v>
      </c>
      <c r="B12" s="333" t="s">
        <v>764</v>
      </c>
      <c r="C12" s="333"/>
      <c r="D12" s="334"/>
      <c r="E12" s="335"/>
      <c r="F12" s="335"/>
      <c r="G12" s="336"/>
      <c r="I12" s="335"/>
      <c r="J12" s="335"/>
      <c r="K12" s="321"/>
    </row>
    <row r="13" spans="1:14" s="320" customFormat="1" ht="12" customHeight="1">
      <c r="A13" s="337" t="s">
        <v>765</v>
      </c>
      <c r="B13" s="338" t="s">
        <v>766</v>
      </c>
      <c r="C13" s="339">
        <v>12.7</v>
      </c>
      <c r="D13" s="334">
        <v>14.27</v>
      </c>
      <c r="E13" s="335">
        <v>0</v>
      </c>
      <c r="F13" s="335">
        <v>85.61999999999999</v>
      </c>
      <c r="G13" s="335">
        <f t="shared" ref="G13:G39" si="0">SUM(E13:F13)</f>
        <v>85.61999999999999</v>
      </c>
      <c r="I13" s="335">
        <f>IFERROR(E13/($C13),0)/5</f>
        <v>0</v>
      </c>
      <c r="J13" s="335">
        <f>IFERROR(F13/($D13),0)/7</f>
        <v>0.85714285714285698</v>
      </c>
      <c r="K13" s="340">
        <f t="shared" ref="K13:K24" si="1">IFERROR(AVERAGEIF(I13:J13,"&lt;&gt;0"),0)</f>
        <v>0.85714285714285698</v>
      </c>
      <c r="M13" s="1033">
        <f>D13*$M$5</f>
        <v>2.9369273173601371</v>
      </c>
      <c r="N13" s="1033">
        <f>M13*K13*12</f>
        <v>30.208395264275694</v>
      </c>
    </row>
    <row r="14" spans="1:14" s="320" customFormat="1" ht="12" customHeight="1">
      <c r="A14" s="337" t="s">
        <v>767</v>
      </c>
      <c r="B14" s="338" t="s">
        <v>768</v>
      </c>
      <c r="C14" s="339">
        <v>13.8</v>
      </c>
      <c r="D14" s="334">
        <v>16.47</v>
      </c>
      <c r="E14" s="335">
        <v>59164.569999999992</v>
      </c>
      <c r="F14" s="335">
        <v>103473.43000000001</v>
      </c>
      <c r="G14" s="335">
        <f t="shared" si="0"/>
        <v>162638</v>
      </c>
      <c r="I14" s="335">
        <f t="shared" ref="I14:I24" si="2">IFERROR(E14/($C14),0)/5</f>
        <v>857.45753623188398</v>
      </c>
      <c r="J14" s="335">
        <f t="shared" ref="J14:J24" si="3">IFERROR(F14/($D14),0)/7</f>
        <v>897.50568132535352</v>
      </c>
      <c r="K14" s="340">
        <f t="shared" si="1"/>
        <v>877.48160877861869</v>
      </c>
      <c r="M14" s="1033">
        <f t="shared" ref="M14:M39" si="4">D14*$M$5</f>
        <v>3.389712187590852</v>
      </c>
      <c r="N14" s="1033">
        <f t="shared" ref="N14:N39" si="5">M14*K14*12</f>
        <v>35692.921243964542</v>
      </c>
    </row>
    <row r="15" spans="1:14" s="320" customFormat="1" ht="12" customHeight="1">
      <c r="A15" s="337" t="s">
        <v>769</v>
      </c>
      <c r="B15" s="338" t="s">
        <v>770</v>
      </c>
      <c r="C15" s="339">
        <v>18.55</v>
      </c>
      <c r="D15" s="334">
        <v>22.55</v>
      </c>
      <c r="E15" s="335">
        <v>31501.759999999998</v>
      </c>
      <c r="F15" s="335">
        <v>55878.609999999993</v>
      </c>
      <c r="G15" s="335">
        <f t="shared" si="0"/>
        <v>87380.37</v>
      </c>
      <c r="I15" s="335">
        <f t="shared" si="2"/>
        <v>339.64161725067385</v>
      </c>
      <c r="J15" s="335">
        <f t="shared" si="3"/>
        <v>353.99816281279692</v>
      </c>
      <c r="K15" s="340">
        <f t="shared" si="1"/>
        <v>346.81989003173538</v>
      </c>
      <c r="M15" s="1033">
        <f t="shared" si="4"/>
        <v>4.6410449198648278</v>
      </c>
      <c r="N15" s="1033">
        <f t="shared" si="5"/>
        <v>19315.280264878365</v>
      </c>
    </row>
    <row r="16" spans="1:14" s="320" customFormat="1" ht="12" customHeight="1">
      <c r="A16" s="337" t="s">
        <v>771</v>
      </c>
      <c r="B16" s="338" t="s">
        <v>772</v>
      </c>
      <c r="C16" s="339">
        <v>23.3</v>
      </c>
      <c r="D16" s="334">
        <v>29.34</v>
      </c>
      <c r="E16" s="335">
        <v>4436.2700000000004</v>
      </c>
      <c r="F16" s="335">
        <v>7764.41</v>
      </c>
      <c r="G16" s="335">
        <f t="shared" si="0"/>
        <v>12200.68</v>
      </c>
      <c r="I16" s="335">
        <f t="shared" si="2"/>
        <v>38.079570815450651</v>
      </c>
      <c r="J16" s="335">
        <f t="shared" si="3"/>
        <v>37.805092998344534</v>
      </c>
      <c r="K16" s="340">
        <f t="shared" si="1"/>
        <v>37.942331906897593</v>
      </c>
      <c r="M16" s="1033">
        <f t="shared" si="4"/>
        <v>6.0385036784405344</v>
      </c>
      <c r="N16" s="1033">
        <f t="shared" si="5"/>
        <v>2749.3789294609533</v>
      </c>
    </row>
    <row r="17" spans="1:14" s="320" customFormat="1" ht="12" customHeight="1">
      <c r="A17" s="337" t="s">
        <v>773</v>
      </c>
      <c r="B17" s="338" t="s">
        <v>774</v>
      </c>
      <c r="C17" s="339">
        <v>28.1</v>
      </c>
      <c r="D17" s="334">
        <v>35.700000000000003</v>
      </c>
      <c r="E17" s="335">
        <v>754.49</v>
      </c>
      <c r="F17" s="335">
        <v>2391.9</v>
      </c>
      <c r="G17" s="335">
        <f t="shared" si="0"/>
        <v>3146.3900000000003</v>
      </c>
      <c r="I17" s="335">
        <f t="shared" si="2"/>
        <v>5.3700355871886121</v>
      </c>
      <c r="J17" s="335">
        <f t="shared" si="3"/>
        <v>9.5714285714285712</v>
      </c>
      <c r="K17" s="340">
        <f t="shared" si="1"/>
        <v>7.4707320793085916</v>
      </c>
      <c r="M17" s="1033">
        <f t="shared" si="4"/>
        <v>7.3474635760166018</v>
      </c>
      <c r="N17" s="1033">
        <f t="shared" si="5"/>
        <v>658.69118206678377</v>
      </c>
    </row>
    <row r="18" spans="1:14" s="320" customFormat="1" ht="12" customHeight="1">
      <c r="A18" s="337" t="s">
        <v>775</v>
      </c>
      <c r="B18" s="338" t="s">
        <v>776</v>
      </c>
      <c r="C18" s="339">
        <v>34.1</v>
      </c>
      <c r="D18" s="334">
        <v>43.27</v>
      </c>
      <c r="E18" s="335">
        <v>170.5</v>
      </c>
      <c r="F18" s="335">
        <v>86.54</v>
      </c>
      <c r="G18" s="335">
        <f t="shared" si="0"/>
        <v>257.04000000000002</v>
      </c>
      <c r="I18" s="335">
        <f t="shared" si="2"/>
        <v>1</v>
      </c>
      <c r="J18" s="335">
        <f t="shared" si="3"/>
        <v>0.2857142857142857</v>
      </c>
      <c r="K18" s="340">
        <f t="shared" si="1"/>
        <v>0.64285714285714279</v>
      </c>
      <c r="M18" s="1033">
        <f t="shared" si="4"/>
        <v>8.9054551522195613</v>
      </c>
      <c r="N18" s="1033">
        <f t="shared" si="5"/>
        <v>68.699225459979473</v>
      </c>
    </row>
    <row r="19" spans="1:14" s="320" customFormat="1" ht="12" customHeight="1">
      <c r="A19" s="337" t="s">
        <v>777</v>
      </c>
      <c r="B19" s="338" t="s">
        <v>778</v>
      </c>
      <c r="C19" s="339">
        <v>39.049999999999997</v>
      </c>
      <c r="D19" s="334">
        <v>51.36</v>
      </c>
      <c r="E19" s="335">
        <v>390.5</v>
      </c>
      <c r="F19" s="335">
        <v>513.6</v>
      </c>
      <c r="G19" s="335">
        <f t="shared" si="0"/>
        <v>904.1</v>
      </c>
      <c r="I19" s="335">
        <f t="shared" si="2"/>
        <v>2</v>
      </c>
      <c r="J19" s="335">
        <f t="shared" si="3"/>
        <v>1.4285714285714286</v>
      </c>
      <c r="K19" s="340">
        <f t="shared" si="1"/>
        <v>1.7142857142857144</v>
      </c>
      <c r="M19" s="1033">
        <f t="shared" si="4"/>
        <v>10.57046860684069</v>
      </c>
      <c r="N19" s="1033">
        <f t="shared" si="5"/>
        <v>217.44963991215135</v>
      </c>
    </row>
    <row r="20" spans="1:14" s="320" customFormat="1" ht="12" customHeight="1">
      <c r="A20" s="337" t="s">
        <v>779</v>
      </c>
      <c r="B20" s="338" t="s">
        <v>780</v>
      </c>
      <c r="C20" s="339">
        <v>9.1999999999999993</v>
      </c>
      <c r="D20" s="334">
        <v>10.44</v>
      </c>
      <c r="E20" s="335">
        <v>3861.5200000000004</v>
      </c>
      <c r="F20" s="335">
        <v>6597.39</v>
      </c>
      <c r="G20" s="335">
        <f t="shared" si="0"/>
        <v>10458.91</v>
      </c>
      <c r="I20" s="335">
        <f t="shared" si="2"/>
        <v>83.946086956521754</v>
      </c>
      <c r="J20" s="335">
        <f t="shared" si="3"/>
        <v>90.276272577996721</v>
      </c>
      <c r="K20" s="340">
        <f t="shared" si="1"/>
        <v>87.111179767259244</v>
      </c>
      <c r="M20" s="1033">
        <f t="shared" si="4"/>
        <v>2.1486700205493925</v>
      </c>
      <c r="N20" s="1033">
        <f t="shared" si="5"/>
        <v>2246.0781650471849</v>
      </c>
    </row>
    <row r="21" spans="1:14" s="320" customFormat="1" ht="12" customHeight="1">
      <c r="A21" s="337" t="s">
        <v>781</v>
      </c>
      <c r="B21" s="338" t="s">
        <v>782</v>
      </c>
      <c r="C21" s="339">
        <v>4.5999999999999996</v>
      </c>
      <c r="D21" s="334">
        <v>5.22</v>
      </c>
      <c r="E21" s="335">
        <v>585.45000000000005</v>
      </c>
      <c r="F21" s="335">
        <v>970.92000000000007</v>
      </c>
      <c r="G21" s="335">
        <f t="shared" si="0"/>
        <v>1556.3700000000001</v>
      </c>
      <c r="I21" s="335">
        <f t="shared" si="2"/>
        <v>25.454347826086959</v>
      </c>
      <c r="J21" s="335">
        <f t="shared" si="3"/>
        <v>26.571428571428577</v>
      </c>
      <c r="K21" s="340">
        <f t="shared" si="1"/>
        <v>26.012888198757768</v>
      </c>
      <c r="M21" s="1033">
        <f t="shared" si="4"/>
        <v>1.0743350102746962</v>
      </c>
      <c r="N21" s="1033">
        <f t="shared" si="5"/>
        <v>335.35867812344338</v>
      </c>
    </row>
    <row r="22" spans="1:14" s="320" customFormat="1" ht="12" customHeight="1">
      <c r="A22" s="337" t="s">
        <v>783</v>
      </c>
      <c r="B22" s="338" t="s">
        <v>784</v>
      </c>
      <c r="C22" s="339">
        <v>22.95</v>
      </c>
      <c r="D22" s="334">
        <v>26.7</v>
      </c>
      <c r="E22" s="335">
        <v>11825.32</v>
      </c>
      <c r="F22" s="335">
        <v>17106.21</v>
      </c>
      <c r="G22" s="335">
        <f t="shared" si="0"/>
        <v>28931.53</v>
      </c>
      <c r="I22" s="335">
        <f t="shared" si="2"/>
        <v>103.05289760348585</v>
      </c>
      <c r="J22" s="335">
        <f t="shared" si="3"/>
        <v>91.526003210272862</v>
      </c>
      <c r="K22" s="340">
        <f t="shared" si="1"/>
        <v>97.289450406879354</v>
      </c>
      <c r="M22" s="1033">
        <f t="shared" si="4"/>
        <v>5.4951618341636763</v>
      </c>
      <c r="N22" s="1033">
        <f t="shared" si="5"/>
        <v>6415.4552969117185</v>
      </c>
    </row>
    <row r="23" spans="1:14" s="320" customFormat="1" ht="12" customHeight="1">
      <c r="A23" s="337" t="s">
        <v>785</v>
      </c>
      <c r="B23" s="338" t="s">
        <v>786</v>
      </c>
      <c r="C23" s="339">
        <v>28.4</v>
      </c>
      <c r="D23" s="334">
        <v>28.85</v>
      </c>
      <c r="E23" s="335">
        <v>668.1</v>
      </c>
      <c r="F23" s="335">
        <v>28.85</v>
      </c>
      <c r="G23" s="335">
        <f t="shared" si="0"/>
        <v>696.95</v>
      </c>
      <c r="I23" s="335">
        <f t="shared" si="2"/>
        <v>4.7049295774647888</v>
      </c>
      <c r="J23" s="335">
        <f t="shared" si="3"/>
        <v>0.14285714285714285</v>
      </c>
      <c r="K23" s="340">
        <f t="shared" si="1"/>
        <v>2.423893360160966</v>
      </c>
      <c r="M23" s="1033">
        <f t="shared" si="4"/>
        <v>5.9376561391618754</v>
      </c>
      <c r="N23" s="1033">
        <f t="shared" si="5"/>
        <v>172.70694348760159</v>
      </c>
    </row>
    <row r="24" spans="1:14" s="320" customFormat="1" ht="12" customHeight="1">
      <c r="A24" s="337" t="s">
        <v>787</v>
      </c>
      <c r="B24" s="338" t="s">
        <v>788</v>
      </c>
      <c r="C24" s="339">
        <v>29.66</v>
      </c>
      <c r="D24" s="334">
        <v>33.340000000000003</v>
      </c>
      <c r="E24" s="335">
        <v>1064.71</v>
      </c>
      <c r="F24" s="335">
        <v>1867.0400000000002</v>
      </c>
      <c r="G24" s="335">
        <f t="shared" si="0"/>
        <v>2931.75</v>
      </c>
      <c r="I24" s="335">
        <f t="shared" si="2"/>
        <v>7.1794335805799063</v>
      </c>
      <c r="J24" s="335">
        <f t="shared" si="3"/>
        <v>8</v>
      </c>
      <c r="K24" s="340">
        <f t="shared" si="1"/>
        <v>7.5897167902899536</v>
      </c>
      <c r="M24" s="1033">
        <f t="shared" si="4"/>
        <v>6.861748897041835</v>
      </c>
      <c r="N24" s="1033">
        <f t="shared" si="5"/>
        <v>624.94476977558384</v>
      </c>
    </row>
    <row r="25" spans="1:14" s="320" customFormat="1" ht="12" customHeight="1">
      <c r="A25" s="337" t="s">
        <v>789</v>
      </c>
      <c r="B25" s="338" t="s">
        <v>790</v>
      </c>
      <c r="C25" s="339">
        <v>4.5999999999999996</v>
      </c>
      <c r="D25" s="334">
        <v>5.22</v>
      </c>
      <c r="E25" s="335">
        <v>1242.8999999999999</v>
      </c>
      <c r="F25" s="335">
        <v>1762.4000000000003</v>
      </c>
      <c r="G25" s="335">
        <f t="shared" si="0"/>
        <v>3005.3</v>
      </c>
      <c r="I25" s="335">
        <f t="shared" ref="I25:I28" si="6">IFERROR(E25/($C25),0)/5</f>
        <v>54.039130434782614</v>
      </c>
      <c r="J25" s="335">
        <f t="shared" ref="J25:J28" si="7">IFERROR(F25/($D25),0)/7</f>
        <v>48.232074438970997</v>
      </c>
      <c r="K25" s="340">
        <f t="shared" ref="K25:K28" si="8">IFERROR(AVERAGEIF(I25:J25,"&lt;&gt;0"),0)</f>
        <v>51.135602436876809</v>
      </c>
      <c r="M25" s="1033">
        <f t="shared" si="4"/>
        <v>1.0743350102746962</v>
      </c>
      <c r="N25" s="1033">
        <f t="shared" si="5"/>
        <v>659.24121563309791</v>
      </c>
    </row>
    <row r="26" spans="1:14" s="320" customFormat="1" ht="12" customHeight="1">
      <c r="A26" s="337" t="s">
        <v>791</v>
      </c>
      <c r="B26" s="338" t="s">
        <v>792</v>
      </c>
      <c r="C26" s="339">
        <v>3.2</v>
      </c>
      <c r="D26" s="334">
        <v>3.82</v>
      </c>
      <c r="E26" s="335">
        <v>9844.5500000000011</v>
      </c>
      <c r="F26" s="335">
        <v>10536.679999999998</v>
      </c>
      <c r="G26" s="335">
        <f t="shared" si="0"/>
        <v>20381.23</v>
      </c>
      <c r="I26" s="335">
        <f t="shared" si="6"/>
        <v>615.28437499999995</v>
      </c>
      <c r="J26" s="335">
        <f t="shared" si="7"/>
        <v>394.04188481675385</v>
      </c>
      <c r="K26" s="340">
        <f t="shared" si="8"/>
        <v>504.6631299083769</v>
      </c>
      <c r="M26" s="1033">
        <f t="shared" si="4"/>
        <v>0.78619918376424136</v>
      </c>
      <c r="N26" s="1033">
        <f t="shared" si="5"/>
        <v>4761.188889718479</v>
      </c>
    </row>
    <row r="27" spans="1:14" s="320" customFormat="1" ht="12" customHeight="1">
      <c r="A27" s="337" t="s">
        <v>793</v>
      </c>
      <c r="B27" s="338" t="s">
        <v>794</v>
      </c>
      <c r="C27" s="339">
        <v>3.05</v>
      </c>
      <c r="D27" s="334">
        <v>3.67</v>
      </c>
      <c r="E27" s="335"/>
      <c r="F27" s="335"/>
      <c r="G27" s="335">
        <f t="shared" si="0"/>
        <v>0</v>
      </c>
      <c r="I27" s="335">
        <f t="shared" si="6"/>
        <v>0</v>
      </c>
      <c r="J27" s="335">
        <f t="shared" si="7"/>
        <v>0</v>
      </c>
      <c r="K27" s="340">
        <f t="shared" si="8"/>
        <v>0</v>
      </c>
      <c r="M27" s="1033">
        <f t="shared" si="4"/>
        <v>0.75532748806669259</v>
      </c>
      <c r="N27" s="1033">
        <f t="shared" si="5"/>
        <v>0</v>
      </c>
    </row>
    <row r="28" spans="1:14" s="320" customFormat="1" ht="12" customHeight="1">
      <c r="A28" s="337" t="s">
        <v>795</v>
      </c>
      <c r="B28" s="338" t="s">
        <v>796</v>
      </c>
      <c r="C28" s="339">
        <v>12.55</v>
      </c>
      <c r="D28" s="334">
        <v>14.81</v>
      </c>
      <c r="E28" s="335">
        <v>62.75</v>
      </c>
      <c r="F28" s="335">
        <v>71.790000000000006</v>
      </c>
      <c r="G28" s="335">
        <f t="shared" si="0"/>
        <v>134.54000000000002</v>
      </c>
      <c r="I28" s="335">
        <f t="shared" si="6"/>
        <v>1</v>
      </c>
      <c r="J28" s="335">
        <f t="shared" si="7"/>
        <v>0.69248577216166685</v>
      </c>
      <c r="K28" s="340">
        <f t="shared" si="8"/>
        <v>0.84624288608083342</v>
      </c>
      <c r="M28" s="1033">
        <f t="shared" si="4"/>
        <v>3.0480654218713128</v>
      </c>
      <c r="N28" s="1033">
        <f t="shared" si="5"/>
        <v>30.952844154810876</v>
      </c>
    </row>
    <row r="29" spans="1:14" s="320" customFormat="1" ht="12" customHeight="1">
      <c r="A29" s="337" t="s">
        <v>797</v>
      </c>
      <c r="B29" s="338" t="s">
        <v>798</v>
      </c>
      <c r="C29" s="339">
        <v>2</v>
      </c>
      <c r="D29" s="334">
        <v>2</v>
      </c>
      <c r="E29" s="335"/>
      <c r="F29" s="335"/>
      <c r="G29" s="335">
        <f t="shared" si="0"/>
        <v>0</v>
      </c>
      <c r="I29" s="335"/>
      <c r="J29" s="335"/>
      <c r="K29" s="321"/>
      <c r="M29" s="1033">
        <f t="shared" si="4"/>
        <v>0.41162260930064992</v>
      </c>
      <c r="N29" s="1033">
        <f t="shared" si="5"/>
        <v>0</v>
      </c>
    </row>
    <row r="30" spans="1:14" s="320" customFormat="1" ht="12" customHeight="1">
      <c r="A30" s="337" t="s">
        <v>799</v>
      </c>
      <c r="B30" s="341" t="s">
        <v>800</v>
      </c>
      <c r="C30" s="339">
        <v>4</v>
      </c>
      <c r="D30" s="334">
        <v>4</v>
      </c>
      <c r="E30" s="335">
        <v>20</v>
      </c>
      <c r="F30" s="335">
        <v>28</v>
      </c>
      <c r="G30" s="335">
        <f t="shared" si="0"/>
        <v>48</v>
      </c>
      <c r="I30" s="335"/>
      <c r="J30" s="335"/>
      <c r="K30" s="321"/>
      <c r="M30" s="1033">
        <f t="shared" si="4"/>
        <v>0.82324521860129984</v>
      </c>
      <c r="N30" s="1033">
        <f t="shared" si="5"/>
        <v>0</v>
      </c>
    </row>
    <row r="31" spans="1:14" s="320" customFormat="1" ht="12" customHeight="1">
      <c r="A31" s="337" t="s">
        <v>801</v>
      </c>
      <c r="B31" s="341" t="s">
        <v>802</v>
      </c>
      <c r="C31" s="339">
        <v>2.2999999999999998</v>
      </c>
      <c r="D31" s="334">
        <v>2.2999999999999998</v>
      </c>
      <c r="E31" s="335"/>
      <c r="F31" s="335">
        <v>16.100000000000001</v>
      </c>
      <c r="G31" s="335">
        <f t="shared" si="0"/>
        <v>16.100000000000001</v>
      </c>
      <c r="I31" s="335"/>
      <c r="J31" s="335"/>
      <c r="K31" s="321"/>
      <c r="M31" s="1033">
        <f t="shared" si="4"/>
        <v>0.47336600069574736</v>
      </c>
      <c r="N31" s="1033">
        <f t="shared" si="5"/>
        <v>0</v>
      </c>
    </row>
    <row r="32" spans="1:14" s="320" customFormat="1" ht="12" customHeight="1">
      <c r="A32" s="337" t="s">
        <v>803</v>
      </c>
      <c r="B32" s="341" t="s">
        <v>804</v>
      </c>
      <c r="C32" s="339">
        <v>4.5999999999999996</v>
      </c>
      <c r="D32" s="334">
        <v>4.5999999999999996</v>
      </c>
      <c r="E32" s="335">
        <v>13.799999999999999</v>
      </c>
      <c r="F32" s="335">
        <v>54.050000000000004</v>
      </c>
      <c r="G32" s="335">
        <f t="shared" si="0"/>
        <v>67.850000000000009</v>
      </c>
      <c r="I32" s="335"/>
      <c r="J32" s="335"/>
      <c r="K32" s="321"/>
      <c r="M32" s="1033">
        <f t="shared" si="4"/>
        <v>0.94673200139149472</v>
      </c>
      <c r="N32" s="1033">
        <f t="shared" si="5"/>
        <v>0</v>
      </c>
    </row>
    <row r="33" spans="1:14" s="320" customFormat="1" ht="12" customHeight="1">
      <c r="A33" s="337" t="s">
        <v>805</v>
      </c>
      <c r="B33" s="341" t="s">
        <v>806</v>
      </c>
      <c r="C33" s="339">
        <v>4.5999999999999996</v>
      </c>
      <c r="D33" s="334">
        <v>4.5999999999999996</v>
      </c>
      <c r="E33" s="335">
        <v>400.19999999999993</v>
      </c>
      <c r="F33" s="335">
        <v>517.04</v>
      </c>
      <c r="G33" s="335">
        <f t="shared" si="0"/>
        <v>917.2399999999999</v>
      </c>
      <c r="I33" s="335"/>
      <c r="J33" s="335"/>
      <c r="K33" s="321"/>
      <c r="M33" s="1033">
        <f t="shared" si="4"/>
        <v>0.94673200139149472</v>
      </c>
      <c r="N33" s="1033">
        <f t="shared" si="5"/>
        <v>0</v>
      </c>
    </row>
    <row r="34" spans="1:14" s="320" customFormat="1" ht="12" customHeight="1">
      <c r="A34" s="337" t="s">
        <v>807</v>
      </c>
      <c r="B34" s="341" t="s">
        <v>808</v>
      </c>
      <c r="C34" s="339">
        <v>4.5999999999999996</v>
      </c>
      <c r="D34" s="334">
        <v>2.2999999999999998</v>
      </c>
      <c r="E34" s="335">
        <v>123.29999999999998</v>
      </c>
      <c r="F34" s="335">
        <v>566.95000000000005</v>
      </c>
      <c r="G34" s="335">
        <f t="shared" si="0"/>
        <v>690.25</v>
      </c>
      <c r="K34" s="321"/>
      <c r="M34" s="1033">
        <f t="shared" si="4"/>
        <v>0.47336600069574736</v>
      </c>
      <c r="N34" s="1033">
        <f t="shared" si="5"/>
        <v>0</v>
      </c>
    </row>
    <row r="35" spans="1:14" s="320" customFormat="1" ht="12" customHeight="1">
      <c r="A35" s="337" t="s">
        <v>809</v>
      </c>
      <c r="B35" s="338" t="s">
        <v>810</v>
      </c>
      <c r="C35" s="339">
        <v>2.2999999999999998</v>
      </c>
      <c r="D35" s="334">
        <v>2.2999999999999998</v>
      </c>
      <c r="E35" s="335">
        <v>773.38</v>
      </c>
      <c r="F35" s="335">
        <v>923.2299999999999</v>
      </c>
      <c r="G35" s="335">
        <f t="shared" si="0"/>
        <v>1696.61</v>
      </c>
      <c r="I35" s="335"/>
      <c r="J35" s="335"/>
      <c r="K35" s="321"/>
      <c r="M35" s="1033">
        <f t="shared" si="4"/>
        <v>0.47336600069574736</v>
      </c>
      <c r="N35" s="1033">
        <f t="shared" si="5"/>
        <v>0</v>
      </c>
    </row>
    <row r="36" spans="1:14" s="320" customFormat="1" ht="12" customHeight="1">
      <c r="A36" s="337" t="s">
        <v>811</v>
      </c>
      <c r="B36" s="338" t="s">
        <v>812</v>
      </c>
      <c r="C36" s="339">
        <v>2.2999999999999998</v>
      </c>
      <c r="D36" s="334">
        <v>2.2999999999999998</v>
      </c>
      <c r="E36" s="335">
        <v>6.8999999999999995</v>
      </c>
      <c r="F36" s="335">
        <v>39.100000000000009</v>
      </c>
      <c r="G36" s="335">
        <f t="shared" si="0"/>
        <v>46.000000000000007</v>
      </c>
      <c r="I36" s="335"/>
      <c r="J36" s="335"/>
      <c r="K36" s="321"/>
      <c r="M36" s="1033">
        <f t="shared" si="4"/>
        <v>0.47336600069574736</v>
      </c>
      <c r="N36" s="1033">
        <f t="shared" si="5"/>
        <v>0</v>
      </c>
    </row>
    <row r="37" spans="1:14" s="320" customFormat="1" ht="12" customHeight="1">
      <c r="A37" s="337" t="s">
        <v>813</v>
      </c>
      <c r="B37" s="338" t="s">
        <v>814</v>
      </c>
      <c r="C37" s="339"/>
      <c r="D37" s="334"/>
      <c r="E37" s="335">
        <v>-188.75</v>
      </c>
      <c r="F37" s="335">
        <v>-318.27999999999997</v>
      </c>
      <c r="G37" s="335">
        <f t="shared" si="0"/>
        <v>-507.03</v>
      </c>
      <c r="K37" s="321"/>
      <c r="M37" s="1033">
        <f t="shared" si="4"/>
        <v>0</v>
      </c>
      <c r="N37" s="1033">
        <f t="shared" si="5"/>
        <v>0</v>
      </c>
    </row>
    <row r="38" spans="1:14" s="320" customFormat="1" ht="12" customHeight="1">
      <c r="A38" s="337" t="s">
        <v>815</v>
      </c>
      <c r="B38" s="338" t="s">
        <v>816</v>
      </c>
      <c r="C38" s="339"/>
      <c r="D38" s="334"/>
      <c r="E38" s="335">
        <v>2.09</v>
      </c>
      <c r="F38" s="335">
        <v>5095.03</v>
      </c>
      <c r="G38" s="335">
        <f t="shared" si="0"/>
        <v>5097.12</v>
      </c>
      <c r="I38" s="335"/>
      <c r="J38" s="335"/>
      <c r="M38" s="1033">
        <f t="shared" si="4"/>
        <v>0</v>
      </c>
      <c r="N38" s="1033">
        <f t="shared" si="5"/>
        <v>0</v>
      </c>
    </row>
    <row r="39" spans="1:14" s="320" customFormat="1" ht="12" customHeight="1">
      <c r="A39" s="337" t="s">
        <v>817</v>
      </c>
      <c r="B39" s="338" t="s">
        <v>818</v>
      </c>
      <c r="C39" s="339"/>
      <c r="D39" s="334"/>
      <c r="E39" s="335">
        <v>2039.6699999999996</v>
      </c>
      <c r="F39" s="335">
        <v>686.38000000000011</v>
      </c>
      <c r="G39" s="335">
        <f t="shared" si="0"/>
        <v>2726.0499999999997</v>
      </c>
      <c r="I39" s="335"/>
      <c r="J39" s="335"/>
      <c r="M39" s="1033">
        <f t="shared" si="4"/>
        <v>0</v>
      </c>
      <c r="N39" s="1033">
        <f t="shared" si="5"/>
        <v>0</v>
      </c>
    </row>
    <row r="40" spans="1:14" s="320" customFormat="1" ht="12" customHeight="1">
      <c r="A40" s="342"/>
      <c r="B40" s="342"/>
      <c r="C40" s="342"/>
      <c r="D40" s="334"/>
      <c r="E40" s="335"/>
      <c r="F40" s="335"/>
      <c r="G40" s="335"/>
      <c r="K40" s="321"/>
    </row>
    <row r="41" spans="1:14" s="343" customFormat="1" ht="12" customHeight="1" thickBot="1">
      <c r="B41" s="344" t="s">
        <v>819</v>
      </c>
      <c r="C41" s="344"/>
      <c r="D41" s="345"/>
      <c r="E41" s="346">
        <f>SUM(E13:E40)</f>
        <v>128763.98000000001</v>
      </c>
      <c r="F41" s="346">
        <f t="shared" ref="F41" si="9">SUM(F13:F40)</f>
        <v>216742.99000000008</v>
      </c>
      <c r="G41" s="346">
        <f>SUM(G13:G40)</f>
        <v>345506.96999999974</v>
      </c>
      <c r="I41" s="347">
        <f>SUM(I13:I24)</f>
        <v>1467.8864554293361</v>
      </c>
      <c r="J41" s="347">
        <f t="shared" ref="J41:K41" si="10">SUM(J13:J24)</f>
        <v>1517.9683557819073</v>
      </c>
      <c r="K41" s="347">
        <f t="shared" si="10"/>
        <v>1493.3559770341933</v>
      </c>
      <c r="N41" s="1041">
        <f>SUM(N13:N40)</f>
        <v>73978.555683858984</v>
      </c>
    </row>
    <row r="42" spans="1:14" s="320" customFormat="1" ht="12" customHeight="1">
      <c r="A42" s="332"/>
      <c r="B42" s="348"/>
      <c r="C42" s="348"/>
      <c r="D42" s="334"/>
      <c r="E42" s="349"/>
      <c r="F42" s="349"/>
      <c r="G42" s="336"/>
      <c r="I42" s="335"/>
      <c r="J42" s="335"/>
      <c r="K42" s="321"/>
    </row>
    <row r="43" spans="1:14" s="320" customFormat="1" ht="12" customHeight="1">
      <c r="A43" s="350"/>
      <c r="B43" s="351"/>
      <c r="C43" s="351"/>
      <c r="D43" s="334"/>
      <c r="E43" s="349"/>
      <c r="F43" s="335" t="str">
        <f>IF(D43="","",(#REF!/D43)+(#REF!/#REF!))</f>
        <v/>
      </c>
      <c r="G43" s="336"/>
      <c r="I43" s="335"/>
      <c r="J43" s="335"/>
      <c r="K43" s="321"/>
    </row>
    <row r="44" spans="1:14" s="320" customFormat="1" ht="12" customHeight="1">
      <c r="D44" s="334"/>
      <c r="E44" s="349"/>
      <c r="F44" s="335" t="str">
        <f>IF(D44="","",(#REF!/D44)+(#REF!/#REF!))</f>
        <v/>
      </c>
      <c r="G44" s="336"/>
      <c r="I44" s="335"/>
      <c r="J44" s="335"/>
      <c r="K44" s="321"/>
    </row>
    <row r="45" spans="1:14" ht="12" customHeight="1">
      <c r="A45" s="332" t="s">
        <v>820</v>
      </c>
      <c r="B45" s="332" t="s">
        <v>820</v>
      </c>
      <c r="C45" s="332"/>
    </row>
    <row r="46" spans="1:14" ht="12" customHeight="1">
      <c r="A46" s="332"/>
      <c r="B46" s="332"/>
      <c r="C46" s="332"/>
    </row>
    <row r="47" spans="1:14" s="320" customFormat="1" ht="12" customHeight="1">
      <c r="A47" s="333" t="s">
        <v>821</v>
      </c>
      <c r="B47" s="333" t="s">
        <v>821</v>
      </c>
      <c r="C47" s="333"/>
      <c r="D47" s="334"/>
      <c r="E47" s="349"/>
      <c r="F47" s="335" t="str">
        <f>IF(D47="","",(#REF!/D47)+(#REF!/#REF!))</f>
        <v/>
      </c>
      <c r="G47" s="336"/>
      <c r="I47" s="335"/>
      <c r="J47" s="335"/>
      <c r="K47" s="321"/>
    </row>
    <row r="48" spans="1:14" s="320" customFormat="1" ht="12" customHeight="1">
      <c r="A48" s="352" t="s">
        <v>822</v>
      </c>
      <c r="B48" s="352" t="s">
        <v>823</v>
      </c>
      <c r="C48" s="339">
        <v>47.41</v>
      </c>
      <c r="D48" s="334">
        <v>61.14</v>
      </c>
      <c r="E48" s="335">
        <v>7087.7900000000009</v>
      </c>
      <c r="F48" s="335">
        <v>12920.62</v>
      </c>
      <c r="G48" s="335">
        <f t="shared" ref="G48:G112" si="11">SUM(E48:F48)</f>
        <v>20008.410000000003</v>
      </c>
      <c r="I48" s="335">
        <f t="shared" ref="I48:I80" si="12">IFERROR(E48/($C48),0)/5</f>
        <v>29.899978907403504</v>
      </c>
      <c r="J48" s="335">
        <f t="shared" ref="J48:J80" si="13">IFERROR(F48/($D48),0)/7</f>
        <v>30.189775223141272</v>
      </c>
      <c r="K48" s="340">
        <f t="shared" ref="K48:K71" si="14">IFERROR(AVERAGEIF(I48:J48,"&lt;&gt;0"),0)</f>
        <v>30.044877065272388</v>
      </c>
      <c r="M48" s="1033">
        <f t="shared" ref="M48:M110" si="15">D48*$M$5</f>
        <v>12.583303166320869</v>
      </c>
      <c r="N48" s="1033">
        <f t="shared" ref="N48:N110" si="16">M48*K48*12</f>
        <v>4536.7655604859592</v>
      </c>
    </row>
    <row r="49" spans="1:14" s="320" customFormat="1" ht="12" customHeight="1">
      <c r="A49" s="352" t="s">
        <v>824</v>
      </c>
      <c r="B49" s="352" t="s">
        <v>825</v>
      </c>
      <c r="C49" s="339">
        <v>94.83</v>
      </c>
      <c r="D49" s="334">
        <v>122.28</v>
      </c>
      <c r="E49" s="335">
        <v>900.88</v>
      </c>
      <c r="F49" s="335">
        <v>855.95999999999992</v>
      </c>
      <c r="G49" s="335">
        <f t="shared" si="11"/>
        <v>1756.84</v>
      </c>
      <c r="I49" s="335">
        <f t="shared" si="12"/>
        <v>1.8999894548138776</v>
      </c>
      <c r="J49" s="335">
        <f t="shared" si="13"/>
        <v>0.99999999999999989</v>
      </c>
      <c r="K49" s="340">
        <f t="shared" si="14"/>
        <v>1.4499947274069387</v>
      </c>
      <c r="M49" s="1033">
        <f t="shared" si="15"/>
        <v>25.166606332641738</v>
      </c>
      <c r="N49" s="1033">
        <f t="shared" si="16"/>
        <v>437.89735786867914</v>
      </c>
    </row>
    <row r="50" spans="1:14" s="320" customFormat="1" ht="12" customHeight="1">
      <c r="A50" s="352" t="s">
        <v>826</v>
      </c>
      <c r="B50" s="352" t="s">
        <v>827</v>
      </c>
      <c r="C50" s="339">
        <v>94.83</v>
      </c>
      <c r="D50" s="334">
        <v>122.28</v>
      </c>
      <c r="E50" s="335">
        <v>948.3</v>
      </c>
      <c r="F50" s="335">
        <v>1711.9199999999998</v>
      </c>
      <c r="G50" s="335">
        <f t="shared" si="11"/>
        <v>2660.22</v>
      </c>
      <c r="I50" s="335">
        <f t="shared" si="12"/>
        <v>2</v>
      </c>
      <c r="J50" s="335">
        <f t="shared" si="13"/>
        <v>1.9999999999999998</v>
      </c>
      <c r="K50" s="340">
        <f t="shared" si="14"/>
        <v>2</v>
      </c>
      <c r="M50" s="1033">
        <f t="shared" si="15"/>
        <v>25.166606332641738</v>
      </c>
      <c r="N50" s="1033">
        <f t="shared" si="16"/>
        <v>603.99855198340174</v>
      </c>
    </row>
    <row r="51" spans="1:14" s="320" customFormat="1" ht="12" customHeight="1">
      <c r="A51" s="352" t="s">
        <v>828</v>
      </c>
      <c r="B51" s="352" t="s">
        <v>829</v>
      </c>
      <c r="C51" s="339">
        <v>23.76</v>
      </c>
      <c r="D51" s="334">
        <v>30.64</v>
      </c>
      <c r="E51" s="335">
        <v>2435.4</v>
      </c>
      <c r="F51" s="335">
        <v>4565.3599999999997</v>
      </c>
      <c r="G51" s="335">
        <f t="shared" si="11"/>
        <v>7000.76</v>
      </c>
      <c r="I51" s="335">
        <f t="shared" si="12"/>
        <v>20.5</v>
      </c>
      <c r="J51" s="335">
        <f t="shared" si="13"/>
        <v>21.285714285714285</v>
      </c>
      <c r="K51" s="340">
        <f t="shared" si="14"/>
        <v>20.892857142857142</v>
      </c>
      <c r="M51" s="1033">
        <f t="shared" si="15"/>
        <v>6.3060583744859571</v>
      </c>
      <c r="N51" s="1033">
        <f t="shared" si="16"/>
        <v>1581.0189210318363</v>
      </c>
    </row>
    <row r="52" spans="1:14" s="320" customFormat="1" ht="12" customHeight="1">
      <c r="A52" s="352" t="s">
        <v>830</v>
      </c>
      <c r="B52" s="352" t="s">
        <v>831</v>
      </c>
      <c r="C52" s="339">
        <v>70.58</v>
      </c>
      <c r="D52" s="334">
        <v>90.15</v>
      </c>
      <c r="E52" s="335">
        <v>6363.31</v>
      </c>
      <c r="F52" s="335">
        <v>12663.660000000002</v>
      </c>
      <c r="G52" s="335">
        <f t="shared" si="11"/>
        <v>19026.97</v>
      </c>
      <c r="I52" s="335">
        <f t="shared" si="12"/>
        <v>18.031482006234064</v>
      </c>
      <c r="J52" s="335">
        <f t="shared" si="13"/>
        <v>20.067601616353699</v>
      </c>
      <c r="K52" s="340">
        <f t="shared" si="14"/>
        <v>19.049541811293881</v>
      </c>
      <c r="M52" s="1033">
        <f t="shared" si="15"/>
        <v>18.553889114226795</v>
      </c>
      <c r="N52" s="1033">
        <f t="shared" si="16"/>
        <v>4241.317037322885</v>
      </c>
    </row>
    <row r="53" spans="1:14" s="320" customFormat="1" ht="12" customHeight="1">
      <c r="A53" s="352" t="s">
        <v>832</v>
      </c>
      <c r="B53" s="352" t="s">
        <v>833</v>
      </c>
      <c r="C53" s="339">
        <v>141.16</v>
      </c>
      <c r="D53" s="334">
        <v>180.3</v>
      </c>
      <c r="E53" s="335">
        <v>1693.92</v>
      </c>
      <c r="F53" s="335">
        <v>2704.5</v>
      </c>
      <c r="G53" s="335">
        <f t="shared" si="11"/>
        <v>4398.42</v>
      </c>
      <c r="I53" s="335">
        <f t="shared" si="12"/>
        <v>2.4</v>
      </c>
      <c r="J53" s="335">
        <f t="shared" si="13"/>
        <v>2.1428571428571428</v>
      </c>
      <c r="K53" s="340">
        <f t="shared" si="14"/>
        <v>2.2714285714285714</v>
      </c>
      <c r="M53" s="1033">
        <f t="shared" si="15"/>
        <v>37.10777822845359</v>
      </c>
      <c r="N53" s="1033">
        <f t="shared" si="16"/>
        <v>1011.452012284135</v>
      </c>
    </row>
    <row r="54" spans="1:14" s="320" customFormat="1" ht="12" customHeight="1">
      <c r="A54" s="352" t="s">
        <v>834</v>
      </c>
      <c r="B54" s="352" t="s">
        <v>835</v>
      </c>
      <c r="C54" s="339">
        <v>141.16</v>
      </c>
      <c r="D54" s="334">
        <v>180.3</v>
      </c>
      <c r="E54" s="335">
        <v>3089.8399999999997</v>
      </c>
      <c r="F54" s="335">
        <v>4329.7100000000009</v>
      </c>
      <c r="G54" s="335">
        <f t="shared" si="11"/>
        <v>7419.5500000000011</v>
      </c>
      <c r="I54" s="335">
        <f t="shared" si="12"/>
        <v>4.3777840748087273</v>
      </c>
      <c r="J54" s="335">
        <f t="shared" si="13"/>
        <v>3.4305601774819752</v>
      </c>
      <c r="K54" s="340">
        <f t="shared" si="14"/>
        <v>3.904172126145351</v>
      </c>
      <c r="M54" s="1033">
        <f t="shared" si="15"/>
        <v>37.10777822845359</v>
      </c>
      <c r="N54" s="1033">
        <f t="shared" si="16"/>
        <v>1738.501841072542</v>
      </c>
    </row>
    <row r="55" spans="1:14" s="320" customFormat="1" ht="12" customHeight="1">
      <c r="A55" s="352" t="s">
        <v>836</v>
      </c>
      <c r="B55" s="352" t="s">
        <v>837</v>
      </c>
      <c r="C55" s="339">
        <v>211.74</v>
      </c>
      <c r="D55" s="334">
        <v>270.45</v>
      </c>
      <c r="E55" s="335">
        <v>1194.8200000000002</v>
      </c>
      <c r="F55" s="335">
        <v>2184.4</v>
      </c>
      <c r="G55" s="335">
        <f t="shared" si="11"/>
        <v>3379.2200000000003</v>
      </c>
      <c r="I55" s="335">
        <f t="shared" si="12"/>
        <v>1.1285727779352037</v>
      </c>
      <c r="J55" s="335">
        <f t="shared" si="13"/>
        <v>1.1538441222301457</v>
      </c>
      <c r="K55" s="340">
        <f t="shared" si="14"/>
        <v>1.1412084500826747</v>
      </c>
      <c r="M55" s="1033">
        <f t="shared" si="15"/>
        <v>55.661667342680381</v>
      </c>
      <c r="N55" s="1033">
        <f t="shared" si="16"/>
        <v>762.25878140589248</v>
      </c>
    </row>
    <row r="56" spans="1:14" s="320" customFormat="1" ht="12" customHeight="1">
      <c r="A56" s="352" t="s">
        <v>838</v>
      </c>
      <c r="B56" s="352" t="s">
        <v>839</v>
      </c>
      <c r="C56" s="339">
        <v>423.47</v>
      </c>
      <c r="D56" s="334">
        <v>540.9</v>
      </c>
      <c r="E56" s="335">
        <v>1482.15</v>
      </c>
      <c r="F56" s="335">
        <v>3786.3</v>
      </c>
      <c r="G56" s="335">
        <f t="shared" si="11"/>
        <v>5268.4500000000007</v>
      </c>
      <c r="I56" s="335">
        <f t="shared" si="12"/>
        <v>0.70000236144236905</v>
      </c>
      <c r="J56" s="335">
        <f t="shared" si="13"/>
        <v>1.0000000000000002</v>
      </c>
      <c r="K56" s="340">
        <f t="shared" si="14"/>
        <v>0.85000118072118469</v>
      </c>
      <c r="M56" s="1033">
        <f t="shared" si="15"/>
        <v>111.32333468536076</v>
      </c>
      <c r="N56" s="1033">
        <f t="shared" si="16"/>
        <v>1135.4995910925149</v>
      </c>
    </row>
    <row r="57" spans="1:14" s="320" customFormat="1" ht="12" customHeight="1">
      <c r="A57" s="352" t="s">
        <v>840</v>
      </c>
      <c r="B57" s="352" t="s">
        <v>841</v>
      </c>
      <c r="C57" s="339">
        <v>35.369999999999997</v>
      </c>
      <c r="D57" s="334">
        <v>45.18</v>
      </c>
      <c r="E57" s="335">
        <v>2281.96</v>
      </c>
      <c r="F57" s="335">
        <v>5810.98</v>
      </c>
      <c r="G57" s="335">
        <f t="shared" si="11"/>
        <v>8092.94</v>
      </c>
      <c r="I57" s="335">
        <f t="shared" si="12"/>
        <v>12.903364433135426</v>
      </c>
      <c r="J57" s="335">
        <f t="shared" si="13"/>
        <v>18.374059318282427</v>
      </c>
      <c r="K57" s="340">
        <f t="shared" si="14"/>
        <v>15.638711875708927</v>
      </c>
      <c r="M57" s="1033">
        <f t="shared" si="15"/>
        <v>9.2985547441016809</v>
      </c>
      <c r="N57" s="1033">
        <f t="shared" si="16"/>
        <v>1745.0090220421503</v>
      </c>
    </row>
    <row r="58" spans="1:14" s="320" customFormat="1" ht="12" customHeight="1">
      <c r="A58" s="352" t="s">
        <v>842</v>
      </c>
      <c r="B58" s="352" t="s">
        <v>843</v>
      </c>
      <c r="C58" s="339">
        <v>92.45</v>
      </c>
      <c r="D58" s="334">
        <v>117.82</v>
      </c>
      <c r="E58" s="335">
        <f>18818.25+3833</f>
        <v>22651.25</v>
      </c>
      <c r="F58" s="335">
        <f>32729.27+5366</f>
        <v>38095.270000000004</v>
      </c>
      <c r="G58" s="335">
        <f t="shared" si="11"/>
        <v>60746.520000000004</v>
      </c>
      <c r="I58" s="335">
        <f t="shared" si="12"/>
        <v>49.002163331530554</v>
      </c>
      <c r="J58" s="335">
        <f t="shared" si="13"/>
        <v>46.190641899265231</v>
      </c>
      <c r="K58" s="340">
        <f t="shared" si="14"/>
        <v>47.596402615397892</v>
      </c>
      <c r="M58" s="1033">
        <f t="shared" si="15"/>
        <v>24.248687913901286</v>
      </c>
      <c r="N58" s="1033">
        <f t="shared" si="16"/>
        <v>13849.80375414214</v>
      </c>
    </row>
    <row r="59" spans="1:14" s="320" customFormat="1" ht="12" customHeight="1">
      <c r="A59" s="352" t="s">
        <v>844</v>
      </c>
      <c r="B59" s="352" t="s">
        <v>845</v>
      </c>
      <c r="C59" s="339">
        <v>184.89</v>
      </c>
      <c r="D59" s="334">
        <v>235.64</v>
      </c>
      <c r="E59" s="335">
        <v>4945.83</v>
      </c>
      <c r="F59" s="335">
        <v>2718.0299999999993</v>
      </c>
      <c r="G59" s="335">
        <f t="shared" si="11"/>
        <v>7663.8599999999988</v>
      </c>
      <c r="I59" s="335">
        <f t="shared" si="12"/>
        <v>5.3500243387960413</v>
      </c>
      <c r="J59" s="335">
        <f t="shared" si="13"/>
        <v>1.6478102189781019</v>
      </c>
      <c r="K59" s="340">
        <f t="shared" si="14"/>
        <v>3.4989172788870717</v>
      </c>
      <c r="M59" s="1033">
        <f t="shared" si="15"/>
        <v>48.497375827802571</v>
      </c>
      <c r="N59" s="1033">
        <f t="shared" si="16"/>
        <v>2036.2596751749434</v>
      </c>
    </row>
    <row r="60" spans="1:14" s="320" customFormat="1" ht="12" customHeight="1">
      <c r="A60" s="352" t="s">
        <v>846</v>
      </c>
      <c r="B60" s="352" t="s">
        <v>847</v>
      </c>
      <c r="C60" s="339">
        <v>277.33999999999997</v>
      </c>
      <c r="D60" s="334">
        <v>353.46</v>
      </c>
      <c r="E60" s="335">
        <v>4714.79</v>
      </c>
      <c r="F60" s="335">
        <v>5617.31</v>
      </c>
      <c r="G60" s="335">
        <f t="shared" si="11"/>
        <v>10332.1</v>
      </c>
      <c r="I60" s="335">
        <f t="shared" si="12"/>
        <v>3.4000072113651116</v>
      </c>
      <c r="J60" s="335">
        <f t="shared" si="13"/>
        <v>2.2703357017565136</v>
      </c>
      <c r="K60" s="340">
        <f t="shared" si="14"/>
        <v>2.8351714565608126</v>
      </c>
      <c r="M60" s="1033">
        <f t="shared" si="15"/>
        <v>72.74606374170385</v>
      </c>
      <c r="N60" s="1033">
        <f t="shared" si="16"/>
        <v>2474.9707619715869</v>
      </c>
    </row>
    <row r="61" spans="1:14" s="320" customFormat="1" ht="12" customHeight="1">
      <c r="A61" s="352" t="s">
        <v>848</v>
      </c>
      <c r="B61" s="352" t="s">
        <v>849</v>
      </c>
      <c r="C61" s="339">
        <v>369.78</v>
      </c>
      <c r="D61" s="334">
        <v>471.28</v>
      </c>
      <c r="E61" s="335">
        <v>2033.7999999999997</v>
      </c>
      <c r="F61" s="335">
        <v>3416.7799999999997</v>
      </c>
      <c r="G61" s="335">
        <f t="shared" si="11"/>
        <v>5450.58</v>
      </c>
      <c r="I61" s="335">
        <f t="shared" si="12"/>
        <v>1.1000054086213424</v>
      </c>
      <c r="J61" s="335">
        <f t="shared" si="13"/>
        <v>1.0357142857142858</v>
      </c>
      <c r="K61" s="340">
        <f t="shared" si="14"/>
        <v>1.067859847167814</v>
      </c>
      <c r="M61" s="1033">
        <f t="shared" si="15"/>
        <v>96.994751655605143</v>
      </c>
      <c r="N61" s="1033">
        <f t="shared" si="16"/>
        <v>1242.9216081484149</v>
      </c>
    </row>
    <row r="62" spans="1:14" s="320" customFormat="1" ht="12" customHeight="1">
      <c r="A62" s="352" t="s">
        <v>850</v>
      </c>
      <c r="B62" s="352" t="s">
        <v>851</v>
      </c>
      <c r="C62" s="339">
        <v>647.12</v>
      </c>
      <c r="D62" s="334">
        <v>824.74</v>
      </c>
      <c r="E62" s="335">
        <v>3235.6</v>
      </c>
      <c r="F62" s="335">
        <v>5773.1799999999994</v>
      </c>
      <c r="G62" s="335">
        <f t="shared" si="11"/>
        <v>9008.7799999999988</v>
      </c>
      <c r="I62" s="335">
        <f t="shared" si="12"/>
        <v>1</v>
      </c>
      <c r="J62" s="335">
        <f t="shared" si="13"/>
        <v>0.99999999999999989</v>
      </c>
      <c r="K62" s="340">
        <f t="shared" si="14"/>
        <v>1</v>
      </c>
      <c r="M62" s="1033">
        <f t="shared" si="15"/>
        <v>169.74081539730901</v>
      </c>
      <c r="N62" s="1033">
        <f t="shared" si="16"/>
        <v>2036.8897847677081</v>
      </c>
    </row>
    <row r="63" spans="1:14" s="320" customFormat="1" ht="12" customHeight="1">
      <c r="A63" s="352" t="s">
        <v>852</v>
      </c>
      <c r="B63" s="352" t="s">
        <v>853</v>
      </c>
      <c r="C63" s="339">
        <v>184.89</v>
      </c>
      <c r="D63" s="334">
        <v>235.64</v>
      </c>
      <c r="E63" s="335">
        <v>4437.37</v>
      </c>
      <c r="F63" s="335">
        <v>8083.34</v>
      </c>
      <c r="G63" s="335">
        <f t="shared" si="11"/>
        <v>12520.71</v>
      </c>
      <c r="I63" s="335">
        <f t="shared" si="12"/>
        <v>4.8000108172426845</v>
      </c>
      <c r="J63" s="335">
        <f t="shared" si="13"/>
        <v>4.9005383514804661</v>
      </c>
      <c r="K63" s="340">
        <f t="shared" si="14"/>
        <v>4.8502745843615749</v>
      </c>
      <c r="M63" s="1033">
        <f t="shared" si="15"/>
        <v>48.497375827802571</v>
      </c>
      <c r="N63" s="1033">
        <f t="shared" si="16"/>
        <v>2822.7070726298666</v>
      </c>
    </row>
    <row r="64" spans="1:14" s="320" customFormat="1" ht="12" customHeight="1">
      <c r="A64" s="352" t="s">
        <v>854</v>
      </c>
      <c r="B64" s="352" t="s">
        <v>855</v>
      </c>
      <c r="C64" s="339">
        <v>369.78</v>
      </c>
      <c r="D64" s="334">
        <v>471.28</v>
      </c>
      <c r="E64" s="335">
        <v>2999.33</v>
      </c>
      <c r="F64" s="335">
        <v>5316.4299999999994</v>
      </c>
      <c r="G64" s="335">
        <f t="shared" si="11"/>
        <v>8315.7599999999984</v>
      </c>
      <c r="I64" s="335">
        <f t="shared" si="12"/>
        <v>1.6222240250960032</v>
      </c>
      <c r="J64" s="335">
        <f t="shared" si="13"/>
        <v>1.6115472755050075</v>
      </c>
      <c r="K64" s="340">
        <f t="shared" si="14"/>
        <v>1.6168856503005054</v>
      </c>
      <c r="M64" s="1033">
        <f t="shared" si="15"/>
        <v>96.994751655605143</v>
      </c>
      <c r="N64" s="1033">
        <f t="shared" si="16"/>
        <v>1881.9530652769097</v>
      </c>
    </row>
    <row r="65" spans="1:14" s="320" customFormat="1" ht="12" customHeight="1">
      <c r="A65" s="352" t="s">
        <v>856</v>
      </c>
      <c r="B65" s="352" t="s">
        <v>857</v>
      </c>
      <c r="C65" s="339">
        <v>554.66999999999996</v>
      </c>
      <c r="D65" s="334">
        <v>706.92</v>
      </c>
      <c r="E65" s="335">
        <v>1109.3399999999999</v>
      </c>
      <c r="F65" s="335">
        <v>0</v>
      </c>
      <c r="G65" s="335">
        <f t="shared" si="11"/>
        <v>1109.3399999999999</v>
      </c>
      <c r="I65" s="335">
        <f t="shared" si="12"/>
        <v>0.4</v>
      </c>
      <c r="J65" s="335">
        <f t="shared" si="13"/>
        <v>0</v>
      </c>
      <c r="K65" s="340">
        <f t="shared" si="14"/>
        <v>0.4</v>
      </c>
      <c r="M65" s="1033">
        <f t="shared" si="15"/>
        <v>145.4921274834077</v>
      </c>
      <c r="N65" s="1033">
        <f t="shared" si="16"/>
        <v>698.36221192035703</v>
      </c>
    </row>
    <row r="66" spans="1:14" s="320" customFormat="1" ht="12" customHeight="1">
      <c r="A66" s="352" t="s">
        <v>858</v>
      </c>
      <c r="B66" s="352" t="s">
        <v>859</v>
      </c>
      <c r="C66" s="339">
        <v>1294.24</v>
      </c>
      <c r="D66" s="334">
        <v>1649.47</v>
      </c>
      <c r="E66" s="335">
        <v>6471.2</v>
      </c>
      <c r="F66" s="335">
        <v>11546.289999999999</v>
      </c>
      <c r="G66" s="335">
        <f t="shared" si="11"/>
        <v>18017.489999999998</v>
      </c>
      <c r="I66" s="335">
        <f t="shared" si="12"/>
        <v>1</v>
      </c>
      <c r="J66" s="335">
        <f t="shared" si="13"/>
        <v>0.99999999999999989</v>
      </c>
      <c r="K66" s="340">
        <f t="shared" si="14"/>
        <v>1</v>
      </c>
      <c r="M66" s="1033">
        <f t="shared" si="15"/>
        <v>339.47957268157154</v>
      </c>
      <c r="N66" s="1033">
        <f t="shared" si="16"/>
        <v>4073.7548721788585</v>
      </c>
    </row>
    <row r="67" spans="1:14" s="320" customFormat="1" ht="12" customHeight="1">
      <c r="A67" s="352" t="s">
        <v>860</v>
      </c>
      <c r="B67" s="352" t="s">
        <v>861</v>
      </c>
      <c r="C67" s="339">
        <v>277.33999999999997</v>
      </c>
      <c r="D67" s="334">
        <v>353.46</v>
      </c>
      <c r="E67" s="335">
        <v>2634.73</v>
      </c>
      <c r="F67" s="335">
        <v>11310.720000000001</v>
      </c>
      <c r="G67" s="335">
        <f t="shared" si="11"/>
        <v>13945.45</v>
      </c>
      <c r="I67" s="335">
        <f t="shared" si="12"/>
        <v>1.9000000000000004</v>
      </c>
      <c r="J67" s="335">
        <f t="shared" si="13"/>
        <v>4.5714285714285721</v>
      </c>
      <c r="K67" s="340">
        <f t="shared" si="14"/>
        <v>3.2357142857142862</v>
      </c>
      <c r="M67" s="1033">
        <f t="shared" si="15"/>
        <v>72.74606374170385</v>
      </c>
      <c r="N67" s="1033">
        <f t="shared" si="16"/>
        <v>2824.6257321421585</v>
      </c>
    </row>
    <row r="68" spans="1:14" s="320" customFormat="1" ht="12" customHeight="1">
      <c r="A68" s="352" t="s">
        <v>862</v>
      </c>
      <c r="B68" s="352" t="s">
        <v>863</v>
      </c>
      <c r="C68" s="339">
        <v>554.66999999999996</v>
      </c>
      <c r="D68" s="334">
        <v>706.92</v>
      </c>
      <c r="E68" s="335">
        <v>6240.04</v>
      </c>
      <c r="F68" s="335">
        <v>9896.8799999999992</v>
      </c>
      <c r="G68" s="335">
        <f t="shared" si="11"/>
        <v>16136.919999999998</v>
      </c>
      <c r="I68" s="335">
        <f t="shared" si="12"/>
        <v>2.2500009014368905</v>
      </c>
      <c r="J68" s="335">
        <f t="shared" si="13"/>
        <v>2</v>
      </c>
      <c r="K68" s="340">
        <f t="shared" si="14"/>
        <v>2.1250004507184452</v>
      </c>
      <c r="M68" s="1033">
        <f t="shared" si="15"/>
        <v>145.4921274834077</v>
      </c>
      <c r="N68" s="1033">
        <f t="shared" si="16"/>
        <v>3710.0500377387225</v>
      </c>
    </row>
    <row r="69" spans="1:14" s="320" customFormat="1" ht="12" customHeight="1">
      <c r="A69" s="352" t="s">
        <v>864</v>
      </c>
      <c r="B69" s="352" t="s">
        <v>865</v>
      </c>
      <c r="C69" s="339">
        <v>369.78</v>
      </c>
      <c r="D69" s="334">
        <v>471.28</v>
      </c>
      <c r="E69" s="335">
        <v>3523.7899999999995</v>
      </c>
      <c r="F69" s="335">
        <v>4712.7999999999993</v>
      </c>
      <c r="G69" s="335">
        <f t="shared" si="11"/>
        <v>8236.5899999999983</v>
      </c>
      <c r="I69" s="335">
        <f t="shared" si="12"/>
        <v>1.9058845800205524</v>
      </c>
      <c r="J69" s="335">
        <f t="shared" si="13"/>
        <v>1.4285714285714284</v>
      </c>
      <c r="K69" s="340">
        <f t="shared" si="14"/>
        <v>1.6672280042959904</v>
      </c>
      <c r="M69" s="1033">
        <f t="shared" si="15"/>
        <v>96.994751655605143</v>
      </c>
      <c r="N69" s="1033">
        <f t="shared" si="16"/>
        <v>1940.5483947595171</v>
      </c>
    </row>
    <row r="70" spans="1:14" s="320" customFormat="1" ht="12" customHeight="1">
      <c r="A70" s="352" t="s">
        <v>866</v>
      </c>
      <c r="B70" s="352" t="s">
        <v>867</v>
      </c>
      <c r="C70" s="339">
        <v>46.33</v>
      </c>
      <c r="D70" s="334">
        <v>59.05</v>
      </c>
      <c r="E70" s="335">
        <v>5289.920000000001</v>
      </c>
      <c r="F70" s="335">
        <v>8163.67</v>
      </c>
      <c r="G70" s="335">
        <f t="shared" si="11"/>
        <v>13453.59</v>
      </c>
      <c r="I70" s="335">
        <f t="shared" si="12"/>
        <v>22.835829915821286</v>
      </c>
      <c r="J70" s="335">
        <f t="shared" si="13"/>
        <v>19.750018144429664</v>
      </c>
      <c r="K70" s="340">
        <f t="shared" si="14"/>
        <v>21.292924030125477</v>
      </c>
      <c r="M70" s="1033">
        <f t="shared" si="15"/>
        <v>12.153157539601688</v>
      </c>
      <c r="N70" s="1033">
        <f t="shared" si="16"/>
        <v>3105.3151226026248</v>
      </c>
    </row>
    <row r="71" spans="1:14" s="320" customFormat="1" ht="12" customHeight="1">
      <c r="A71" s="352" t="s">
        <v>868</v>
      </c>
      <c r="B71" s="352" t="s">
        <v>869</v>
      </c>
      <c r="C71" s="339">
        <v>150.03</v>
      </c>
      <c r="D71" s="334">
        <v>198.05</v>
      </c>
      <c r="E71" s="335">
        <v>1875.38</v>
      </c>
      <c r="F71" s="335">
        <v>2775.45</v>
      </c>
      <c r="G71" s="335">
        <f t="shared" si="11"/>
        <v>4650.83</v>
      </c>
      <c r="I71" s="335">
        <f t="shared" si="12"/>
        <v>2.5000066653335997</v>
      </c>
      <c r="J71" s="335">
        <f t="shared" si="13"/>
        <v>2.0019836260684527</v>
      </c>
      <c r="K71" s="340">
        <f t="shared" si="14"/>
        <v>2.250995145701026</v>
      </c>
      <c r="M71" s="1033">
        <f t="shared" si="15"/>
        <v>40.760928885996861</v>
      </c>
      <c r="N71" s="1033">
        <f t="shared" si="16"/>
        <v>1101.0318366797239</v>
      </c>
    </row>
    <row r="72" spans="1:14" s="320" customFormat="1" ht="12" customHeight="1">
      <c r="A72" s="352" t="s">
        <v>870</v>
      </c>
      <c r="B72" s="352" t="s">
        <v>871</v>
      </c>
      <c r="C72" s="339">
        <v>75.1905</v>
      </c>
      <c r="D72" s="334">
        <v>99.26</v>
      </c>
      <c r="E72" s="335">
        <v>0</v>
      </c>
      <c r="F72" s="335">
        <v>99.26</v>
      </c>
      <c r="G72" s="335">
        <f t="shared" si="11"/>
        <v>99.26</v>
      </c>
      <c r="I72" s="335">
        <f t="shared" si="12"/>
        <v>0</v>
      </c>
      <c r="J72" s="335">
        <f t="shared" si="13"/>
        <v>0.14285714285714285</v>
      </c>
      <c r="K72" s="340"/>
      <c r="M72" s="1033">
        <f t="shared" si="15"/>
        <v>20.428830099591256</v>
      </c>
      <c r="N72" s="1033">
        <f t="shared" si="16"/>
        <v>0</v>
      </c>
    </row>
    <row r="73" spans="1:14" s="320" customFormat="1" ht="12" customHeight="1">
      <c r="A73" s="352" t="s">
        <v>872</v>
      </c>
      <c r="B73" s="352" t="s">
        <v>873</v>
      </c>
      <c r="C73" s="339">
        <v>13.9</v>
      </c>
      <c r="D73" s="334">
        <v>16.170000000000002</v>
      </c>
      <c r="E73" s="335">
        <v>3877.1799999999994</v>
      </c>
      <c r="F73" s="335">
        <v>5433.12</v>
      </c>
      <c r="G73" s="335">
        <f t="shared" si="11"/>
        <v>9310.2999999999993</v>
      </c>
      <c r="I73" s="335">
        <f t="shared" si="12"/>
        <v>55.786762589928045</v>
      </c>
      <c r="J73" s="335">
        <f t="shared" si="13"/>
        <v>47.999999999999993</v>
      </c>
      <c r="K73" s="340">
        <f t="shared" ref="K73:K80" si="17">IFERROR(AVERAGEIF(I73:J73,"&lt;&gt;0"),0)</f>
        <v>51.893381294964016</v>
      </c>
      <c r="M73" s="1033">
        <f t="shared" si="15"/>
        <v>3.3279687961957549</v>
      </c>
      <c r="N73" s="1033">
        <f t="shared" si="16"/>
        <v>2072.3946441447442</v>
      </c>
    </row>
    <row r="74" spans="1:14" s="320" customFormat="1" ht="12" customHeight="1">
      <c r="A74" s="352" t="s">
        <v>874</v>
      </c>
      <c r="B74" s="352" t="s">
        <v>770</v>
      </c>
      <c r="C74" s="339">
        <v>27.71</v>
      </c>
      <c r="D74" s="334">
        <v>28.32</v>
      </c>
      <c r="E74" s="335">
        <v>1045.93</v>
      </c>
      <c r="F74" s="335">
        <v>1076.1600000000001</v>
      </c>
      <c r="G74" s="335">
        <f t="shared" si="11"/>
        <v>2122.09</v>
      </c>
      <c r="I74" s="335">
        <f t="shared" si="12"/>
        <v>7.5491158426560814</v>
      </c>
      <c r="J74" s="335">
        <f t="shared" si="13"/>
        <v>5.4285714285714288</v>
      </c>
      <c r="K74" s="340">
        <f t="shared" si="17"/>
        <v>6.4888436356137547</v>
      </c>
      <c r="M74" s="1033">
        <f t="shared" si="15"/>
        <v>5.8285761476972029</v>
      </c>
      <c r="N74" s="1033">
        <f t="shared" si="16"/>
        <v>453.84863088810158</v>
      </c>
    </row>
    <row r="75" spans="1:14" s="320" customFormat="1" ht="12" customHeight="1">
      <c r="A75" s="352" t="s">
        <v>875</v>
      </c>
      <c r="B75" s="352" t="s">
        <v>772</v>
      </c>
      <c r="C75" s="339">
        <v>41.57</v>
      </c>
      <c r="D75" s="334">
        <v>42.48</v>
      </c>
      <c r="E75" s="335">
        <v>207.85</v>
      </c>
      <c r="F75" s="335">
        <v>297.35999999999996</v>
      </c>
      <c r="G75" s="335">
        <f t="shared" si="11"/>
        <v>505.20999999999992</v>
      </c>
      <c r="I75" s="335">
        <f t="shared" si="12"/>
        <v>1</v>
      </c>
      <c r="J75" s="335">
        <f t="shared" si="13"/>
        <v>0.99999999999999989</v>
      </c>
      <c r="K75" s="340">
        <f t="shared" si="17"/>
        <v>1</v>
      </c>
      <c r="M75" s="1033">
        <f t="shared" si="15"/>
        <v>8.742864221545803</v>
      </c>
      <c r="N75" s="1033">
        <f t="shared" si="16"/>
        <v>104.91437065854964</v>
      </c>
    </row>
    <row r="76" spans="1:14" s="320" customFormat="1" ht="12" customHeight="1">
      <c r="A76" s="352" t="s">
        <v>876</v>
      </c>
      <c r="B76" s="352" t="s">
        <v>877</v>
      </c>
      <c r="C76" s="339">
        <v>55.42</v>
      </c>
      <c r="D76" s="334">
        <v>56.64</v>
      </c>
      <c r="E76" s="335">
        <v>277.10000000000002</v>
      </c>
      <c r="F76" s="335">
        <v>396.47999999999996</v>
      </c>
      <c r="G76" s="335">
        <f t="shared" si="11"/>
        <v>673.57999999999993</v>
      </c>
      <c r="I76" s="335">
        <f t="shared" si="12"/>
        <v>1</v>
      </c>
      <c r="J76" s="335">
        <f t="shared" si="13"/>
        <v>0.99999999999999989</v>
      </c>
      <c r="K76" s="340">
        <f t="shared" si="17"/>
        <v>1</v>
      </c>
      <c r="M76" s="1033">
        <f t="shared" si="15"/>
        <v>11.657152295394406</v>
      </c>
      <c r="N76" s="1033">
        <f t="shared" si="16"/>
        <v>139.88582754473288</v>
      </c>
    </row>
    <row r="77" spans="1:14" s="320" customFormat="1" ht="12" customHeight="1">
      <c r="A77" s="352" t="s">
        <v>878</v>
      </c>
      <c r="B77" s="352" t="s">
        <v>780</v>
      </c>
      <c r="C77" s="339">
        <v>13.9</v>
      </c>
      <c r="D77" s="334">
        <v>16.170000000000002</v>
      </c>
      <c r="E77" s="335">
        <v>41.7</v>
      </c>
      <c r="F77" s="335">
        <v>0</v>
      </c>
      <c r="G77" s="335">
        <f t="shared" si="11"/>
        <v>41.7</v>
      </c>
      <c r="I77" s="335">
        <f t="shared" si="12"/>
        <v>0.6</v>
      </c>
      <c r="J77" s="335">
        <f t="shared" si="13"/>
        <v>0</v>
      </c>
      <c r="K77" s="340">
        <f t="shared" si="17"/>
        <v>0.6</v>
      </c>
      <c r="M77" s="1033">
        <f t="shared" si="15"/>
        <v>3.3279687961957549</v>
      </c>
      <c r="N77" s="1033">
        <f t="shared" si="16"/>
        <v>23.961375332609435</v>
      </c>
    </row>
    <row r="78" spans="1:14" s="320" customFormat="1" ht="12" customHeight="1">
      <c r="A78" s="352" t="s">
        <v>879</v>
      </c>
      <c r="B78" s="352" t="s">
        <v>880</v>
      </c>
      <c r="C78" s="339">
        <v>13.9</v>
      </c>
      <c r="D78" s="334">
        <v>16.170000000000002</v>
      </c>
      <c r="E78" s="335"/>
      <c r="F78" s="335"/>
      <c r="G78" s="335"/>
      <c r="I78" s="335">
        <f t="shared" si="12"/>
        <v>0</v>
      </c>
      <c r="J78" s="335">
        <f t="shared" si="13"/>
        <v>0</v>
      </c>
      <c r="K78" s="340">
        <f t="shared" si="17"/>
        <v>0</v>
      </c>
      <c r="M78" s="1033">
        <f t="shared" si="15"/>
        <v>3.3279687961957549</v>
      </c>
      <c r="N78" s="1033">
        <f t="shared" si="16"/>
        <v>0</v>
      </c>
    </row>
    <row r="79" spans="1:14" s="320" customFormat="1" ht="12" customHeight="1">
      <c r="A79" s="352" t="s">
        <v>881</v>
      </c>
      <c r="B79" s="352" t="s">
        <v>882</v>
      </c>
      <c r="C79" s="339">
        <v>19.350000000000001</v>
      </c>
      <c r="D79" s="334">
        <v>23.09</v>
      </c>
      <c r="E79" s="335">
        <v>77.400000000000006</v>
      </c>
      <c r="F79" s="335">
        <v>0</v>
      </c>
      <c r="G79" s="335">
        <f t="shared" si="11"/>
        <v>77.400000000000006</v>
      </c>
      <c r="I79" s="335">
        <f t="shared" si="12"/>
        <v>0.8</v>
      </c>
      <c r="J79" s="335">
        <f t="shared" si="13"/>
        <v>0</v>
      </c>
      <c r="K79" s="340">
        <f t="shared" si="17"/>
        <v>0.8</v>
      </c>
      <c r="M79" s="1033">
        <f t="shared" si="15"/>
        <v>4.752183024376003</v>
      </c>
      <c r="N79" s="1033">
        <f t="shared" si="16"/>
        <v>45.620957034009635</v>
      </c>
    </row>
    <row r="80" spans="1:14" s="320" customFormat="1" ht="12" customHeight="1">
      <c r="A80" s="352" t="s">
        <v>883</v>
      </c>
      <c r="B80" s="352" t="s">
        <v>884</v>
      </c>
      <c r="C80" s="339">
        <v>22.95</v>
      </c>
      <c r="D80" s="334">
        <v>26.67</v>
      </c>
      <c r="E80" s="335">
        <v>183.6</v>
      </c>
      <c r="F80" s="335">
        <v>373.38000000000011</v>
      </c>
      <c r="G80" s="335">
        <f t="shared" si="11"/>
        <v>556.98000000000013</v>
      </c>
      <c r="I80" s="335">
        <f t="shared" si="12"/>
        <v>1.6</v>
      </c>
      <c r="J80" s="335">
        <f t="shared" si="13"/>
        <v>2.0000000000000004</v>
      </c>
      <c r="K80" s="340">
        <f t="shared" si="17"/>
        <v>1.8000000000000003</v>
      </c>
      <c r="M80" s="1033">
        <f t="shared" si="15"/>
        <v>5.4889874950241673</v>
      </c>
      <c r="N80" s="1033">
        <f t="shared" si="16"/>
        <v>118.56212989252202</v>
      </c>
    </row>
    <row r="81" spans="1:14" s="320" customFormat="1" ht="12" customHeight="1">
      <c r="A81" s="352" t="s">
        <v>885</v>
      </c>
      <c r="B81" s="352" t="s">
        <v>886</v>
      </c>
      <c r="C81" s="339">
        <v>3.2</v>
      </c>
      <c r="D81" s="334">
        <v>3.72</v>
      </c>
      <c r="E81" s="335">
        <v>1497.6</v>
      </c>
      <c r="F81" s="335">
        <v>1877.7399999999998</v>
      </c>
      <c r="G81" s="335">
        <f t="shared" si="11"/>
        <v>3375.3399999999997</v>
      </c>
      <c r="I81" s="335">
        <f t="shared" ref="I81:I90" si="18">IFERROR(E81/($C81),0)/5</f>
        <v>93.6</v>
      </c>
      <c r="J81" s="335">
        <f t="shared" ref="J81:J90" si="19">IFERROR(F81/($D81),0)/7</f>
        <v>72.109831029185855</v>
      </c>
      <c r="K81" s="340">
        <f t="shared" ref="K81:K90" si="20">IFERROR(AVERAGEIF(I81:J81,"&lt;&gt;0"),0)</f>
        <v>82.854915514592932</v>
      </c>
      <c r="L81" s="336"/>
      <c r="M81" s="1033">
        <f t="shared" si="15"/>
        <v>0.76561805329920884</v>
      </c>
      <c r="N81" s="1033">
        <f t="shared" si="16"/>
        <v>761.22262947063666</v>
      </c>
    </row>
    <row r="82" spans="1:14" s="320" customFormat="1" ht="11.25" customHeight="1">
      <c r="A82" s="352" t="s">
        <v>887</v>
      </c>
      <c r="B82" s="352" t="s">
        <v>790</v>
      </c>
      <c r="C82" s="339">
        <v>4</v>
      </c>
      <c r="D82" s="334">
        <v>4.5199999999999996</v>
      </c>
      <c r="E82" s="335">
        <v>78.2</v>
      </c>
      <c r="F82" s="335">
        <v>112</v>
      </c>
      <c r="G82" s="335">
        <f t="shared" si="11"/>
        <v>190.2</v>
      </c>
      <c r="I82" s="335">
        <f t="shared" si="18"/>
        <v>3.91</v>
      </c>
      <c r="J82" s="335">
        <f t="shared" si="19"/>
        <v>3.5398230088495581</v>
      </c>
      <c r="K82" s="340">
        <f t="shared" si="20"/>
        <v>3.7249115044247789</v>
      </c>
      <c r="M82" s="1033">
        <f t="shared" si="15"/>
        <v>0.93026709701946875</v>
      </c>
      <c r="N82" s="1033">
        <f t="shared" si="16"/>
        <v>41.581951342507935</v>
      </c>
    </row>
    <row r="83" spans="1:14" s="320" customFormat="1" ht="12" customHeight="1">
      <c r="A83" s="352" t="s">
        <v>888</v>
      </c>
      <c r="B83" s="352" t="s">
        <v>889</v>
      </c>
      <c r="C83" s="339">
        <v>16.45</v>
      </c>
      <c r="D83" s="334">
        <v>19.62</v>
      </c>
      <c r="E83" s="335">
        <v>213.85</v>
      </c>
      <c r="F83" s="335">
        <v>330.37</v>
      </c>
      <c r="G83" s="335">
        <f t="shared" si="11"/>
        <v>544.22</v>
      </c>
      <c r="I83" s="335">
        <f t="shared" si="18"/>
        <v>2.6</v>
      </c>
      <c r="J83" s="335">
        <f t="shared" si="19"/>
        <v>2.4054900247560798</v>
      </c>
      <c r="K83" s="340">
        <f t="shared" si="20"/>
        <v>2.5027450123780399</v>
      </c>
      <c r="M83" s="1033">
        <f t="shared" si="15"/>
        <v>4.0380177972393758</v>
      </c>
      <c r="N83" s="1033">
        <f t="shared" si="16"/>
        <v>121.27354682321528</v>
      </c>
    </row>
    <row r="84" spans="1:14" s="320" customFormat="1" ht="12" customHeight="1">
      <c r="A84" s="352" t="s">
        <v>890</v>
      </c>
      <c r="B84" s="352" t="s">
        <v>891</v>
      </c>
      <c r="C84" s="339">
        <v>24.35</v>
      </c>
      <c r="D84" s="334">
        <v>28.87</v>
      </c>
      <c r="E84" s="335">
        <v>560.04999999999995</v>
      </c>
      <c r="F84" s="335">
        <v>539.49</v>
      </c>
      <c r="G84" s="335">
        <f t="shared" si="11"/>
        <v>1099.54</v>
      </c>
      <c r="I84" s="335">
        <f t="shared" si="18"/>
        <v>4.5999999999999996</v>
      </c>
      <c r="J84" s="335">
        <f t="shared" si="19"/>
        <v>2.6695531693799794</v>
      </c>
      <c r="K84" s="340">
        <f t="shared" si="20"/>
        <v>3.6347765846899893</v>
      </c>
      <c r="M84" s="1033">
        <f t="shared" si="15"/>
        <v>5.9417723652548817</v>
      </c>
      <c r="N84" s="1033">
        <f t="shared" si="16"/>
        <v>259.16418077743799</v>
      </c>
    </row>
    <row r="85" spans="1:14" s="320" customFormat="1" ht="12" customHeight="1">
      <c r="A85" s="352" t="s">
        <v>892</v>
      </c>
      <c r="B85" s="352" t="s">
        <v>893</v>
      </c>
      <c r="C85" s="339">
        <v>32.15</v>
      </c>
      <c r="D85" s="334">
        <v>38.01</v>
      </c>
      <c r="E85" s="335">
        <v>2726.6099999999997</v>
      </c>
      <c r="F85" s="335">
        <v>3462.72</v>
      </c>
      <c r="G85" s="335">
        <f t="shared" si="11"/>
        <v>6189.33</v>
      </c>
      <c r="I85" s="335">
        <f t="shared" si="18"/>
        <v>16.961804043545875</v>
      </c>
      <c r="J85" s="335">
        <f t="shared" si="19"/>
        <v>13.014319539970684</v>
      </c>
      <c r="K85" s="340">
        <f t="shared" si="20"/>
        <v>14.98806179175828</v>
      </c>
      <c r="M85" s="1033">
        <f t="shared" si="15"/>
        <v>7.8228876897588515</v>
      </c>
      <c r="N85" s="1033">
        <f t="shared" si="16"/>
        <v>1406.9990890090903</v>
      </c>
    </row>
    <row r="86" spans="1:14" s="320" customFormat="1" ht="12" customHeight="1">
      <c r="A86" s="352" t="s">
        <v>894</v>
      </c>
      <c r="B86" s="352" t="s">
        <v>895</v>
      </c>
      <c r="C86" s="339">
        <v>24.35</v>
      </c>
      <c r="D86" s="334">
        <v>28.87</v>
      </c>
      <c r="E86" s="335">
        <v>48.7</v>
      </c>
      <c r="F86" s="335">
        <v>0</v>
      </c>
      <c r="G86" s="335">
        <f t="shared" si="11"/>
        <v>48.7</v>
      </c>
      <c r="I86" s="335">
        <f t="shared" si="18"/>
        <v>0.4</v>
      </c>
      <c r="J86" s="335">
        <f t="shared" si="19"/>
        <v>0</v>
      </c>
      <c r="K86" s="340">
        <f t="shared" si="20"/>
        <v>0.4</v>
      </c>
      <c r="M86" s="1033">
        <f t="shared" si="15"/>
        <v>5.9417723652548817</v>
      </c>
      <c r="N86" s="1033">
        <f t="shared" si="16"/>
        <v>28.520507353223429</v>
      </c>
    </row>
    <row r="87" spans="1:14" s="320" customFormat="1" ht="12" customHeight="1">
      <c r="A87" s="352" t="s">
        <v>896</v>
      </c>
      <c r="B87" s="352" t="s">
        <v>897</v>
      </c>
      <c r="C87" s="339">
        <v>16.45</v>
      </c>
      <c r="D87" s="334">
        <v>19.62</v>
      </c>
      <c r="E87" s="335">
        <v>178.5</v>
      </c>
      <c r="F87" s="335">
        <v>137.34</v>
      </c>
      <c r="G87" s="335">
        <f t="shared" si="11"/>
        <v>315.84000000000003</v>
      </c>
      <c r="I87" s="335">
        <f t="shared" si="18"/>
        <v>2.1702127659574471</v>
      </c>
      <c r="J87" s="335">
        <f t="shared" si="19"/>
        <v>1</v>
      </c>
      <c r="K87" s="340">
        <f t="shared" si="20"/>
        <v>1.5851063829787235</v>
      </c>
      <c r="M87" s="1033">
        <f t="shared" si="15"/>
        <v>4.0380177972393758</v>
      </c>
      <c r="N87" s="1033">
        <f t="shared" si="16"/>
        <v>76.808253419829839</v>
      </c>
    </row>
    <row r="88" spans="1:14" s="320" customFormat="1" ht="12" customHeight="1">
      <c r="A88" s="352" t="s">
        <v>898</v>
      </c>
      <c r="B88" s="352" t="s">
        <v>899</v>
      </c>
      <c r="C88" s="339">
        <v>32.15</v>
      </c>
      <c r="D88" s="334">
        <v>38.01</v>
      </c>
      <c r="E88" s="335">
        <v>27.950000000000003</v>
      </c>
      <c r="F88" s="335">
        <v>0</v>
      </c>
      <c r="G88" s="335">
        <f t="shared" si="11"/>
        <v>27.950000000000003</v>
      </c>
      <c r="I88" s="335">
        <f t="shared" si="18"/>
        <v>0.17387247278382584</v>
      </c>
      <c r="J88" s="335">
        <f t="shared" si="19"/>
        <v>0</v>
      </c>
      <c r="K88" s="340">
        <f t="shared" si="20"/>
        <v>0.17387247278382584</v>
      </c>
      <c r="M88" s="1033">
        <f t="shared" si="15"/>
        <v>7.8228876897588515</v>
      </c>
      <c r="N88" s="1033">
        <f t="shared" si="16"/>
        <v>16.322217923142265</v>
      </c>
    </row>
    <row r="89" spans="1:14" s="320" customFormat="1" ht="12" customHeight="1">
      <c r="A89" s="352" t="s">
        <v>900</v>
      </c>
      <c r="B89" s="352" t="s">
        <v>901</v>
      </c>
      <c r="C89" s="339">
        <v>12.55</v>
      </c>
      <c r="D89" s="334">
        <v>14.81</v>
      </c>
      <c r="E89" s="335">
        <v>75.3</v>
      </c>
      <c r="F89" s="335">
        <v>58.43</v>
      </c>
      <c r="G89" s="335">
        <f t="shared" si="11"/>
        <v>133.72999999999999</v>
      </c>
      <c r="I89" s="335">
        <f t="shared" si="18"/>
        <v>1.1999999999999997</v>
      </c>
      <c r="J89" s="335">
        <f t="shared" si="19"/>
        <v>0.56361531783543939</v>
      </c>
      <c r="K89" s="340">
        <f t="shared" si="20"/>
        <v>0.88180765891771951</v>
      </c>
      <c r="M89" s="1033">
        <f t="shared" si="15"/>
        <v>3.0480654218713128</v>
      </c>
      <c r="N89" s="1033">
        <f t="shared" si="16"/>
        <v>32.253689206660724</v>
      </c>
    </row>
    <row r="90" spans="1:14" s="320" customFormat="1" ht="12" customHeight="1">
      <c r="A90" s="352" t="s">
        <v>902</v>
      </c>
      <c r="B90" s="352" t="s">
        <v>903</v>
      </c>
      <c r="C90" s="339">
        <v>13.65</v>
      </c>
      <c r="D90" s="334">
        <v>13.65</v>
      </c>
      <c r="E90" s="335">
        <v>3681.7399999999993</v>
      </c>
      <c r="F90" s="335">
        <v>5338.24</v>
      </c>
      <c r="G90" s="335">
        <f t="shared" si="11"/>
        <v>9019.98</v>
      </c>
      <c r="I90" s="335">
        <f t="shared" si="18"/>
        <v>53.944908424908405</v>
      </c>
      <c r="J90" s="335">
        <f t="shared" si="19"/>
        <v>55.868550497121923</v>
      </c>
      <c r="K90" s="340">
        <f t="shared" si="20"/>
        <v>54.906729461015161</v>
      </c>
      <c r="M90" s="1033">
        <f t="shared" si="15"/>
        <v>2.8093243084769357</v>
      </c>
      <c r="N90" s="1033">
        <f t="shared" si="16"/>
        <v>1851.0097172855594</v>
      </c>
    </row>
    <row r="91" spans="1:14" s="320" customFormat="1" ht="12" customHeight="1">
      <c r="A91" s="352" t="s">
        <v>904</v>
      </c>
      <c r="B91" s="352" t="s">
        <v>905</v>
      </c>
      <c r="C91" s="339">
        <v>21.25</v>
      </c>
      <c r="D91" s="334">
        <v>21.25</v>
      </c>
      <c r="E91" s="335">
        <v>191.25</v>
      </c>
      <c r="F91" s="335">
        <v>297.5</v>
      </c>
      <c r="G91" s="335">
        <f t="shared" si="11"/>
        <v>488.75</v>
      </c>
      <c r="K91" s="321"/>
      <c r="M91" s="1033">
        <f t="shared" si="15"/>
        <v>4.3734902238194051</v>
      </c>
      <c r="N91" s="1033">
        <f t="shared" si="16"/>
        <v>0</v>
      </c>
    </row>
    <row r="92" spans="1:14" s="320" customFormat="1" ht="12" customHeight="1">
      <c r="A92" s="352" t="s">
        <v>906</v>
      </c>
      <c r="B92" s="352" t="s">
        <v>907</v>
      </c>
      <c r="C92" s="339">
        <v>16.649999999999999</v>
      </c>
      <c r="D92" s="334">
        <v>16.649999999999999</v>
      </c>
      <c r="E92" s="335">
        <v>3448.29</v>
      </c>
      <c r="F92" s="335">
        <v>5754.9499999999989</v>
      </c>
      <c r="G92" s="335">
        <f t="shared" si="11"/>
        <v>9203.239999999998</v>
      </c>
      <c r="I92" s="335"/>
      <c r="J92" s="335"/>
      <c r="K92" s="340"/>
      <c r="M92" s="1033">
        <f t="shared" si="15"/>
        <v>3.4267582224279103</v>
      </c>
      <c r="N92" s="1033">
        <f t="shared" si="16"/>
        <v>0</v>
      </c>
    </row>
    <row r="93" spans="1:14" s="320" customFormat="1" ht="12" customHeight="1">
      <c r="A93" s="352" t="s">
        <v>908</v>
      </c>
      <c r="B93" s="352" t="s">
        <v>909</v>
      </c>
      <c r="C93" s="339">
        <v>24.45</v>
      </c>
      <c r="D93" s="334">
        <v>24.45</v>
      </c>
      <c r="E93" s="335">
        <v>51.05</v>
      </c>
      <c r="F93" s="335">
        <v>0</v>
      </c>
      <c r="G93" s="335">
        <f t="shared" si="11"/>
        <v>51.05</v>
      </c>
      <c r="K93" s="353"/>
      <c r="M93" s="1033">
        <f t="shared" si="15"/>
        <v>5.0320863987004447</v>
      </c>
      <c r="N93" s="1033">
        <f t="shared" si="16"/>
        <v>0</v>
      </c>
    </row>
    <row r="94" spans="1:14" s="320" customFormat="1" ht="12" customHeight="1">
      <c r="A94" s="352" t="s">
        <v>910</v>
      </c>
      <c r="B94" s="352" t="s">
        <v>911</v>
      </c>
      <c r="C94" s="339">
        <v>19.7</v>
      </c>
      <c r="D94" s="334">
        <v>19.7</v>
      </c>
      <c r="E94" s="335">
        <v>10860.369999999999</v>
      </c>
      <c r="F94" s="335">
        <v>15377.62</v>
      </c>
      <c r="G94" s="335">
        <f t="shared" si="11"/>
        <v>26237.989999999998</v>
      </c>
      <c r="I94" s="335"/>
      <c r="J94" s="335"/>
      <c r="M94" s="1033">
        <f t="shared" si="15"/>
        <v>4.054482701611402</v>
      </c>
      <c r="N94" s="1033">
        <f t="shared" si="16"/>
        <v>0</v>
      </c>
    </row>
    <row r="95" spans="1:14" s="320" customFormat="1" ht="12" customHeight="1">
      <c r="A95" s="352" t="s">
        <v>912</v>
      </c>
      <c r="B95" s="352" t="s">
        <v>913</v>
      </c>
      <c r="C95" s="339">
        <v>28.6</v>
      </c>
      <c r="D95" s="334">
        <v>28.6</v>
      </c>
      <c r="E95" s="335">
        <v>601.65000000000009</v>
      </c>
      <c r="F95" s="335">
        <v>418.25</v>
      </c>
      <c r="G95" s="335">
        <f t="shared" si="11"/>
        <v>1019.9000000000001</v>
      </c>
      <c r="I95" s="335"/>
      <c r="J95" s="335"/>
      <c r="K95" s="321"/>
      <c r="M95" s="1033">
        <f t="shared" si="15"/>
        <v>5.8862033129992941</v>
      </c>
      <c r="N95" s="1033">
        <f t="shared" si="16"/>
        <v>0</v>
      </c>
    </row>
    <row r="96" spans="1:14" s="320" customFormat="1" ht="12" customHeight="1">
      <c r="A96" s="352" t="s">
        <v>914</v>
      </c>
      <c r="B96" s="352" t="s">
        <v>915</v>
      </c>
      <c r="C96" s="339">
        <v>31.25</v>
      </c>
      <c r="D96" s="334">
        <v>31.25</v>
      </c>
      <c r="E96" s="335">
        <v>390.63</v>
      </c>
      <c r="F96" s="335">
        <v>500</v>
      </c>
      <c r="G96" s="335">
        <f t="shared" si="11"/>
        <v>890.63</v>
      </c>
      <c r="I96" s="335"/>
      <c r="J96" s="335"/>
      <c r="K96" s="321"/>
      <c r="M96" s="1033">
        <f t="shared" si="15"/>
        <v>6.4316032703226549</v>
      </c>
      <c r="N96" s="1033">
        <f t="shared" si="16"/>
        <v>0</v>
      </c>
    </row>
    <row r="97" spans="1:14" s="320" customFormat="1" ht="12" customHeight="1">
      <c r="A97" s="352" t="s">
        <v>916</v>
      </c>
      <c r="B97" s="352" t="s">
        <v>917</v>
      </c>
      <c r="C97" s="339">
        <v>12.7</v>
      </c>
      <c r="D97" s="334">
        <v>12.7</v>
      </c>
      <c r="E97" s="335">
        <v>63.499999999999993</v>
      </c>
      <c r="F97" s="335">
        <v>12.7</v>
      </c>
      <c r="G97" s="335">
        <f t="shared" si="11"/>
        <v>76.199999999999989</v>
      </c>
      <c r="I97" s="335"/>
      <c r="J97" s="335"/>
      <c r="K97" s="340"/>
      <c r="M97" s="1033">
        <f t="shared" si="15"/>
        <v>2.6138035690591268</v>
      </c>
      <c r="N97" s="1033">
        <f t="shared" si="16"/>
        <v>0</v>
      </c>
    </row>
    <row r="98" spans="1:14" s="320" customFormat="1" ht="12" customHeight="1">
      <c r="A98" s="352" t="s">
        <v>918</v>
      </c>
      <c r="B98" s="352" t="s">
        <v>919</v>
      </c>
      <c r="C98" s="339">
        <v>13.45</v>
      </c>
      <c r="D98" s="334">
        <v>13.45</v>
      </c>
      <c r="E98" s="335">
        <v>107.6</v>
      </c>
      <c r="F98" s="335">
        <v>134.5</v>
      </c>
      <c r="G98" s="335">
        <f t="shared" si="11"/>
        <v>242.1</v>
      </c>
      <c r="I98" s="335"/>
      <c r="J98" s="335"/>
      <c r="K98" s="340"/>
      <c r="M98" s="1033">
        <f t="shared" si="15"/>
        <v>2.7681620475468707</v>
      </c>
      <c r="N98" s="1033">
        <f t="shared" si="16"/>
        <v>0</v>
      </c>
    </row>
    <row r="99" spans="1:14" s="320" customFormat="1" ht="12" customHeight="1">
      <c r="A99" s="352" t="s">
        <v>920</v>
      </c>
      <c r="B99" s="352" t="s">
        <v>921</v>
      </c>
      <c r="C99" s="339">
        <v>14.25</v>
      </c>
      <c r="D99" s="334">
        <v>14.25</v>
      </c>
      <c r="E99" s="335">
        <v>331.7</v>
      </c>
      <c r="F99" s="335">
        <v>256.5</v>
      </c>
      <c r="G99" s="335">
        <f t="shared" si="11"/>
        <v>588.20000000000005</v>
      </c>
      <c r="I99" s="335"/>
      <c r="J99" s="335"/>
      <c r="K99" s="340"/>
      <c r="M99" s="1033">
        <f t="shared" si="15"/>
        <v>2.9328110912671308</v>
      </c>
      <c r="N99" s="1033">
        <f t="shared" si="16"/>
        <v>0</v>
      </c>
    </row>
    <row r="100" spans="1:14" s="320" customFormat="1" ht="12" customHeight="1">
      <c r="A100" s="352" t="s">
        <v>922</v>
      </c>
      <c r="B100" s="352" t="s">
        <v>923</v>
      </c>
      <c r="C100" s="339">
        <v>4</v>
      </c>
      <c r="D100" s="334">
        <v>4</v>
      </c>
      <c r="E100" s="335">
        <v>86</v>
      </c>
      <c r="F100" s="335">
        <v>112</v>
      </c>
      <c r="G100" s="335">
        <f t="shared" si="11"/>
        <v>198</v>
      </c>
      <c r="I100" s="335"/>
      <c r="J100" s="335"/>
      <c r="K100" s="340"/>
      <c r="M100" s="1033">
        <f t="shared" si="15"/>
        <v>0.82324521860129984</v>
      </c>
      <c r="N100" s="1033">
        <f t="shared" si="16"/>
        <v>0</v>
      </c>
    </row>
    <row r="101" spans="1:14" s="320" customFormat="1" ht="12" customHeight="1">
      <c r="A101" s="352" t="s">
        <v>924</v>
      </c>
      <c r="B101" s="352" t="s">
        <v>925</v>
      </c>
      <c r="C101" s="339">
        <v>8</v>
      </c>
      <c r="D101" s="334">
        <v>8</v>
      </c>
      <c r="E101" s="335">
        <v>68</v>
      </c>
      <c r="F101" s="335">
        <v>112</v>
      </c>
      <c r="G101" s="335">
        <f t="shared" si="11"/>
        <v>180</v>
      </c>
      <c r="I101" s="335"/>
      <c r="J101" s="335"/>
      <c r="K101" s="340"/>
      <c r="M101" s="1033">
        <f t="shared" si="15"/>
        <v>1.6464904372025997</v>
      </c>
      <c r="N101" s="1033">
        <f t="shared" si="16"/>
        <v>0</v>
      </c>
    </row>
    <row r="102" spans="1:14" s="320" customFormat="1" ht="12" customHeight="1">
      <c r="A102" s="352" t="s">
        <v>926</v>
      </c>
      <c r="B102" s="352" t="s">
        <v>927</v>
      </c>
      <c r="C102" s="339">
        <v>12</v>
      </c>
      <c r="D102" s="334">
        <v>12</v>
      </c>
      <c r="E102" s="335"/>
      <c r="F102" s="335"/>
      <c r="G102" s="335"/>
      <c r="I102" s="335"/>
      <c r="J102" s="335"/>
      <c r="K102" s="340"/>
      <c r="M102" s="1033">
        <f t="shared" si="15"/>
        <v>2.4697356558038996</v>
      </c>
      <c r="N102" s="1033">
        <f t="shared" si="16"/>
        <v>0</v>
      </c>
    </row>
    <row r="103" spans="1:14" s="320" customFormat="1" ht="12" customHeight="1">
      <c r="A103" s="352" t="s">
        <v>928</v>
      </c>
      <c r="B103" s="352" t="s">
        <v>798</v>
      </c>
      <c r="C103" s="339">
        <v>2</v>
      </c>
      <c r="D103" s="334">
        <v>2</v>
      </c>
      <c r="E103" s="335">
        <v>10</v>
      </c>
      <c r="F103" s="335">
        <v>14</v>
      </c>
      <c r="G103" s="335">
        <f t="shared" si="11"/>
        <v>24</v>
      </c>
      <c r="I103" s="335"/>
      <c r="J103" s="335"/>
      <c r="K103" s="340"/>
      <c r="M103" s="1033">
        <f t="shared" si="15"/>
        <v>0.41162260930064992</v>
      </c>
      <c r="N103" s="1033">
        <f t="shared" si="16"/>
        <v>0</v>
      </c>
    </row>
    <row r="104" spans="1:14" s="320" customFormat="1" ht="12" customHeight="1">
      <c r="A104" s="352" t="s">
        <v>929</v>
      </c>
      <c r="B104" s="352" t="s">
        <v>930</v>
      </c>
      <c r="C104" s="339">
        <v>2.5</v>
      </c>
      <c r="D104" s="334">
        <v>2.5</v>
      </c>
      <c r="E104" s="335">
        <v>42.5</v>
      </c>
      <c r="F104" s="335">
        <v>38.75</v>
      </c>
      <c r="G104" s="335">
        <f t="shared" si="11"/>
        <v>81.25</v>
      </c>
      <c r="I104" s="335"/>
      <c r="J104" s="335"/>
      <c r="K104" s="340"/>
      <c r="M104" s="1033">
        <f t="shared" si="15"/>
        <v>0.51452826162581244</v>
      </c>
      <c r="N104" s="1033">
        <f t="shared" si="16"/>
        <v>0</v>
      </c>
    </row>
    <row r="105" spans="1:14" s="320" customFormat="1" ht="12" customHeight="1">
      <c r="A105" s="352" t="s">
        <v>931</v>
      </c>
      <c r="B105" s="352" t="s">
        <v>932</v>
      </c>
      <c r="C105" s="339">
        <v>5</v>
      </c>
      <c r="D105" s="334">
        <v>5</v>
      </c>
      <c r="E105" s="335">
        <v>25</v>
      </c>
      <c r="F105" s="335">
        <v>35</v>
      </c>
      <c r="G105" s="335">
        <f t="shared" si="11"/>
        <v>60</v>
      </c>
      <c r="I105" s="335"/>
      <c r="J105" s="335"/>
      <c r="K105" s="340"/>
      <c r="M105" s="1033">
        <f t="shared" si="15"/>
        <v>1.0290565232516249</v>
      </c>
      <c r="N105" s="1033">
        <f t="shared" si="16"/>
        <v>0</v>
      </c>
    </row>
    <row r="106" spans="1:14" s="320" customFormat="1" ht="12" customHeight="1">
      <c r="A106" s="352" t="s">
        <v>933</v>
      </c>
      <c r="B106" s="352" t="s">
        <v>934</v>
      </c>
      <c r="C106" s="339">
        <v>1.5</v>
      </c>
      <c r="D106" s="334">
        <v>1.5</v>
      </c>
      <c r="E106" s="335">
        <v>4.5</v>
      </c>
      <c r="F106" s="335">
        <v>0</v>
      </c>
      <c r="G106" s="335">
        <f t="shared" si="11"/>
        <v>4.5</v>
      </c>
      <c r="I106" s="335"/>
      <c r="J106" s="335"/>
      <c r="K106" s="340"/>
      <c r="M106" s="1033">
        <f t="shared" si="15"/>
        <v>0.30871695697548746</v>
      </c>
      <c r="N106" s="1033">
        <f t="shared" si="16"/>
        <v>0</v>
      </c>
    </row>
    <row r="107" spans="1:14" s="320" customFormat="1" ht="12" customHeight="1">
      <c r="A107" s="352" t="s">
        <v>935</v>
      </c>
      <c r="B107" s="352" t="s">
        <v>936</v>
      </c>
      <c r="C107" s="339">
        <v>3.46</v>
      </c>
      <c r="D107" s="334">
        <v>3.46</v>
      </c>
      <c r="E107" s="335">
        <v>17.3</v>
      </c>
      <c r="F107" s="335">
        <v>24.220000000000002</v>
      </c>
      <c r="G107" s="335">
        <f t="shared" si="11"/>
        <v>41.52</v>
      </c>
      <c r="I107" s="335"/>
      <c r="J107" s="335"/>
      <c r="K107" s="321"/>
      <c r="M107" s="1033">
        <f t="shared" si="15"/>
        <v>0.71210711409012439</v>
      </c>
      <c r="N107" s="1033">
        <f t="shared" si="16"/>
        <v>0</v>
      </c>
    </row>
    <row r="108" spans="1:14" s="320" customFormat="1" ht="12" customHeight="1">
      <c r="A108" s="321" t="s">
        <v>937</v>
      </c>
      <c r="B108" s="321" t="s">
        <v>938</v>
      </c>
      <c r="C108" s="339">
        <v>0.8</v>
      </c>
      <c r="D108" s="334">
        <v>0.8</v>
      </c>
      <c r="E108" s="335">
        <v>0</v>
      </c>
      <c r="F108" s="335">
        <v>9.1999999999999993</v>
      </c>
      <c r="G108" s="335">
        <f t="shared" si="11"/>
        <v>9.1999999999999993</v>
      </c>
      <c r="I108" s="335"/>
      <c r="J108" s="335"/>
      <c r="K108" s="321"/>
      <c r="M108" s="1033">
        <f t="shared" si="15"/>
        <v>0.16464904372025999</v>
      </c>
      <c r="N108" s="1033">
        <f t="shared" si="16"/>
        <v>0</v>
      </c>
    </row>
    <row r="109" spans="1:14" s="320" customFormat="1" ht="12" customHeight="1">
      <c r="A109" s="352" t="s">
        <v>939</v>
      </c>
      <c r="B109" s="352" t="s">
        <v>806</v>
      </c>
      <c r="C109" s="339">
        <v>7.36</v>
      </c>
      <c r="D109" s="334">
        <v>7.36</v>
      </c>
      <c r="E109" s="335">
        <v>36.800000000000004</v>
      </c>
      <c r="F109" s="335">
        <v>51.52</v>
      </c>
      <c r="G109" s="335">
        <f t="shared" si="11"/>
        <v>88.320000000000007</v>
      </c>
      <c r="I109" s="335"/>
      <c r="J109" s="335"/>
      <c r="K109" s="340"/>
      <c r="M109" s="1033">
        <f t="shared" si="15"/>
        <v>1.5147712022263917</v>
      </c>
      <c r="N109" s="1033">
        <f t="shared" si="16"/>
        <v>0</v>
      </c>
    </row>
    <row r="110" spans="1:14" s="320" customFormat="1" ht="12" customHeight="1">
      <c r="A110" s="321" t="s">
        <v>940</v>
      </c>
      <c r="B110" s="321" t="s">
        <v>941</v>
      </c>
      <c r="C110" s="339">
        <v>13.86</v>
      </c>
      <c r="D110" s="334">
        <v>13.86</v>
      </c>
      <c r="E110" s="335">
        <v>1361.7499999999998</v>
      </c>
      <c r="F110" s="335">
        <v>1843.3799999999997</v>
      </c>
      <c r="G110" s="335">
        <f t="shared" si="11"/>
        <v>3205.1299999999992</v>
      </c>
      <c r="I110" s="335"/>
      <c r="J110" s="335"/>
      <c r="K110" s="321"/>
      <c r="M110" s="1033">
        <f t="shared" si="15"/>
        <v>2.8525446824535039</v>
      </c>
      <c r="N110" s="1033">
        <f t="shared" si="16"/>
        <v>0</v>
      </c>
    </row>
    <row r="111" spans="1:14" s="320" customFormat="1" ht="12" customHeight="1">
      <c r="A111" s="321" t="s">
        <v>942</v>
      </c>
      <c r="B111" s="321" t="s">
        <v>943</v>
      </c>
      <c r="C111" s="339">
        <v>41.58</v>
      </c>
      <c r="D111" s="334">
        <v>41.58</v>
      </c>
      <c r="E111" s="335"/>
      <c r="F111" s="335"/>
      <c r="G111" s="335"/>
      <c r="I111" s="335"/>
      <c r="J111" s="335"/>
      <c r="K111" s="321"/>
      <c r="M111" s="1033">
        <f t="shared" ref="M111:M114" si="21">D111*$M$5</f>
        <v>8.5576340473605121</v>
      </c>
      <c r="N111" s="1033">
        <f t="shared" ref="N111:N114" si="22">M111*K111*12</f>
        <v>0</v>
      </c>
    </row>
    <row r="112" spans="1:14" s="320" customFormat="1" ht="12" customHeight="1">
      <c r="A112" s="352" t="s">
        <v>944</v>
      </c>
      <c r="B112" s="352" t="s">
        <v>945</v>
      </c>
      <c r="C112" s="339">
        <v>3.2</v>
      </c>
      <c r="D112" s="334">
        <v>3.2</v>
      </c>
      <c r="E112" s="335">
        <v>138.6</v>
      </c>
      <c r="F112" s="335">
        <v>194.04</v>
      </c>
      <c r="G112" s="335">
        <f t="shared" si="11"/>
        <v>332.64</v>
      </c>
      <c r="I112" s="335"/>
      <c r="J112" s="335"/>
      <c r="K112" s="321"/>
      <c r="M112" s="1033">
        <f t="shared" si="21"/>
        <v>0.65859617488103994</v>
      </c>
      <c r="N112" s="1033">
        <f t="shared" si="22"/>
        <v>0</v>
      </c>
    </row>
    <row r="113" spans="1:14" s="320" customFormat="1" ht="12" customHeight="1">
      <c r="A113" s="352" t="s">
        <v>946</v>
      </c>
      <c r="B113" s="352" t="s">
        <v>947</v>
      </c>
      <c r="C113" s="339">
        <v>6.94</v>
      </c>
      <c r="D113" s="334">
        <v>6.94</v>
      </c>
      <c r="E113" s="335">
        <v>90.22</v>
      </c>
      <c r="F113" s="335">
        <v>97.16</v>
      </c>
      <c r="G113" s="335">
        <f t="shared" ref="G113:G114" si="23">SUM(E113:F113)</f>
        <v>187.38</v>
      </c>
      <c r="I113" s="335"/>
      <c r="J113" s="335"/>
      <c r="K113" s="321"/>
      <c r="M113" s="1033">
        <f t="shared" si="21"/>
        <v>1.4283304542732553</v>
      </c>
      <c r="N113" s="1033">
        <f t="shared" si="22"/>
        <v>0</v>
      </c>
    </row>
    <row r="114" spans="1:14" s="320" customFormat="1" ht="12" customHeight="1">
      <c r="A114" s="352" t="s">
        <v>948</v>
      </c>
      <c r="B114" s="352" t="s">
        <v>949</v>
      </c>
      <c r="C114" s="339"/>
      <c r="D114" s="334"/>
      <c r="E114" s="335">
        <v>0</v>
      </c>
      <c r="F114" s="335">
        <v>2009.5299999999997</v>
      </c>
      <c r="G114" s="335">
        <f t="shared" si="23"/>
        <v>2009.5299999999997</v>
      </c>
      <c r="I114" s="335"/>
      <c r="J114" s="335"/>
      <c r="K114" s="321"/>
      <c r="M114" s="1033">
        <f t="shared" si="21"/>
        <v>0</v>
      </c>
      <c r="N114" s="1033">
        <f t="shared" si="22"/>
        <v>0</v>
      </c>
    </row>
    <row r="115" spans="1:14" s="320" customFormat="1" ht="12" customHeight="1">
      <c r="A115" s="342"/>
      <c r="B115" s="342"/>
      <c r="C115" s="342"/>
      <c r="D115" s="334"/>
      <c r="E115" s="335"/>
      <c r="F115" s="335"/>
      <c r="G115" s="336"/>
      <c r="K115" s="321"/>
    </row>
    <row r="116" spans="1:14" s="356" customFormat="1" ht="12" customHeight="1" thickBot="1">
      <c r="A116" s="354"/>
      <c r="B116" s="344" t="s">
        <v>950</v>
      </c>
      <c r="C116" s="344"/>
      <c r="D116" s="355"/>
      <c r="E116" s="346">
        <f>SUM(E48:E115)</f>
        <v>132366.71</v>
      </c>
      <c r="F116" s="346">
        <f>SUM(F48:F115)</f>
        <v>215784.47</v>
      </c>
      <c r="G116" s="346">
        <f>SUM(G48:G115)</f>
        <v>348151.18000000017</v>
      </c>
      <c r="I116" s="357">
        <f>SUM(I48:I80)</f>
        <v>261.24320964362141</v>
      </c>
      <c r="J116" s="357">
        <f t="shared" ref="J116:K116" si="24">SUM(J48:J80)</f>
        <v>247.62442996068725</v>
      </c>
      <c r="K116" s="357">
        <f t="shared" si="24"/>
        <v>255.26239123072574</v>
      </c>
      <c r="N116" s="1040">
        <f>SUM(N48:N114)</f>
        <v>69147.256324830101</v>
      </c>
    </row>
    <row r="117" spans="1:14" s="320" customFormat="1" ht="12" customHeight="1">
      <c r="A117" s="358"/>
      <c r="B117" s="358"/>
      <c r="C117" s="358"/>
      <c r="D117" s="334"/>
      <c r="E117" s="359"/>
      <c r="F117" s="359"/>
      <c r="G117" s="336"/>
      <c r="K117" s="321"/>
    </row>
    <row r="118" spans="1:14" ht="12" customHeight="1">
      <c r="A118" s="332" t="s">
        <v>951</v>
      </c>
      <c r="B118" s="332" t="s">
        <v>951</v>
      </c>
      <c r="C118" s="332"/>
    </row>
    <row r="119" spans="1:14" ht="12" customHeight="1">
      <c r="A119" s="348"/>
      <c r="B119" s="348"/>
      <c r="C119" s="348"/>
    </row>
    <row r="120" spans="1:14" ht="12" customHeight="1">
      <c r="A120" s="360" t="s">
        <v>952</v>
      </c>
      <c r="B120" s="360" t="s">
        <v>952</v>
      </c>
      <c r="C120" s="339"/>
    </row>
    <row r="121" spans="1:14" ht="12" customHeight="1">
      <c r="A121" s="352" t="s">
        <v>953</v>
      </c>
      <c r="B121" s="352" t="s">
        <v>954</v>
      </c>
      <c r="C121" s="339">
        <v>95.4</v>
      </c>
      <c r="D121" s="334">
        <v>95.4</v>
      </c>
      <c r="E121" s="335">
        <v>9842.84</v>
      </c>
      <c r="F121" s="335">
        <v>4717.99</v>
      </c>
      <c r="G121" s="335">
        <f t="shared" ref="G121:G133" si="25">SUM(E121:F121)</f>
        <v>14560.83</v>
      </c>
      <c r="I121" s="335">
        <f t="shared" ref="I121:I133" si="26">IFERROR(E121/($C121),0)/5</f>
        <v>20.634884696016773</v>
      </c>
      <c r="J121" s="335">
        <f t="shared" ref="J121:J133" si="27">IFERROR(F121/($D121),0)/7</f>
        <v>7.0649745432764295</v>
      </c>
      <c r="K121" s="340">
        <f t="shared" ref="K121:K133" si="28">IFERROR(AVERAGEIF(I121:J121,"&lt;&gt;0"),0)</f>
        <v>13.849929619646602</v>
      </c>
      <c r="L121" s="320"/>
      <c r="M121" s="1033">
        <f t="shared" ref="M121:M133" si="29">D121*$M$5</f>
        <v>19.634398463641002</v>
      </c>
      <c r="N121" s="1033">
        <f t="shared" ref="N121:N133" si="30">M121*K121*12</f>
        <v>3263.220442146303</v>
      </c>
    </row>
    <row r="122" spans="1:14" ht="12" customHeight="1">
      <c r="A122" s="352" t="s">
        <v>955</v>
      </c>
      <c r="B122" s="352" t="s">
        <v>956</v>
      </c>
      <c r="C122" s="339">
        <v>95.4</v>
      </c>
      <c r="D122" s="334">
        <v>95.4</v>
      </c>
      <c r="E122" s="335">
        <v>381.6</v>
      </c>
      <c r="F122" s="335">
        <v>2766.6000000000004</v>
      </c>
      <c r="G122" s="335">
        <f t="shared" si="25"/>
        <v>3148.2000000000003</v>
      </c>
      <c r="I122" s="335">
        <f t="shared" si="26"/>
        <v>0.8</v>
      </c>
      <c r="J122" s="335">
        <f t="shared" si="27"/>
        <v>4.1428571428571432</v>
      </c>
      <c r="K122" s="340">
        <f t="shared" si="28"/>
        <v>2.4714285714285715</v>
      </c>
      <c r="L122" s="320"/>
      <c r="M122" s="1033">
        <f t="shared" si="29"/>
        <v>19.634398463641002</v>
      </c>
      <c r="N122" s="1033">
        <f t="shared" si="30"/>
        <v>582.3001601502674</v>
      </c>
    </row>
    <row r="123" spans="1:14" ht="12" customHeight="1">
      <c r="A123" s="352" t="s">
        <v>957</v>
      </c>
      <c r="B123" s="352" t="s">
        <v>958</v>
      </c>
      <c r="C123" s="339">
        <v>137.80000000000001</v>
      </c>
      <c r="D123" s="334">
        <v>137.80000000000001</v>
      </c>
      <c r="E123" s="335">
        <v>14954.400000000001</v>
      </c>
      <c r="F123" s="335">
        <v>18051.8</v>
      </c>
      <c r="G123" s="335">
        <f t="shared" si="25"/>
        <v>33006.199999999997</v>
      </c>
      <c r="I123" s="335">
        <f t="shared" si="26"/>
        <v>21.704499274310596</v>
      </c>
      <c r="J123" s="335">
        <f t="shared" si="27"/>
        <v>18.714285714285712</v>
      </c>
      <c r="K123" s="340">
        <f t="shared" si="28"/>
        <v>20.209392494298154</v>
      </c>
      <c r="L123" s="320"/>
      <c r="M123" s="1033">
        <f t="shared" si="29"/>
        <v>28.360797780814782</v>
      </c>
      <c r="N123" s="1033">
        <f t="shared" si="30"/>
        <v>6877.8539256468721</v>
      </c>
    </row>
    <row r="124" spans="1:14" ht="12" customHeight="1">
      <c r="A124" s="352" t="s">
        <v>959</v>
      </c>
      <c r="B124" s="352" t="s">
        <v>960</v>
      </c>
      <c r="C124" s="339">
        <v>250</v>
      </c>
      <c r="D124" s="334">
        <v>250</v>
      </c>
      <c r="E124" s="335">
        <v>2239.56</v>
      </c>
      <c r="F124" s="335">
        <v>5750</v>
      </c>
      <c r="G124" s="335">
        <f t="shared" si="25"/>
        <v>7989.5599999999995</v>
      </c>
      <c r="I124" s="335">
        <f t="shared" si="26"/>
        <v>1.7916479999999999</v>
      </c>
      <c r="J124" s="335">
        <f t="shared" si="27"/>
        <v>3.2857142857142856</v>
      </c>
      <c r="K124" s="340">
        <f t="shared" si="28"/>
        <v>2.5386811428571425</v>
      </c>
      <c r="L124" s="320"/>
      <c r="M124" s="1033">
        <f t="shared" si="29"/>
        <v>51.452826162581239</v>
      </c>
      <c r="N124" s="1033">
        <f t="shared" si="30"/>
        <v>1567.4678343078194</v>
      </c>
    </row>
    <row r="125" spans="1:14" ht="12" customHeight="1">
      <c r="A125" s="352" t="s">
        <v>961</v>
      </c>
      <c r="B125" s="352" t="s">
        <v>962</v>
      </c>
      <c r="C125" s="339">
        <v>495</v>
      </c>
      <c r="D125" s="334">
        <v>495</v>
      </c>
      <c r="E125" s="335">
        <v>495</v>
      </c>
      <c r="F125" s="335">
        <v>1485</v>
      </c>
      <c r="G125" s="335">
        <f t="shared" si="25"/>
        <v>1980</v>
      </c>
      <c r="I125" s="335">
        <f t="shared" si="26"/>
        <v>0.2</v>
      </c>
      <c r="J125" s="335">
        <f t="shared" si="27"/>
        <v>0.42857142857142855</v>
      </c>
      <c r="K125" s="340">
        <f t="shared" si="28"/>
        <v>0.31428571428571428</v>
      </c>
      <c r="L125" s="320"/>
      <c r="M125" s="1033">
        <f t="shared" si="29"/>
        <v>101.87659580191085</v>
      </c>
      <c r="N125" s="1033">
        <f t="shared" si="30"/>
        <v>384.22030416720668</v>
      </c>
    </row>
    <row r="126" spans="1:14" ht="12" customHeight="1">
      <c r="A126" s="352" t="s">
        <v>963</v>
      </c>
      <c r="B126" s="352" t="s">
        <v>964</v>
      </c>
      <c r="C126" s="339">
        <v>42.6</v>
      </c>
      <c r="D126" s="334">
        <v>42.6</v>
      </c>
      <c r="E126" s="335">
        <v>340.80000000000007</v>
      </c>
      <c r="F126" s="335">
        <v>85.2</v>
      </c>
      <c r="G126" s="335">
        <f t="shared" si="25"/>
        <v>426.00000000000006</v>
      </c>
      <c r="I126" s="335">
        <f t="shared" si="26"/>
        <v>1.6000000000000003</v>
      </c>
      <c r="J126" s="335">
        <f t="shared" si="27"/>
        <v>0.2857142857142857</v>
      </c>
      <c r="K126" s="340">
        <f t="shared" si="28"/>
        <v>0.94285714285714306</v>
      </c>
      <c r="L126" s="320"/>
      <c r="M126" s="1033">
        <f t="shared" si="29"/>
        <v>8.7675615781038445</v>
      </c>
      <c r="N126" s="1033">
        <f t="shared" si="30"/>
        <v>99.19869671226067</v>
      </c>
    </row>
    <row r="127" spans="1:14" ht="12" customHeight="1">
      <c r="A127" s="352" t="s">
        <v>965</v>
      </c>
      <c r="B127" s="352" t="s">
        <v>966</v>
      </c>
      <c r="C127" s="339">
        <v>42.6</v>
      </c>
      <c r="D127" s="334">
        <v>42.6</v>
      </c>
      <c r="E127" s="335">
        <v>1618.8</v>
      </c>
      <c r="F127" s="335">
        <v>1491</v>
      </c>
      <c r="G127" s="335">
        <f t="shared" si="25"/>
        <v>3109.8</v>
      </c>
      <c r="I127" s="335">
        <f t="shared" si="26"/>
        <v>7.6</v>
      </c>
      <c r="J127" s="335">
        <f t="shared" si="27"/>
        <v>5</v>
      </c>
      <c r="K127" s="340">
        <f t="shared" si="28"/>
        <v>6.3</v>
      </c>
      <c r="L127" s="320"/>
      <c r="M127" s="1033">
        <f t="shared" si="29"/>
        <v>8.7675615781038445</v>
      </c>
      <c r="N127" s="1033">
        <f t="shared" si="30"/>
        <v>662.82765530465065</v>
      </c>
    </row>
    <row r="128" spans="1:14" ht="12" customHeight="1">
      <c r="A128" s="352" t="s">
        <v>967</v>
      </c>
      <c r="B128" s="352" t="s">
        <v>968</v>
      </c>
      <c r="C128" s="339">
        <v>3.7</v>
      </c>
      <c r="D128" s="334">
        <v>3.7</v>
      </c>
      <c r="E128" s="335">
        <v>10411.799999999999</v>
      </c>
      <c r="F128" s="335">
        <v>2264.4</v>
      </c>
      <c r="G128" s="335">
        <f t="shared" si="25"/>
        <v>12676.199999999999</v>
      </c>
      <c r="I128" s="335">
        <f t="shared" si="26"/>
        <v>562.79999999999995</v>
      </c>
      <c r="J128" s="335">
        <f t="shared" si="27"/>
        <v>87.428571428571431</v>
      </c>
      <c r="K128" s="340">
        <f t="shared" si="28"/>
        <v>325.1142857142857</v>
      </c>
      <c r="L128" s="320"/>
      <c r="M128" s="1033">
        <f t="shared" si="29"/>
        <v>0.76150182720620241</v>
      </c>
      <c r="N128" s="1033">
        <f t="shared" si="30"/>
        <v>2970.9014714672148</v>
      </c>
    </row>
    <row r="129" spans="1:14" ht="12" customHeight="1">
      <c r="A129" s="352" t="s">
        <v>969</v>
      </c>
      <c r="B129" s="352" t="s">
        <v>970</v>
      </c>
      <c r="C129" s="339">
        <v>106</v>
      </c>
      <c r="D129" s="334">
        <v>106</v>
      </c>
      <c r="E129" s="335">
        <v>4739</v>
      </c>
      <c r="F129" s="335">
        <v>7558</v>
      </c>
      <c r="G129" s="335">
        <f t="shared" si="25"/>
        <v>12297</v>
      </c>
      <c r="I129" s="335">
        <f t="shared" si="26"/>
        <v>8.9415094339622634</v>
      </c>
      <c r="J129" s="335">
        <f t="shared" si="27"/>
        <v>10.185983827493262</v>
      </c>
      <c r="K129" s="340">
        <f t="shared" si="28"/>
        <v>9.5637466307277634</v>
      </c>
      <c r="L129" s="320"/>
      <c r="M129" s="1033">
        <f t="shared" si="29"/>
        <v>21.815998292934445</v>
      </c>
      <c r="N129" s="1033">
        <f t="shared" si="30"/>
        <v>2503.7121620401731</v>
      </c>
    </row>
    <row r="130" spans="1:14" ht="12" customHeight="1">
      <c r="A130" s="352" t="s">
        <v>971</v>
      </c>
      <c r="B130" s="352" t="s">
        <v>972</v>
      </c>
      <c r="C130" s="339">
        <v>6.9</v>
      </c>
      <c r="D130" s="334">
        <v>6.9</v>
      </c>
      <c r="E130" s="335">
        <v>2508.75</v>
      </c>
      <c r="F130" s="335">
        <v>8197.1999999999989</v>
      </c>
      <c r="G130" s="335">
        <f t="shared" si="25"/>
        <v>10705.949999999999</v>
      </c>
      <c r="I130" s="335">
        <f t="shared" si="26"/>
        <v>72.717391304347828</v>
      </c>
      <c r="J130" s="335">
        <f t="shared" si="27"/>
        <v>169.71428571428569</v>
      </c>
      <c r="K130" s="340">
        <f t="shared" si="28"/>
        <v>121.21583850931677</v>
      </c>
      <c r="L130" s="320"/>
      <c r="M130" s="1033">
        <f t="shared" si="29"/>
        <v>1.4200980020872422</v>
      </c>
      <c r="N130" s="1033">
        <f t="shared" si="30"/>
        <v>2065.6604410609266</v>
      </c>
    </row>
    <row r="131" spans="1:14" ht="12" customHeight="1">
      <c r="A131" s="352" t="s">
        <v>973</v>
      </c>
      <c r="B131" s="352" t="s">
        <v>972</v>
      </c>
      <c r="C131" s="339">
        <v>106</v>
      </c>
      <c r="D131" s="334">
        <v>106</v>
      </c>
      <c r="E131" s="335">
        <v>811</v>
      </c>
      <c r="F131" s="335">
        <v>106</v>
      </c>
      <c r="G131" s="335">
        <f t="shared" si="25"/>
        <v>917</v>
      </c>
      <c r="I131" s="335">
        <f t="shared" si="26"/>
        <v>1.530188679245283</v>
      </c>
      <c r="J131" s="335">
        <f t="shared" si="27"/>
        <v>0.14285714285714285</v>
      </c>
      <c r="K131" s="340">
        <f t="shared" si="28"/>
        <v>0.8365229110512129</v>
      </c>
      <c r="L131" s="320"/>
      <c r="M131" s="1033">
        <f t="shared" si="29"/>
        <v>21.815998292934445</v>
      </c>
      <c r="N131" s="1033">
        <f t="shared" si="30"/>
        <v>218.99498879392576</v>
      </c>
    </row>
    <row r="132" spans="1:14" ht="12" customHeight="1">
      <c r="A132" s="352" t="s">
        <v>974</v>
      </c>
      <c r="B132" s="352" t="s">
        <v>975</v>
      </c>
      <c r="C132" s="339">
        <v>6.9</v>
      </c>
      <c r="D132" s="334">
        <v>6.9</v>
      </c>
      <c r="E132" s="335">
        <v>0</v>
      </c>
      <c r="F132" s="335">
        <v>213.9</v>
      </c>
      <c r="G132" s="335">
        <f t="shared" si="25"/>
        <v>213.9</v>
      </c>
      <c r="I132" s="335">
        <f t="shared" si="26"/>
        <v>0</v>
      </c>
      <c r="J132" s="335">
        <f t="shared" si="27"/>
        <v>4.4285714285714288</v>
      </c>
      <c r="K132" s="340">
        <f t="shared" si="28"/>
        <v>4.4285714285714288</v>
      </c>
      <c r="L132" s="320"/>
      <c r="M132" s="1033">
        <f t="shared" si="29"/>
        <v>1.4200980020872422</v>
      </c>
      <c r="N132" s="1033">
        <f t="shared" si="30"/>
        <v>75.468065253779173</v>
      </c>
    </row>
    <row r="133" spans="1:14" ht="12" customHeight="1">
      <c r="A133" s="352" t="s">
        <v>976</v>
      </c>
      <c r="B133" s="352" t="s">
        <v>977</v>
      </c>
      <c r="C133" s="339"/>
      <c r="E133" s="335">
        <v>-85.2</v>
      </c>
      <c r="F133" s="335">
        <v>0</v>
      </c>
      <c r="G133" s="335">
        <f t="shared" si="25"/>
        <v>-85.2</v>
      </c>
      <c r="I133" s="335">
        <f t="shared" si="26"/>
        <v>0</v>
      </c>
      <c r="J133" s="335">
        <f t="shared" si="27"/>
        <v>0</v>
      </c>
      <c r="K133" s="340">
        <f t="shared" si="28"/>
        <v>0</v>
      </c>
      <c r="L133" s="320"/>
      <c r="M133" s="1033">
        <f t="shared" si="29"/>
        <v>0</v>
      </c>
      <c r="N133" s="1033">
        <f t="shared" si="30"/>
        <v>0</v>
      </c>
    </row>
    <row r="134" spans="1:14" ht="12" customHeight="1">
      <c r="A134" s="361"/>
      <c r="B134" s="361"/>
      <c r="C134" s="337"/>
      <c r="E134" s="335"/>
      <c r="F134" s="335"/>
      <c r="G134" s="362"/>
      <c r="I134" s="335"/>
      <c r="J134" s="335"/>
      <c r="K134" s="353"/>
    </row>
    <row r="135" spans="1:14" s="363" customFormat="1" ht="12" customHeight="1" thickBot="1">
      <c r="E135" s="346">
        <f>SUM(E121:E134)</f>
        <v>48258.350000000006</v>
      </c>
      <c r="F135" s="346">
        <f>SUM(F121:F134)</f>
        <v>52687.09</v>
      </c>
      <c r="G135" s="346">
        <f>SUM(G121:G134)</f>
        <v>100945.43999999999</v>
      </c>
      <c r="I135" s="364"/>
      <c r="J135" s="364"/>
      <c r="N135" s="1038">
        <f>SUM(N121:N134)</f>
        <v>21271.826147051401</v>
      </c>
    </row>
    <row r="136" spans="1:14" ht="12" customHeight="1">
      <c r="A136" s="350"/>
      <c r="B136" s="350"/>
      <c r="C136" s="350"/>
      <c r="E136" s="365"/>
    </row>
    <row r="137" spans="1:14" ht="12" customHeight="1">
      <c r="A137" s="360" t="s">
        <v>978</v>
      </c>
      <c r="B137" s="360" t="s">
        <v>978</v>
      </c>
      <c r="C137" s="360"/>
    </row>
    <row r="138" spans="1:14" ht="12" customHeight="1">
      <c r="A138" s="352" t="s">
        <v>979</v>
      </c>
      <c r="B138" s="352" t="s">
        <v>980</v>
      </c>
      <c r="C138" s="339"/>
      <c r="E138" s="335">
        <v>37020.94</v>
      </c>
      <c r="F138" s="335">
        <v>51014.420000000006</v>
      </c>
      <c r="G138" s="335">
        <f t="shared" ref="G138" si="31">SUM(E138:F138)</f>
        <v>88035.360000000015</v>
      </c>
    </row>
    <row r="139" spans="1:14" ht="12" customHeight="1">
      <c r="A139" s="337"/>
      <c r="B139" s="337"/>
      <c r="G139" s="366"/>
    </row>
    <row r="140" spans="1:14" s="363" customFormat="1" ht="12" customHeight="1" thickBot="1">
      <c r="A140" s="356"/>
      <c r="B140" s="344" t="s">
        <v>981</v>
      </c>
      <c r="C140" s="344"/>
      <c r="E140" s="346">
        <f t="shared" ref="E140:G140" si="32">SUM(E138:E138)</f>
        <v>37020.94</v>
      </c>
      <c r="F140" s="346">
        <f t="shared" si="32"/>
        <v>51014.420000000006</v>
      </c>
      <c r="G140" s="346">
        <f t="shared" si="32"/>
        <v>88035.360000000015</v>
      </c>
    </row>
    <row r="141" spans="1:14" ht="12" customHeight="1">
      <c r="A141" s="350"/>
      <c r="B141" s="351"/>
      <c r="C141" s="351"/>
      <c r="E141" s="367"/>
      <c r="F141" s="367"/>
      <c r="G141" s="367"/>
    </row>
    <row r="142" spans="1:14" s="320" customFormat="1" ht="12" customHeight="1">
      <c r="A142" s="368" t="s">
        <v>562</v>
      </c>
      <c r="B142" s="368" t="s">
        <v>562</v>
      </c>
      <c r="C142" s="348"/>
      <c r="D142" s="334"/>
      <c r="E142" s="349"/>
      <c r="F142" s="335" t="str">
        <f>IF(D142="","",(#REF!/D142)+(#REF!/#REF!))</f>
        <v/>
      </c>
      <c r="G142" s="336"/>
      <c r="I142" s="335"/>
      <c r="J142" s="335"/>
      <c r="K142" s="321"/>
    </row>
    <row r="143" spans="1:14" s="320" customFormat="1" ht="12" customHeight="1">
      <c r="A143" s="337" t="s">
        <v>982</v>
      </c>
      <c r="B143" s="337" t="s">
        <v>983</v>
      </c>
      <c r="C143" s="339">
        <v>1</v>
      </c>
      <c r="D143" s="334"/>
      <c r="E143" s="335">
        <v>2128</v>
      </c>
      <c r="F143" s="335">
        <v>2677.28</v>
      </c>
      <c r="G143" s="335">
        <f t="shared" ref="G143" si="33">SUM(E143:F143)</f>
        <v>4805.2800000000007</v>
      </c>
      <c r="I143" s="335"/>
      <c r="J143" s="335"/>
      <c r="K143" s="321"/>
    </row>
    <row r="144" spans="1:14" s="320" customFormat="1" ht="12" customHeight="1">
      <c r="A144" s="337" t="s">
        <v>984</v>
      </c>
      <c r="B144" s="337" t="s">
        <v>985</v>
      </c>
      <c r="C144" s="339">
        <v>25</v>
      </c>
      <c r="D144" s="334"/>
      <c r="E144" s="335"/>
      <c r="F144" s="335"/>
      <c r="G144" s="335">
        <f>SUM(E144:F144)</f>
        <v>0</v>
      </c>
      <c r="I144" s="335"/>
      <c r="J144" s="335"/>
      <c r="K144" s="321"/>
    </row>
    <row r="145" spans="1:14" s="320" customFormat="1" ht="12" customHeight="1">
      <c r="A145" s="337" t="s">
        <v>986</v>
      </c>
      <c r="B145" s="337" t="s">
        <v>987</v>
      </c>
      <c r="C145" s="339">
        <v>25</v>
      </c>
      <c r="D145" s="334"/>
      <c r="E145" s="335"/>
      <c r="F145" s="335"/>
      <c r="G145" s="335">
        <f>SUM(E145:F145)</f>
        <v>0</v>
      </c>
      <c r="I145" s="335"/>
      <c r="J145" s="335"/>
      <c r="K145" s="321"/>
    </row>
    <row r="146" spans="1:14" s="320" customFormat="1" ht="12" customHeight="1">
      <c r="A146" s="342"/>
      <c r="B146" s="342"/>
      <c r="C146" s="342"/>
      <c r="D146" s="334"/>
      <c r="E146" s="349"/>
      <c r="F146" s="335"/>
      <c r="G146" s="336"/>
      <c r="I146" s="335"/>
      <c r="J146" s="335"/>
      <c r="K146" s="321"/>
    </row>
    <row r="147" spans="1:14" s="356" customFormat="1" ht="12" customHeight="1" thickBot="1">
      <c r="B147" s="344" t="s">
        <v>988</v>
      </c>
      <c r="C147" s="344"/>
      <c r="D147" s="355"/>
      <c r="E147" s="346">
        <f t="shared" ref="E147:G147" si="34">SUM(E143:E146)</f>
        <v>2128</v>
      </c>
      <c r="F147" s="346">
        <f t="shared" si="34"/>
        <v>2677.28</v>
      </c>
      <c r="G147" s="346">
        <f t="shared" si="34"/>
        <v>4805.2800000000007</v>
      </c>
      <c r="I147" s="364"/>
      <c r="J147" s="364"/>
      <c r="K147" s="363"/>
    </row>
    <row r="148" spans="1:14" ht="12" customHeight="1">
      <c r="A148" s="350"/>
      <c r="B148" s="351"/>
      <c r="C148" s="351"/>
    </row>
    <row r="149" spans="1:14" s="363" customFormat="1" ht="12" customHeight="1" thickBot="1">
      <c r="A149" s="343"/>
      <c r="B149" s="344" t="s">
        <v>989</v>
      </c>
      <c r="C149" s="344"/>
      <c r="E149" s="346">
        <f>SUM(E41,E116,E135,E140,E147)</f>
        <v>348537.98000000004</v>
      </c>
      <c r="F149" s="346">
        <f>SUM(F41,F116,F135,F140,F147)</f>
        <v>538906.25000000012</v>
      </c>
      <c r="G149" s="346">
        <f>SUM(G41,G116,G135,G140,G147)</f>
        <v>887444.22999999986</v>
      </c>
      <c r="N149" s="1038">
        <f>N135+N116+N41</f>
        <v>164397.63815574048</v>
      </c>
    </row>
    <row r="150" spans="1:14">
      <c r="M150" s="1036" t="s">
        <v>1604</v>
      </c>
      <c r="N150" s="1039">
        <f>'LG G-48'!E6</f>
        <v>164527.382483742</v>
      </c>
    </row>
    <row r="151" spans="1:14">
      <c r="E151" s="365"/>
      <c r="M151" s="1036" t="s">
        <v>1605</v>
      </c>
      <c r="N151" s="1039">
        <f>N149-N150</f>
        <v>-129.74432800151408</v>
      </c>
    </row>
  </sheetData>
  <pageMargins left="0.7" right="0.7" top="0.75" bottom="0.75" header="0.3" footer="0.3"/>
  <pageSetup scale="66" fitToHeight="6" orientation="landscape" r:id="rId1"/>
</worksheet>
</file>

<file path=xl/worksheets/sheet13.xml><?xml version="1.0" encoding="utf-8"?>
<worksheet xmlns="http://schemas.openxmlformats.org/spreadsheetml/2006/main" xmlns:r="http://schemas.openxmlformats.org/officeDocument/2006/relationships">
  <sheetPr>
    <tabColor theme="8"/>
    <pageSetUpPr fitToPage="1"/>
  </sheetPr>
  <dimension ref="A1:I112"/>
  <sheetViews>
    <sheetView zoomScaleNormal="100" workbookViewId="0">
      <pane xSplit="2" ySplit="7" topLeftCell="C8" activePane="bottomRight" state="frozen"/>
      <selection activeCell="P137" sqref="P137"/>
      <selection pane="topRight" activeCell="P137" sqref="P137"/>
      <selection pane="bottomLeft" activeCell="P137" sqref="P137"/>
      <selection pane="bottomRight" activeCell="Q17" sqref="Q17"/>
    </sheetView>
  </sheetViews>
  <sheetFormatPr defaultRowHeight="12.75"/>
  <cols>
    <col min="1" max="1" width="22.7109375" style="321" customWidth="1"/>
    <col min="2" max="2" width="29.140625" style="321" bestFit="1" customWidth="1"/>
    <col min="3" max="3" width="9" style="321" bestFit="1" customWidth="1"/>
    <col min="4" max="4" width="13.85546875" style="321" customWidth="1"/>
    <col min="5" max="5" width="1.85546875" style="321" customWidth="1"/>
    <col min="6" max="6" width="15.140625" style="321" bestFit="1" customWidth="1"/>
    <col min="7" max="7" width="3.42578125" style="321" customWidth="1"/>
    <col min="8" max="8" width="9.140625" style="321"/>
    <col min="9" max="9" width="11.28515625" style="321" customWidth="1"/>
    <col min="10" max="10" width="1.85546875" style="321" customWidth="1"/>
    <col min="11" max="16384" width="9.140625" style="321"/>
  </cols>
  <sheetData>
    <row r="1" spans="1:9" ht="12" customHeight="1">
      <c r="A1" s="319" t="s">
        <v>990</v>
      </c>
      <c r="B1" s="320"/>
      <c r="C1" s="369" t="s">
        <v>991</v>
      </c>
      <c r="D1" s="320"/>
      <c r="E1" s="320"/>
      <c r="F1" s="320"/>
    </row>
    <row r="2" spans="1:9" ht="12" customHeight="1">
      <c r="A2" s="319" t="s">
        <v>753</v>
      </c>
      <c r="B2" s="320"/>
      <c r="E2" s="320"/>
      <c r="F2" s="320"/>
    </row>
    <row r="3" spans="1:9" ht="12" customHeight="1">
      <c r="A3" s="322" t="s">
        <v>373</v>
      </c>
      <c r="B3" s="320"/>
      <c r="C3" s="320" t="s">
        <v>1001</v>
      </c>
      <c r="D3" s="320"/>
      <c r="E3" s="320"/>
      <c r="F3" s="320"/>
    </row>
    <row r="4" spans="1:9" ht="12" customHeight="1">
      <c r="B4" s="320"/>
      <c r="C4" s="320"/>
      <c r="D4" s="320"/>
      <c r="E4" s="320"/>
      <c r="F4" s="320"/>
    </row>
    <row r="5" spans="1:9" ht="12" customHeight="1">
      <c r="A5" s="323"/>
      <c r="B5" s="323"/>
      <c r="C5" s="323"/>
      <c r="D5" s="326" t="s">
        <v>992</v>
      </c>
      <c r="E5" s="320"/>
      <c r="F5" s="328" t="s">
        <v>992</v>
      </c>
      <c r="H5" s="1034">
        <f>'LG G-51'!E39</f>
        <v>3.9697336596109089E-3</v>
      </c>
      <c r="I5" s="1035" t="s">
        <v>19</v>
      </c>
    </row>
    <row r="6" spans="1:9" ht="12" customHeight="1">
      <c r="A6" s="325" t="s">
        <v>758</v>
      </c>
      <c r="B6" s="325" t="s">
        <v>759</v>
      </c>
      <c r="C6" s="325" t="s">
        <v>760</v>
      </c>
      <c r="D6" s="327" t="s">
        <v>19</v>
      </c>
      <c r="E6" s="320"/>
      <c r="F6" s="330" t="s">
        <v>761</v>
      </c>
      <c r="H6" s="1035" t="s">
        <v>242</v>
      </c>
      <c r="I6" s="1035" t="s">
        <v>242</v>
      </c>
    </row>
    <row r="7" spans="1:9" ht="12" customHeight="1"/>
    <row r="8" spans="1:9" s="320" customFormat="1" ht="12" customHeight="1"/>
    <row r="9" spans="1:9" s="320" customFormat="1" ht="12" customHeight="1">
      <c r="D9" s="331"/>
    </row>
    <row r="10" spans="1:9" s="320" customFormat="1" ht="12" customHeight="1">
      <c r="A10" s="332" t="s">
        <v>763</v>
      </c>
      <c r="B10" s="332" t="s">
        <v>763</v>
      </c>
      <c r="C10" s="332"/>
      <c r="D10" s="331"/>
    </row>
    <row r="11" spans="1:9" s="320" customFormat="1" ht="12" customHeight="1">
      <c r="A11" s="332"/>
      <c r="B11" s="332"/>
      <c r="C11" s="332"/>
      <c r="D11" s="331"/>
    </row>
    <row r="12" spans="1:9" s="320" customFormat="1" ht="12" customHeight="1">
      <c r="A12" s="333" t="s">
        <v>764</v>
      </c>
      <c r="B12" s="333" t="s">
        <v>764</v>
      </c>
      <c r="C12" s="333"/>
      <c r="D12" s="335"/>
      <c r="F12" s="335"/>
    </row>
    <row r="13" spans="1:9" s="320" customFormat="1" ht="12" customHeight="1">
      <c r="A13" s="337" t="s">
        <v>765</v>
      </c>
      <c r="B13" s="338" t="s">
        <v>766</v>
      </c>
      <c r="C13" s="339">
        <v>12.7</v>
      </c>
      <c r="D13" s="335">
        <v>152.4</v>
      </c>
      <c r="F13" s="335">
        <f>IFERROR(D13/($C13),0)/12</f>
        <v>1.0000000000000002</v>
      </c>
      <c r="H13" s="336">
        <f>C13*$H$5</f>
        <v>5.0415617477058541E-2</v>
      </c>
      <c r="I13" s="1032">
        <f>F13*H13*12</f>
        <v>0.60498740972470266</v>
      </c>
    </row>
    <row r="14" spans="1:9" s="320" customFormat="1" ht="12" customHeight="1">
      <c r="A14" s="337" t="s">
        <v>767</v>
      </c>
      <c r="B14" s="338" t="s">
        <v>768</v>
      </c>
      <c r="C14" s="339">
        <v>13.8</v>
      </c>
      <c r="D14" s="335">
        <v>18688.05</v>
      </c>
      <c r="F14" s="335">
        <f t="shared" ref="F14:F36" si="0">IFERROR(D14/($C14),0)/12</f>
        <v>112.85054347826086</v>
      </c>
      <c r="H14" s="336">
        <f t="shared" ref="H14:H39" si="1">C14*$H$5</f>
        <v>5.4782324502630549E-2</v>
      </c>
      <c r="I14" s="1032">
        <f t="shared" ref="I14:I39" si="2">F14*H14*12</f>
        <v>74.186581117491642</v>
      </c>
    </row>
    <row r="15" spans="1:9" s="320" customFormat="1" ht="12" customHeight="1">
      <c r="A15" s="337" t="s">
        <v>769</v>
      </c>
      <c r="B15" s="338" t="s">
        <v>770</v>
      </c>
      <c r="C15" s="339">
        <v>18.55</v>
      </c>
      <c r="D15" s="335">
        <v>7429.0600000000013</v>
      </c>
      <c r="F15" s="335">
        <f t="shared" si="0"/>
        <v>33.374034141958674</v>
      </c>
      <c r="H15" s="336">
        <f t="shared" si="1"/>
        <v>7.3638559385782357E-2</v>
      </c>
      <c r="I15" s="1032">
        <f t="shared" si="2"/>
        <v>29.491389541269019</v>
      </c>
    </row>
    <row r="16" spans="1:9" s="320" customFormat="1" ht="12" customHeight="1">
      <c r="A16" s="337" t="s">
        <v>771</v>
      </c>
      <c r="B16" s="338" t="s">
        <v>772</v>
      </c>
      <c r="C16" s="339">
        <v>23.3</v>
      </c>
      <c r="D16" s="335">
        <v>1352.6699999999998</v>
      </c>
      <c r="F16" s="335">
        <f t="shared" si="0"/>
        <v>4.837875536480686</v>
      </c>
      <c r="H16" s="336">
        <f t="shared" si="1"/>
        <v>9.2494794268934186E-2</v>
      </c>
      <c r="I16" s="1032">
        <f t="shared" si="2"/>
        <v>5.3697396293458874</v>
      </c>
    </row>
    <row r="17" spans="1:9" s="320" customFormat="1" ht="12" customHeight="1">
      <c r="A17" s="337" t="s">
        <v>773</v>
      </c>
      <c r="B17" s="338" t="s">
        <v>774</v>
      </c>
      <c r="C17" s="339">
        <v>28.1</v>
      </c>
      <c r="D17" s="335">
        <v>519.85</v>
      </c>
      <c r="F17" s="335">
        <f t="shared" si="0"/>
        <v>1.5416666666666667</v>
      </c>
      <c r="H17" s="336">
        <f t="shared" si="1"/>
        <v>0.11154951583506655</v>
      </c>
      <c r="I17" s="1032">
        <f t="shared" si="2"/>
        <v>2.0636660429487312</v>
      </c>
    </row>
    <row r="18" spans="1:9" s="320" customFormat="1" ht="12" customHeight="1">
      <c r="A18" s="337" t="s">
        <v>775</v>
      </c>
      <c r="B18" s="338" t="s">
        <v>776</v>
      </c>
      <c r="C18" s="339">
        <v>34.1</v>
      </c>
      <c r="D18" s="335"/>
      <c r="F18" s="335">
        <f t="shared" si="0"/>
        <v>0</v>
      </c>
      <c r="H18" s="336">
        <f t="shared" si="1"/>
        <v>0.135367917792732</v>
      </c>
      <c r="I18" s="1032">
        <f t="shared" si="2"/>
        <v>0</v>
      </c>
    </row>
    <row r="19" spans="1:9" s="320" customFormat="1" ht="12" customHeight="1">
      <c r="A19" s="337" t="s">
        <v>777</v>
      </c>
      <c r="B19" s="338" t="s">
        <v>778</v>
      </c>
      <c r="C19" s="339">
        <v>39.049999999999997</v>
      </c>
      <c r="D19" s="335"/>
      <c r="F19" s="335">
        <f t="shared" si="0"/>
        <v>0</v>
      </c>
      <c r="H19" s="336">
        <f t="shared" si="1"/>
        <v>0.15501809940780598</v>
      </c>
      <c r="I19" s="1032">
        <f t="shared" si="2"/>
        <v>0</v>
      </c>
    </row>
    <row r="20" spans="1:9" s="320" customFormat="1" ht="12" customHeight="1">
      <c r="A20" s="337" t="s">
        <v>779</v>
      </c>
      <c r="B20" s="338" t="s">
        <v>780</v>
      </c>
      <c r="C20" s="339">
        <v>9.1999999999999993</v>
      </c>
      <c r="D20" s="335">
        <v>807.30000000000007</v>
      </c>
      <c r="F20" s="335">
        <f t="shared" si="0"/>
        <v>7.3125000000000009</v>
      </c>
      <c r="H20" s="336">
        <f t="shared" si="1"/>
        <v>3.6521549668420361E-2</v>
      </c>
      <c r="I20" s="1032">
        <f t="shared" si="2"/>
        <v>3.2047659834038869</v>
      </c>
    </row>
    <row r="21" spans="1:9" s="320" customFormat="1" ht="12" customHeight="1">
      <c r="A21" s="337" t="s">
        <v>781</v>
      </c>
      <c r="B21" s="338" t="s">
        <v>782</v>
      </c>
      <c r="C21" s="339">
        <v>4.5999999999999996</v>
      </c>
      <c r="D21" s="335">
        <v>92.000000000000014</v>
      </c>
      <c r="F21" s="335">
        <f t="shared" si="0"/>
        <v>1.666666666666667</v>
      </c>
      <c r="H21" s="336">
        <f t="shared" si="1"/>
        <v>1.8260774834210181E-2</v>
      </c>
      <c r="I21" s="1032">
        <f t="shared" si="2"/>
        <v>0.36521549668420372</v>
      </c>
    </row>
    <row r="22" spans="1:9" s="320" customFormat="1" ht="12" customHeight="1">
      <c r="A22" s="337" t="s">
        <v>783</v>
      </c>
      <c r="B22" s="338" t="s">
        <v>784</v>
      </c>
      <c r="C22" s="339">
        <v>30.31</v>
      </c>
      <c r="D22" s="335">
        <v>2182.3299999999995</v>
      </c>
      <c r="F22" s="335">
        <f t="shared" si="0"/>
        <v>6.0000274936764528</v>
      </c>
      <c r="H22" s="336">
        <f t="shared" si="1"/>
        <v>0.12032262722280665</v>
      </c>
      <c r="I22" s="1032">
        <f t="shared" si="2"/>
        <v>8.6632688573786716</v>
      </c>
    </row>
    <row r="23" spans="1:9" s="320" customFormat="1" ht="12" customHeight="1">
      <c r="A23" s="337" t="s">
        <v>993</v>
      </c>
      <c r="B23" s="338" t="s">
        <v>994</v>
      </c>
      <c r="C23" s="339">
        <v>60.62</v>
      </c>
      <c r="D23" s="335"/>
      <c r="F23" s="335">
        <f t="shared" si="0"/>
        <v>0</v>
      </c>
      <c r="H23" s="336">
        <f t="shared" si="1"/>
        <v>0.2406452544456133</v>
      </c>
      <c r="I23" s="1032">
        <f t="shared" si="2"/>
        <v>0</v>
      </c>
    </row>
    <row r="24" spans="1:9" s="320" customFormat="1" ht="12" customHeight="1">
      <c r="A24" s="337" t="s">
        <v>995</v>
      </c>
      <c r="B24" s="338" t="s">
        <v>996</v>
      </c>
      <c r="C24" s="339">
        <v>23.45</v>
      </c>
      <c r="D24" s="335"/>
      <c r="F24" s="335">
        <f t="shared" si="0"/>
        <v>0</v>
      </c>
      <c r="H24" s="336">
        <f t="shared" si="1"/>
        <v>9.3090254317875806E-2</v>
      </c>
      <c r="I24" s="1032">
        <f t="shared" si="2"/>
        <v>0</v>
      </c>
    </row>
    <row r="25" spans="1:9" s="320" customFormat="1" ht="12" customHeight="1">
      <c r="A25" s="337" t="s">
        <v>785</v>
      </c>
      <c r="B25" s="341" t="s">
        <v>786</v>
      </c>
      <c r="C25" s="339">
        <v>33.35</v>
      </c>
      <c r="D25" s="335"/>
      <c r="F25" s="335">
        <f t="shared" si="0"/>
        <v>0</v>
      </c>
      <c r="H25" s="336">
        <f t="shared" si="1"/>
        <v>0.13239061754802381</v>
      </c>
      <c r="I25" s="1032">
        <f t="shared" si="2"/>
        <v>0</v>
      </c>
    </row>
    <row r="26" spans="1:9" s="320" customFormat="1" ht="12" customHeight="1">
      <c r="A26" s="337" t="s">
        <v>787</v>
      </c>
      <c r="B26" s="338" t="s">
        <v>788</v>
      </c>
      <c r="C26" s="339">
        <v>37.450000000000003</v>
      </c>
      <c r="D26" s="335"/>
      <c r="F26" s="335">
        <f t="shared" si="0"/>
        <v>0</v>
      </c>
      <c r="H26" s="336">
        <f t="shared" si="1"/>
        <v>0.14866652555242854</v>
      </c>
      <c r="I26" s="1032">
        <f t="shared" si="2"/>
        <v>0</v>
      </c>
    </row>
    <row r="27" spans="1:9" s="320" customFormat="1" ht="12" customHeight="1">
      <c r="A27" s="337" t="s">
        <v>789</v>
      </c>
      <c r="B27" s="338" t="s">
        <v>790</v>
      </c>
      <c r="C27" s="339">
        <v>4.5999999999999996</v>
      </c>
      <c r="D27" s="335">
        <v>525.4</v>
      </c>
      <c r="F27" s="335">
        <f t="shared" si="0"/>
        <v>9.5181159420289863</v>
      </c>
      <c r="H27" s="336">
        <f t="shared" si="1"/>
        <v>1.8260774834210181E-2</v>
      </c>
      <c r="I27" s="1032">
        <f t="shared" si="2"/>
        <v>2.0856980647595718</v>
      </c>
    </row>
    <row r="28" spans="1:9" s="320" customFormat="1" ht="12" customHeight="1">
      <c r="A28" s="337" t="s">
        <v>997</v>
      </c>
      <c r="B28" s="338" t="s">
        <v>998</v>
      </c>
      <c r="C28" s="339">
        <v>7</v>
      </c>
      <c r="D28" s="335"/>
      <c r="F28" s="335">
        <f t="shared" si="0"/>
        <v>0</v>
      </c>
      <c r="H28" s="336">
        <f t="shared" si="1"/>
        <v>2.7788135617276361E-2</v>
      </c>
      <c r="I28" s="1032">
        <f t="shared" si="2"/>
        <v>0</v>
      </c>
    </row>
    <row r="29" spans="1:9" s="320" customFormat="1" ht="12" customHeight="1">
      <c r="A29" s="337" t="s">
        <v>791</v>
      </c>
      <c r="B29" s="338" t="s">
        <v>792</v>
      </c>
      <c r="C29" s="339">
        <v>3.2</v>
      </c>
      <c r="D29" s="335">
        <v>1255.1200000000001</v>
      </c>
      <c r="F29" s="335">
        <f t="shared" si="0"/>
        <v>32.685416666666669</v>
      </c>
      <c r="H29" s="336">
        <f t="shared" si="1"/>
        <v>1.2703147710754909E-2</v>
      </c>
      <c r="I29" s="1032">
        <f t="shared" si="2"/>
        <v>4.9824921108508446</v>
      </c>
    </row>
    <row r="30" spans="1:9" s="320" customFormat="1" ht="12" customHeight="1">
      <c r="A30" s="337" t="s">
        <v>793</v>
      </c>
      <c r="B30" s="338" t="s">
        <v>794</v>
      </c>
      <c r="C30" s="339">
        <v>3.05</v>
      </c>
      <c r="D30" s="335"/>
      <c r="F30" s="335">
        <f t="shared" si="0"/>
        <v>0</v>
      </c>
      <c r="H30" s="336">
        <f t="shared" si="1"/>
        <v>1.2107687661813272E-2</v>
      </c>
      <c r="I30" s="1032">
        <f t="shared" si="2"/>
        <v>0</v>
      </c>
    </row>
    <row r="31" spans="1:9" s="320" customFormat="1" ht="12" customHeight="1">
      <c r="A31" s="337" t="s">
        <v>795</v>
      </c>
      <c r="B31" s="338" t="s">
        <v>796</v>
      </c>
      <c r="C31" s="339">
        <v>12.55</v>
      </c>
      <c r="D31" s="335">
        <v>37.650000000000006</v>
      </c>
      <c r="F31" s="335">
        <f t="shared" si="0"/>
        <v>0.25000000000000006</v>
      </c>
      <c r="H31" s="336">
        <f t="shared" si="1"/>
        <v>4.9820157428116907E-2</v>
      </c>
      <c r="I31" s="1032">
        <f t="shared" si="2"/>
        <v>0.14946047228435078</v>
      </c>
    </row>
    <row r="32" spans="1:9" s="320" customFormat="1" ht="12" customHeight="1">
      <c r="A32" s="337" t="s">
        <v>797</v>
      </c>
      <c r="B32" s="338" t="s">
        <v>798</v>
      </c>
      <c r="C32" s="339">
        <v>2</v>
      </c>
      <c r="D32" s="335"/>
      <c r="F32" s="335">
        <f t="shared" si="0"/>
        <v>0</v>
      </c>
      <c r="H32" s="336">
        <f t="shared" si="1"/>
        <v>7.9394673192218178E-3</v>
      </c>
      <c r="I32" s="1032">
        <f t="shared" si="2"/>
        <v>0</v>
      </c>
    </row>
    <row r="33" spans="1:9" s="320" customFormat="1" ht="12" customHeight="1">
      <c r="A33" s="337" t="s">
        <v>799</v>
      </c>
      <c r="B33" s="338" t="s">
        <v>800</v>
      </c>
      <c r="C33" s="339">
        <v>4</v>
      </c>
      <c r="D33" s="335"/>
      <c r="F33" s="335">
        <f t="shared" si="0"/>
        <v>0</v>
      </c>
      <c r="H33" s="336">
        <f t="shared" si="1"/>
        <v>1.5878934638443636E-2</v>
      </c>
      <c r="I33" s="1032">
        <f t="shared" si="2"/>
        <v>0</v>
      </c>
    </row>
    <row r="34" spans="1:9" s="320" customFormat="1" ht="12" customHeight="1">
      <c r="A34" s="337" t="s">
        <v>805</v>
      </c>
      <c r="B34" s="338" t="s">
        <v>806</v>
      </c>
      <c r="C34" s="339">
        <v>4.5999999999999996</v>
      </c>
      <c r="D34" s="335"/>
      <c r="F34" s="335">
        <f t="shared" si="0"/>
        <v>0</v>
      </c>
      <c r="H34" s="336">
        <f t="shared" si="1"/>
        <v>1.8260774834210181E-2</v>
      </c>
      <c r="I34" s="1032">
        <f t="shared" si="2"/>
        <v>0</v>
      </c>
    </row>
    <row r="35" spans="1:9" s="320" customFormat="1" ht="12" customHeight="1">
      <c r="A35" s="337" t="s">
        <v>807</v>
      </c>
      <c r="B35" s="338" t="s">
        <v>808</v>
      </c>
      <c r="C35" s="339">
        <v>4.5999999999999996</v>
      </c>
      <c r="D35" s="335">
        <v>0</v>
      </c>
      <c r="F35" s="335">
        <f t="shared" si="0"/>
        <v>0</v>
      </c>
      <c r="H35" s="336">
        <f t="shared" si="1"/>
        <v>1.8260774834210181E-2</v>
      </c>
      <c r="I35" s="1032">
        <f t="shared" si="2"/>
        <v>0</v>
      </c>
    </row>
    <row r="36" spans="1:9" s="320" customFormat="1" ht="12" customHeight="1">
      <c r="A36" s="337" t="s">
        <v>809</v>
      </c>
      <c r="B36" s="338" t="s">
        <v>810</v>
      </c>
      <c r="C36" s="339">
        <v>2.2999999999999998</v>
      </c>
      <c r="D36" s="335">
        <v>273.13</v>
      </c>
      <c r="F36" s="335">
        <f t="shared" si="0"/>
        <v>9.8960144927536238</v>
      </c>
      <c r="H36" s="336">
        <f t="shared" si="1"/>
        <v>9.1303874171050903E-3</v>
      </c>
      <c r="I36" s="1032">
        <f t="shared" si="2"/>
        <v>1.0842533544495276</v>
      </c>
    </row>
    <row r="37" spans="1:9" s="320" customFormat="1" ht="12" customHeight="1">
      <c r="A37" s="337" t="s">
        <v>813</v>
      </c>
      <c r="B37" s="338" t="s">
        <v>814</v>
      </c>
      <c r="C37" s="339"/>
      <c r="D37" s="335">
        <v>-13.8</v>
      </c>
      <c r="H37" s="336">
        <f t="shared" si="1"/>
        <v>0</v>
      </c>
      <c r="I37" s="1032">
        <f t="shared" si="2"/>
        <v>0</v>
      </c>
    </row>
    <row r="38" spans="1:9" s="320" customFormat="1" ht="12" customHeight="1">
      <c r="A38" s="337" t="s">
        <v>815</v>
      </c>
      <c r="B38" s="338" t="s">
        <v>816</v>
      </c>
      <c r="C38" s="339"/>
      <c r="D38" s="335">
        <v>929.66</v>
      </c>
      <c r="F38" s="335"/>
      <c r="H38" s="336">
        <f t="shared" si="1"/>
        <v>0</v>
      </c>
      <c r="I38" s="1032">
        <f t="shared" si="2"/>
        <v>0</v>
      </c>
    </row>
    <row r="39" spans="1:9" s="320" customFormat="1" ht="12" customHeight="1">
      <c r="A39" s="337" t="s">
        <v>999</v>
      </c>
      <c r="B39" s="338" t="s">
        <v>818</v>
      </c>
      <c r="C39" s="339"/>
      <c r="D39" s="335">
        <v>537.46999999999991</v>
      </c>
      <c r="F39" s="335"/>
      <c r="H39" s="336">
        <f t="shared" si="1"/>
        <v>0</v>
      </c>
      <c r="I39" s="1032">
        <f t="shared" si="2"/>
        <v>0</v>
      </c>
    </row>
    <row r="40" spans="1:9" s="320" customFormat="1" ht="12" customHeight="1">
      <c r="A40" s="342"/>
      <c r="B40" s="342"/>
      <c r="C40" s="342"/>
      <c r="D40" s="335"/>
    </row>
    <row r="41" spans="1:9" s="343" customFormat="1" ht="12" customHeight="1" thickBot="1">
      <c r="B41" s="344" t="s">
        <v>819</v>
      </c>
      <c r="C41" s="344"/>
      <c r="D41" s="346">
        <f>SUM(D13:D40)</f>
        <v>34768.29</v>
      </c>
      <c r="F41" s="347">
        <f>+SUM(F13:F26)</f>
        <v>168.58331398370996</v>
      </c>
      <c r="I41" s="347">
        <f>+SUM(I13:I38)</f>
        <v>132.25151808059101</v>
      </c>
    </row>
    <row r="42" spans="1:9" s="320" customFormat="1" ht="12" customHeight="1">
      <c r="A42" s="332"/>
      <c r="B42" s="348"/>
      <c r="C42" s="348"/>
      <c r="D42" s="349"/>
      <c r="F42" s="335"/>
    </row>
    <row r="43" spans="1:9" s="320" customFormat="1" ht="12" customHeight="1">
      <c r="A43" s="350"/>
      <c r="B43" s="351"/>
      <c r="C43" s="351"/>
      <c r="D43" s="349"/>
      <c r="F43" s="335"/>
    </row>
    <row r="44" spans="1:9" s="320" customFormat="1" ht="12" customHeight="1">
      <c r="D44" s="349"/>
      <c r="F44" s="335"/>
    </row>
    <row r="45" spans="1:9" ht="12" customHeight="1">
      <c r="A45" s="332" t="s">
        <v>820</v>
      </c>
      <c r="B45" s="332" t="s">
        <v>820</v>
      </c>
      <c r="C45" s="332"/>
    </row>
    <row r="46" spans="1:9" ht="12" customHeight="1">
      <c r="A46" s="332"/>
      <c r="B46" s="332"/>
      <c r="C46" s="332"/>
    </row>
    <row r="47" spans="1:9" s="320" customFormat="1" ht="12" customHeight="1">
      <c r="A47" s="333" t="s">
        <v>821</v>
      </c>
      <c r="B47" s="333" t="s">
        <v>821</v>
      </c>
      <c r="C47" s="333"/>
      <c r="D47" s="349"/>
      <c r="F47" s="335"/>
    </row>
    <row r="48" spans="1:9" s="320" customFormat="1" ht="12" customHeight="1">
      <c r="A48" s="352" t="s">
        <v>822</v>
      </c>
      <c r="B48" s="352" t="s">
        <v>823</v>
      </c>
      <c r="C48" s="339">
        <v>47.41</v>
      </c>
      <c r="D48" s="335">
        <v>2844.6000000000004</v>
      </c>
      <c r="F48" s="335">
        <f>IFERROR(D48/($C48),0)/12</f>
        <v>5.0000000000000009</v>
      </c>
      <c r="H48" s="336">
        <f t="shared" ref="H48:H79" si="3">C48*$H$5</f>
        <v>0.18820507280215318</v>
      </c>
      <c r="I48" s="1032">
        <f t="shared" ref="I48:I79" si="4">F48*H48*12</f>
        <v>11.292304368129193</v>
      </c>
    </row>
    <row r="49" spans="1:9" s="320" customFormat="1" ht="12" customHeight="1">
      <c r="A49" s="352" t="s">
        <v>828</v>
      </c>
      <c r="B49" s="352" t="s">
        <v>829</v>
      </c>
      <c r="C49" s="339">
        <v>23.76</v>
      </c>
      <c r="D49" s="335">
        <v>302.93999999999994</v>
      </c>
      <c r="F49" s="335">
        <f t="shared" ref="F49:F78" si="5">IFERROR(D49/($C49),0)/12</f>
        <v>1.0624999999999998</v>
      </c>
      <c r="H49" s="336">
        <f t="shared" si="3"/>
        <v>9.4320871752355206E-2</v>
      </c>
      <c r="I49" s="1032">
        <f t="shared" si="4"/>
        <v>1.2025911148425288</v>
      </c>
    </row>
    <row r="50" spans="1:9" s="320" customFormat="1" ht="12" customHeight="1">
      <c r="A50" s="352" t="s">
        <v>830</v>
      </c>
      <c r="B50" s="352" t="s">
        <v>831</v>
      </c>
      <c r="C50" s="339">
        <v>70.58</v>
      </c>
      <c r="D50" s="335">
        <v>7622.6400000000021</v>
      </c>
      <c r="F50" s="335">
        <f t="shared" si="5"/>
        <v>9.0000000000000018</v>
      </c>
      <c r="H50" s="336">
        <f t="shared" si="3"/>
        <v>0.28018380169533796</v>
      </c>
      <c r="I50" s="1032">
        <f t="shared" si="4"/>
        <v>30.259850583096508</v>
      </c>
    </row>
    <row r="51" spans="1:9" s="320" customFormat="1" ht="12" customHeight="1">
      <c r="A51" s="352" t="s">
        <v>832</v>
      </c>
      <c r="B51" s="352" t="s">
        <v>833</v>
      </c>
      <c r="C51" s="339">
        <v>141.16</v>
      </c>
      <c r="D51" s="335">
        <v>1693.9200000000003</v>
      </c>
      <c r="F51" s="335">
        <f t="shared" si="5"/>
        <v>1.0000000000000002</v>
      </c>
      <c r="H51" s="336">
        <f t="shared" si="3"/>
        <v>0.56036760339067593</v>
      </c>
      <c r="I51" s="1032">
        <f t="shared" si="4"/>
        <v>6.7244112406881129</v>
      </c>
    </row>
    <row r="52" spans="1:9" s="320" customFormat="1" ht="12" customHeight="1">
      <c r="A52" s="352" t="s">
        <v>840</v>
      </c>
      <c r="B52" s="352" t="s">
        <v>841</v>
      </c>
      <c r="C52" s="339">
        <v>35.369999999999997</v>
      </c>
      <c r="D52" s="335">
        <v>70.739999999999995</v>
      </c>
      <c r="F52" s="335">
        <f t="shared" si="5"/>
        <v>0.16666666666666666</v>
      </c>
      <c r="H52" s="336">
        <f t="shared" si="3"/>
        <v>0.14040947954043784</v>
      </c>
      <c r="I52" s="1032">
        <f t="shared" si="4"/>
        <v>0.28081895908087567</v>
      </c>
    </row>
    <row r="53" spans="1:9" s="320" customFormat="1" ht="12" customHeight="1">
      <c r="A53" s="352" t="s">
        <v>842</v>
      </c>
      <c r="B53" s="352" t="s">
        <v>843</v>
      </c>
      <c r="C53" s="339">
        <v>92.45</v>
      </c>
      <c r="D53" s="335">
        <v>6637.2899999999991</v>
      </c>
      <c r="F53" s="335">
        <f t="shared" si="5"/>
        <v>5.9827744726879386</v>
      </c>
      <c r="H53" s="336">
        <f t="shared" si="3"/>
        <v>0.36700187683102853</v>
      </c>
      <c r="I53" s="1032">
        <f t="shared" si="4"/>
        <v>26.348273521598887</v>
      </c>
    </row>
    <row r="54" spans="1:9" s="320" customFormat="1" ht="12" customHeight="1">
      <c r="A54" s="352" t="s">
        <v>844</v>
      </c>
      <c r="B54" s="352" t="s">
        <v>845</v>
      </c>
      <c r="C54" s="339">
        <v>184.89</v>
      </c>
      <c r="D54" s="335">
        <v>2218.6799999999994</v>
      </c>
      <c r="F54" s="335">
        <f t="shared" si="5"/>
        <v>0.99999999999999989</v>
      </c>
      <c r="H54" s="336">
        <f t="shared" si="3"/>
        <v>0.73396405632546091</v>
      </c>
      <c r="I54" s="1032">
        <f t="shared" si="4"/>
        <v>8.8075686759055287</v>
      </c>
    </row>
    <row r="55" spans="1:9" s="320" customFormat="1" ht="12" customHeight="1">
      <c r="A55" s="352" t="s">
        <v>852</v>
      </c>
      <c r="B55" s="352" t="s">
        <v>853</v>
      </c>
      <c r="C55" s="339">
        <v>184.89</v>
      </c>
      <c r="D55" s="335">
        <v>4437.3599999999988</v>
      </c>
      <c r="F55" s="335">
        <f t="shared" si="5"/>
        <v>1.9999999999999998</v>
      </c>
      <c r="H55" s="336">
        <f t="shared" si="3"/>
        <v>0.73396405632546091</v>
      </c>
      <c r="I55" s="1032">
        <f t="shared" si="4"/>
        <v>17.615137351811057</v>
      </c>
    </row>
    <row r="56" spans="1:9" s="320" customFormat="1" ht="12" customHeight="1">
      <c r="A56" s="352" t="s">
        <v>860</v>
      </c>
      <c r="B56" s="352" t="s">
        <v>861</v>
      </c>
      <c r="C56" s="339">
        <v>277.33999999999997</v>
      </c>
      <c r="D56" s="335">
        <v>3328.0800000000004</v>
      </c>
      <c r="F56" s="335">
        <f t="shared" si="5"/>
        <v>1.0000000000000002</v>
      </c>
      <c r="H56" s="336">
        <f t="shared" si="3"/>
        <v>1.1009659331564894</v>
      </c>
      <c r="I56" s="1032">
        <f t="shared" si="4"/>
        <v>13.211591197877876</v>
      </c>
    </row>
    <row r="57" spans="1:9" s="320" customFormat="1" ht="12" customHeight="1">
      <c r="A57" s="352" t="s">
        <v>862</v>
      </c>
      <c r="B57" s="352" t="s">
        <v>863</v>
      </c>
      <c r="C57" s="339">
        <v>554.66999999999996</v>
      </c>
      <c r="D57" s="335">
        <v>4992.03</v>
      </c>
      <c r="F57" s="335">
        <f t="shared" si="5"/>
        <v>0.75</v>
      </c>
      <c r="H57" s="336">
        <f t="shared" si="3"/>
        <v>2.2018921689763826</v>
      </c>
      <c r="I57" s="1032">
        <f t="shared" si="4"/>
        <v>19.817029520787443</v>
      </c>
    </row>
    <row r="58" spans="1:9" s="320" customFormat="1" ht="12" customHeight="1">
      <c r="A58" s="352" t="s">
        <v>866</v>
      </c>
      <c r="B58" s="352" t="s">
        <v>867</v>
      </c>
      <c r="C58" s="339">
        <v>46.33</v>
      </c>
      <c r="D58" s="335">
        <v>2149.5899999999997</v>
      </c>
      <c r="F58" s="335">
        <f t="shared" si="5"/>
        <v>3.8664472264191665</v>
      </c>
      <c r="H58" s="336">
        <f t="shared" si="3"/>
        <v>0.1839177604497734</v>
      </c>
      <c r="I58" s="1032">
        <f t="shared" si="4"/>
        <v>8.5332997773630126</v>
      </c>
    </row>
    <row r="59" spans="1:9" s="320" customFormat="1" ht="12" customHeight="1">
      <c r="A59" s="352" t="s">
        <v>872</v>
      </c>
      <c r="B59" s="352" t="s">
        <v>873</v>
      </c>
      <c r="C59" s="339">
        <v>13.9</v>
      </c>
      <c r="D59" s="335">
        <v>750.60000000000014</v>
      </c>
      <c r="F59" s="335">
        <f t="shared" si="5"/>
        <v>4.5000000000000009</v>
      </c>
      <c r="H59" s="336">
        <f t="shared" si="3"/>
        <v>5.5179297868591638E-2</v>
      </c>
      <c r="I59" s="1032">
        <f t="shared" si="4"/>
        <v>2.9796820849039491</v>
      </c>
    </row>
    <row r="60" spans="1:9" s="320" customFormat="1" ht="12" customHeight="1">
      <c r="A60" s="352" t="s">
        <v>876</v>
      </c>
      <c r="B60" s="352" t="s">
        <v>877</v>
      </c>
      <c r="C60" s="334">
        <v>47.63</v>
      </c>
      <c r="D60" s="335">
        <v>665.04</v>
      </c>
      <c r="F60" s="335">
        <f t="shared" si="5"/>
        <v>1.163552382951921</v>
      </c>
      <c r="H60" s="336">
        <f t="shared" si="3"/>
        <v>0.18907841420726759</v>
      </c>
      <c r="I60" s="1032">
        <f t="shared" si="4"/>
        <v>2.6400316729876385</v>
      </c>
    </row>
    <row r="61" spans="1:9" s="320" customFormat="1" ht="12" customHeight="1">
      <c r="A61" s="352" t="s">
        <v>878</v>
      </c>
      <c r="B61" s="352" t="s">
        <v>780</v>
      </c>
      <c r="C61" s="339">
        <v>13.9</v>
      </c>
      <c r="D61" s="335">
        <v>166.80000000000004</v>
      </c>
      <c r="F61" s="335">
        <f t="shared" si="5"/>
        <v>1.0000000000000002</v>
      </c>
      <c r="H61" s="336">
        <f t="shared" si="3"/>
        <v>5.5179297868591638E-2</v>
      </c>
      <c r="I61" s="1032">
        <f t="shared" si="4"/>
        <v>0.6621515744230998</v>
      </c>
    </row>
    <row r="62" spans="1:9" s="320" customFormat="1" ht="12" customHeight="1">
      <c r="A62" s="321" t="s">
        <v>881</v>
      </c>
      <c r="B62" s="321" t="s">
        <v>882</v>
      </c>
      <c r="C62" s="339">
        <v>23.45</v>
      </c>
      <c r="D62" s="335">
        <v>70.349999999999994</v>
      </c>
      <c r="F62" s="335">
        <f t="shared" si="5"/>
        <v>0.25</v>
      </c>
      <c r="H62" s="336">
        <f t="shared" si="3"/>
        <v>9.3090254317875806E-2</v>
      </c>
      <c r="I62" s="1032">
        <f t="shared" si="4"/>
        <v>0.2792707629536274</v>
      </c>
    </row>
    <row r="63" spans="1:9" s="320" customFormat="1" ht="12" customHeight="1">
      <c r="A63" s="352" t="s">
        <v>885</v>
      </c>
      <c r="B63" s="352" t="s">
        <v>886</v>
      </c>
      <c r="C63" s="339">
        <v>3.2</v>
      </c>
      <c r="D63" s="335">
        <v>507.28</v>
      </c>
      <c r="F63" s="335">
        <f t="shared" si="5"/>
        <v>13.210416666666665</v>
      </c>
      <c r="H63" s="336">
        <f t="shared" si="3"/>
        <v>1.2703147710754909E-2</v>
      </c>
      <c r="I63" s="1032">
        <f t="shared" si="4"/>
        <v>2.0137664908474218</v>
      </c>
    </row>
    <row r="64" spans="1:9" s="320" customFormat="1" ht="12" customHeight="1">
      <c r="A64" s="352" t="s">
        <v>888</v>
      </c>
      <c r="B64" s="352" t="s">
        <v>889</v>
      </c>
      <c r="C64" s="339">
        <v>16.45</v>
      </c>
      <c r="D64" s="335">
        <v>16.45</v>
      </c>
      <c r="F64" s="335">
        <f t="shared" si="5"/>
        <v>8.3333333333333329E-2</v>
      </c>
      <c r="H64" s="336">
        <f t="shared" si="3"/>
        <v>6.5302118700599446E-2</v>
      </c>
      <c r="I64" s="1032">
        <f t="shared" si="4"/>
        <v>6.5302118700599446E-2</v>
      </c>
    </row>
    <row r="65" spans="1:9" s="320" customFormat="1" ht="12" customHeight="1">
      <c r="A65" s="352" t="s">
        <v>890</v>
      </c>
      <c r="B65" s="352" t="s">
        <v>891</v>
      </c>
      <c r="C65" s="339">
        <v>24.35</v>
      </c>
      <c r="D65" s="335">
        <v>292.20000000000005</v>
      </c>
      <c r="F65" s="335">
        <f t="shared" si="5"/>
        <v>1.0000000000000002</v>
      </c>
      <c r="H65" s="336">
        <f t="shared" si="3"/>
        <v>9.6663014611525641E-2</v>
      </c>
      <c r="I65" s="1032">
        <f t="shared" si="4"/>
        <v>1.1599561753383081</v>
      </c>
    </row>
    <row r="66" spans="1:9" s="320" customFormat="1" ht="12" customHeight="1">
      <c r="A66" s="352" t="s">
        <v>892</v>
      </c>
      <c r="B66" s="352" t="s">
        <v>893</v>
      </c>
      <c r="C66" s="339">
        <v>32.15</v>
      </c>
      <c r="D66" s="335">
        <v>64.3</v>
      </c>
      <c r="F66" s="335">
        <f t="shared" si="5"/>
        <v>0.16666666666666666</v>
      </c>
      <c r="H66" s="336">
        <f t="shared" si="3"/>
        <v>0.12762693715649071</v>
      </c>
      <c r="I66" s="1032">
        <f t="shared" si="4"/>
        <v>0.25525387431298141</v>
      </c>
    </row>
    <row r="67" spans="1:9" s="320" customFormat="1" ht="12" customHeight="1">
      <c r="A67" s="352" t="s">
        <v>898</v>
      </c>
      <c r="B67" s="352" t="s">
        <v>899</v>
      </c>
      <c r="C67" s="339">
        <v>32.15</v>
      </c>
      <c r="D67" s="335">
        <v>-63.75</v>
      </c>
      <c r="F67" s="335">
        <f t="shared" si="5"/>
        <v>-0.16524105754276827</v>
      </c>
      <c r="H67" s="336">
        <f t="shared" si="3"/>
        <v>0.12762693715649071</v>
      </c>
      <c r="I67" s="1032">
        <f t="shared" si="4"/>
        <v>-0.25307052080019543</v>
      </c>
    </row>
    <row r="68" spans="1:9" s="320" customFormat="1" ht="12" customHeight="1">
      <c r="A68" s="352" t="s">
        <v>900</v>
      </c>
      <c r="B68" s="352" t="s">
        <v>901</v>
      </c>
      <c r="C68" s="339">
        <v>12.55</v>
      </c>
      <c r="D68" s="335">
        <v>25.1</v>
      </c>
      <c r="F68" s="335">
        <f t="shared" si="5"/>
        <v>0.16666666666666666</v>
      </c>
      <c r="H68" s="336">
        <f t="shared" si="3"/>
        <v>4.9820157428116907E-2</v>
      </c>
      <c r="I68" s="1032">
        <f t="shared" si="4"/>
        <v>9.9640314856233814E-2</v>
      </c>
    </row>
    <row r="69" spans="1:9" s="320" customFormat="1" ht="12" customHeight="1">
      <c r="A69" s="352" t="s">
        <v>906</v>
      </c>
      <c r="B69" s="352" t="s">
        <v>907</v>
      </c>
      <c r="C69" s="339">
        <v>16.649999999999999</v>
      </c>
      <c r="D69" s="335">
        <v>2410.09</v>
      </c>
      <c r="F69" s="335">
        <f t="shared" si="5"/>
        <v>12.062512512512514</v>
      </c>
      <c r="H69" s="336">
        <f t="shared" si="3"/>
        <v>6.6096065432521625E-2</v>
      </c>
      <c r="I69" s="1032">
        <f t="shared" si="4"/>
        <v>9.5674153956916541</v>
      </c>
    </row>
    <row r="70" spans="1:9" s="320" customFormat="1" ht="12" customHeight="1">
      <c r="A70" s="352" t="s">
        <v>902</v>
      </c>
      <c r="B70" s="352" t="s">
        <v>903</v>
      </c>
      <c r="C70" s="339">
        <v>13.65</v>
      </c>
      <c r="D70" s="335">
        <v>887.24999999999989</v>
      </c>
      <c r="F70" s="335">
        <f t="shared" si="5"/>
        <v>5.4166666666666652</v>
      </c>
      <c r="H70" s="336">
        <f t="shared" si="3"/>
        <v>5.4186864453688907E-2</v>
      </c>
      <c r="I70" s="1032">
        <f t="shared" si="4"/>
        <v>3.5221461894897779</v>
      </c>
    </row>
    <row r="71" spans="1:9" s="320" customFormat="1" ht="12" customHeight="1">
      <c r="A71" s="352" t="s">
        <v>910</v>
      </c>
      <c r="B71" s="352" t="s">
        <v>911</v>
      </c>
      <c r="C71" s="339">
        <v>19.7</v>
      </c>
      <c r="D71" s="335">
        <v>3575.5499999999993</v>
      </c>
      <c r="F71" s="335">
        <f t="shared" si="5"/>
        <v>15.124999999999998</v>
      </c>
      <c r="H71" s="336">
        <f t="shared" si="3"/>
        <v>7.8203753094334902E-2</v>
      </c>
      <c r="I71" s="1032">
        <f t="shared" si="4"/>
        <v>14.193981186621784</v>
      </c>
    </row>
    <row r="72" spans="1:9" s="320" customFormat="1" ht="12" customHeight="1">
      <c r="A72" s="352" t="s">
        <v>920</v>
      </c>
      <c r="B72" s="352" t="s">
        <v>921</v>
      </c>
      <c r="C72" s="339">
        <v>14.25</v>
      </c>
      <c r="D72" s="335">
        <v>14.25</v>
      </c>
      <c r="F72" s="335">
        <f t="shared" si="5"/>
        <v>8.3333333333333329E-2</v>
      </c>
      <c r="H72" s="336">
        <f t="shared" si="3"/>
        <v>5.6568704649455452E-2</v>
      </c>
      <c r="I72" s="1032">
        <f t="shared" si="4"/>
        <v>5.6568704649455445E-2</v>
      </c>
    </row>
    <row r="73" spans="1:9" s="320" customFormat="1" ht="12" customHeight="1">
      <c r="A73" s="352" t="s">
        <v>926</v>
      </c>
      <c r="B73" s="352" t="s">
        <v>927</v>
      </c>
      <c r="C73" s="339">
        <v>12</v>
      </c>
      <c r="D73" s="335">
        <v>108</v>
      </c>
      <c r="F73" s="335">
        <f t="shared" si="5"/>
        <v>0.75</v>
      </c>
      <c r="H73" s="336">
        <f t="shared" si="3"/>
        <v>4.7636803915330907E-2</v>
      </c>
      <c r="I73" s="1032">
        <f t="shared" si="4"/>
        <v>0.42873123523797818</v>
      </c>
    </row>
    <row r="74" spans="1:9" s="320" customFormat="1" ht="12" customHeight="1">
      <c r="A74" s="352" t="s">
        <v>929</v>
      </c>
      <c r="B74" s="352" t="s">
        <v>930</v>
      </c>
      <c r="C74" s="339">
        <v>2.5</v>
      </c>
      <c r="D74" s="335">
        <v>15</v>
      </c>
      <c r="F74" s="335">
        <f t="shared" si="5"/>
        <v>0.5</v>
      </c>
      <c r="H74" s="336">
        <f t="shared" si="3"/>
        <v>9.9243341490272731E-3</v>
      </c>
      <c r="I74" s="1032">
        <f t="shared" si="4"/>
        <v>5.9546004894163639E-2</v>
      </c>
    </row>
    <row r="75" spans="1:9" s="320" customFormat="1" ht="12" customHeight="1">
      <c r="A75" s="352" t="s">
        <v>935</v>
      </c>
      <c r="B75" s="352" t="s">
        <v>936</v>
      </c>
      <c r="C75" s="339">
        <v>3.46</v>
      </c>
      <c r="D75" s="335">
        <v>147.04</v>
      </c>
      <c r="F75" s="335">
        <f t="shared" si="5"/>
        <v>3.5414258188824661</v>
      </c>
      <c r="H75" s="336">
        <f t="shared" si="3"/>
        <v>1.3735278462253744E-2</v>
      </c>
      <c r="I75" s="1032">
        <f t="shared" si="4"/>
        <v>0.58370963730918801</v>
      </c>
    </row>
    <row r="76" spans="1:9" s="320" customFormat="1" ht="12" customHeight="1">
      <c r="A76" s="352" t="s">
        <v>940</v>
      </c>
      <c r="B76" s="352" t="s">
        <v>941</v>
      </c>
      <c r="C76" s="339">
        <v>13.86</v>
      </c>
      <c r="D76" s="335">
        <v>831.5999999999998</v>
      </c>
      <c r="F76" s="335">
        <f t="shared" si="5"/>
        <v>4.9999999999999991</v>
      </c>
      <c r="H76" s="336">
        <f t="shared" si="3"/>
        <v>5.5020508522207197E-2</v>
      </c>
      <c r="I76" s="1032">
        <f t="shared" si="4"/>
        <v>3.3012305113324314</v>
      </c>
    </row>
    <row r="77" spans="1:9" s="320" customFormat="1" ht="12" customHeight="1">
      <c r="A77" s="352" t="s">
        <v>942</v>
      </c>
      <c r="B77" s="352" t="s">
        <v>943</v>
      </c>
      <c r="C77" s="339">
        <v>41.58</v>
      </c>
      <c r="D77" s="335">
        <v>748.43999999999983</v>
      </c>
      <c r="F77" s="335">
        <f t="shared" si="5"/>
        <v>1.4999999999999998</v>
      </c>
      <c r="H77" s="336">
        <f t="shared" si="3"/>
        <v>0.1650615255666216</v>
      </c>
      <c r="I77" s="1032">
        <f t="shared" si="4"/>
        <v>2.971107460199188</v>
      </c>
    </row>
    <row r="78" spans="1:9" s="320" customFormat="1" ht="12" customHeight="1">
      <c r="A78" s="352" t="s">
        <v>946</v>
      </c>
      <c r="B78" s="352" t="s">
        <v>947</v>
      </c>
      <c r="C78" s="339">
        <v>6.94</v>
      </c>
      <c r="D78" s="335">
        <v>83.279999999999987</v>
      </c>
      <c r="F78" s="335">
        <f t="shared" si="5"/>
        <v>0.99999999999999989</v>
      </c>
      <c r="H78" s="336">
        <f t="shared" si="3"/>
        <v>2.7549951597699709E-2</v>
      </c>
      <c r="I78" s="1032">
        <f t="shared" si="4"/>
        <v>0.33059941917239644</v>
      </c>
    </row>
    <row r="79" spans="1:9" s="320" customFormat="1" ht="12" customHeight="1">
      <c r="A79" s="352" t="s">
        <v>948</v>
      </c>
      <c r="B79" s="352" t="s">
        <v>949</v>
      </c>
      <c r="C79" s="339"/>
      <c r="D79" s="335">
        <f>VLOOKUP(A79,'[27]G-51 Rev'!$A$7:$O$77,15,FALSE)</f>
        <v>92.77</v>
      </c>
      <c r="F79" s="335"/>
      <c r="H79" s="336">
        <f t="shared" si="3"/>
        <v>0</v>
      </c>
      <c r="I79" s="1032">
        <f t="shared" si="4"/>
        <v>0</v>
      </c>
    </row>
    <row r="80" spans="1:9" s="320" customFormat="1" ht="12" customHeight="1">
      <c r="A80" s="342"/>
      <c r="B80" s="342"/>
      <c r="C80" s="342"/>
      <c r="D80" s="335"/>
    </row>
    <row r="81" spans="1:9" s="356" customFormat="1" ht="12" customHeight="1" thickBot="1">
      <c r="A81" s="354"/>
      <c r="B81" s="344" t="s">
        <v>950</v>
      </c>
      <c r="C81" s="344"/>
      <c r="D81" s="346">
        <f>SUM(D48:D80)</f>
        <v>47705.509999999987</v>
      </c>
      <c r="F81" s="357">
        <f>SUM(F48:F62)</f>
        <v>37.741940748725696</v>
      </c>
      <c r="I81" s="357">
        <f>SUM(I48:I80)</f>
        <v>189.0098966043027</v>
      </c>
    </row>
    <row r="82" spans="1:9" s="320" customFormat="1" ht="12" customHeight="1">
      <c r="A82" s="358"/>
      <c r="B82" s="358"/>
      <c r="C82" s="358"/>
      <c r="D82" s="359"/>
    </row>
    <row r="83" spans="1:9" ht="12" customHeight="1">
      <c r="A83" s="332" t="s">
        <v>951</v>
      </c>
      <c r="B83" s="332" t="s">
        <v>951</v>
      </c>
      <c r="C83" s="332"/>
    </row>
    <row r="84" spans="1:9" ht="12" customHeight="1">
      <c r="A84" s="348"/>
      <c r="B84" s="348"/>
      <c r="C84" s="348"/>
    </row>
    <row r="85" spans="1:9" ht="12" customHeight="1">
      <c r="A85" s="360" t="s">
        <v>952</v>
      </c>
      <c r="B85" s="360" t="s">
        <v>952</v>
      </c>
      <c r="C85" s="339"/>
    </row>
    <row r="86" spans="1:9" ht="12" customHeight="1">
      <c r="A86" s="352" t="s">
        <v>953</v>
      </c>
      <c r="B86" s="352" t="s">
        <v>954</v>
      </c>
      <c r="C86" s="339">
        <v>95.4</v>
      </c>
      <c r="D86" s="335">
        <v>2525.62</v>
      </c>
      <c r="F86" s="335">
        <f>IFERROR(D86/($C86),0)/12</f>
        <v>2.2061670160726763</v>
      </c>
      <c r="H86" s="336">
        <f t="shared" ref="H86:H94" si="6">C86*$H$5</f>
        <v>0.37871259112688072</v>
      </c>
      <c r="I86" s="1032">
        <f t="shared" ref="I86:I94" si="7">F86*H86*12</f>
        <v>10.026038725386503</v>
      </c>
    </row>
    <row r="87" spans="1:9" ht="12" customHeight="1">
      <c r="A87" s="352" t="s">
        <v>955</v>
      </c>
      <c r="B87" s="352" t="s">
        <v>956</v>
      </c>
      <c r="C87" s="339">
        <v>95.4</v>
      </c>
      <c r="D87" s="335">
        <v>667.80000000000007</v>
      </c>
      <c r="F87" s="335">
        <f t="shared" ref="F87:F94" si="8">IFERROR(D87/($C87),0)/12</f>
        <v>0.58333333333333337</v>
      </c>
      <c r="H87" s="336">
        <f t="shared" si="6"/>
        <v>0.37871259112688072</v>
      </c>
      <c r="I87" s="1032">
        <f t="shared" si="7"/>
        <v>2.6509881378881652</v>
      </c>
    </row>
    <row r="88" spans="1:9" ht="12" customHeight="1">
      <c r="A88" s="352" t="s">
        <v>957</v>
      </c>
      <c r="B88" s="352" t="s">
        <v>958</v>
      </c>
      <c r="C88" s="339">
        <v>137.80000000000001</v>
      </c>
      <c r="D88" s="335">
        <v>3720.6000000000004</v>
      </c>
      <c r="F88" s="335">
        <f t="shared" si="8"/>
        <v>2.25</v>
      </c>
      <c r="H88" s="336">
        <f t="shared" si="6"/>
        <v>0.54702929829438329</v>
      </c>
      <c r="I88" s="1032">
        <f t="shared" si="7"/>
        <v>14.769791053948349</v>
      </c>
    </row>
    <row r="89" spans="1:9" ht="12" customHeight="1">
      <c r="A89" s="352" t="s">
        <v>963</v>
      </c>
      <c r="B89" s="352" t="s">
        <v>964</v>
      </c>
      <c r="C89" s="339">
        <v>42.5</v>
      </c>
      <c r="D89" s="335">
        <v>212.7</v>
      </c>
      <c r="F89" s="335">
        <f t="shared" si="8"/>
        <v>0.41705882352941176</v>
      </c>
      <c r="H89" s="336">
        <f t="shared" si="6"/>
        <v>0.16871368053346364</v>
      </c>
      <c r="I89" s="1032">
        <f t="shared" si="7"/>
        <v>0.84436234939924026</v>
      </c>
    </row>
    <row r="90" spans="1:9" ht="12" customHeight="1">
      <c r="A90" s="352" t="s">
        <v>965</v>
      </c>
      <c r="B90" s="352" t="s">
        <v>966</v>
      </c>
      <c r="C90" s="339">
        <v>42.5</v>
      </c>
      <c r="D90" s="335">
        <v>425</v>
      </c>
      <c r="F90" s="335">
        <f t="shared" si="8"/>
        <v>0.83333333333333337</v>
      </c>
      <c r="H90" s="336">
        <f t="shared" si="6"/>
        <v>0.16871368053346364</v>
      </c>
      <c r="I90" s="1032">
        <f t="shared" si="7"/>
        <v>1.6871368053346365</v>
      </c>
    </row>
    <row r="91" spans="1:9" ht="12" customHeight="1">
      <c r="A91" s="352" t="s">
        <v>967</v>
      </c>
      <c r="B91" s="352" t="s">
        <v>968</v>
      </c>
      <c r="C91" s="339">
        <v>3.7</v>
      </c>
      <c r="D91" s="335">
        <v>2090.5</v>
      </c>
      <c r="F91" s="335">
        <f t="shared" si="8"/>
        <v>47.083333333333336</v>
      </c>
      <c r="H91" s="336">
        <f t="shared" si="6"/>
        <v>1.4688014540560363E-2</v>
      </c>
      <c r="I91" s="1032">
        <f t="shared" si="7"/>
        <v>8.298728215416606</v>
      </c>
    </row>
    <row r="92" spans="1:9" ht="12" customHeight="1">
      <c r="A92" s="352" t="s">
        <v>969</v>
      </c>
      <c r="B92" s="352" t="s">
        <v>970</v>
      </c>
      <c r="C92" s="339">
        <v>106</v>
      </c>
      <c r="D92" s="335">
        <v>336.2</v>
      </c>
      <c r="F92" s="335">
        <f t="shared" si="8"/>
        <v>0.2643081761006289</v>
      </c>
      <c r="H92" s="336">
        <f t="shared" si="6"/>
        <v>0.42079176791875633</v>
      </c>
      <c r="I92" s="1032">
        <f t="shared" si="7"/>
        <v>1.3346244563611873</v>
      </c>
    </row>
    <row r="93" spans="1:9" ht="12" customHeight="1">
      <c r="A93" s="352" t="s">
        <v>971</v>
      </c>
      <c r="B93" s="352" t="s">
        <v>972</v>
      </c>
      <c r="C93" s="339">
        <v>6.9</v>
      </c>
      <c r="D93" s="335">
        <v>4319.4000000000005</v>
      </c>
      <c r="F93" s="335">
        <f t="shared" si="8"/>
        <v>52.166666666666664</v>
      </c>
      <c r="H93" s="336">
        <f t="shared" si="6"/>
        <v>2.7391162251315274E-2</v>
      </c>
      <c r="I93" s="1032">
        <f t="shared" si="7"/>
        <v>17.146867569323362</v>
      </c>
    </row>
    <row r="94" spans="1:9" ht="12" customHeight="1">
      <c r="A94" s="352" t="s">
        <v>973</v>
      </c>
      <c r="B94" s="352" t="s">
        <v>972</v>
      </c>
      <c r="C94" s="339">
        <v>106</v>
      </c>
      <c r="D94" s="335">
        <v>589.6</v>
      </c>
      <c r="F94" s="335">
        <f t="shared" si="8"/>
        <v>0.46352201257861636</v>
      </c>
      <c r="H94" s="336">
        <f t="shared" si="6"/>
        <v>0.42079176791875633</v>
      </c>
      <c r="I94" s="1032">
        <f t="shared" si="7"/>
        <v>2.340554965706592</v>
      </c>
    </row>
    <row r="95" spans="1:9" ht="12" customHeight="1">
      <c r="A95" s="361"/>
      <c r="B95" s="361"/>
      <c r="C95" s="337"/>
      <c r="D95" s="335"/>
      <c r="F95" s="335"/>
    </row>
    <row r="96" spans="1:9" s="363" customFormat="1" ht="12" customHeight="1" thickBot="1">
      <c r="D96" s="346">
        <f>SUM(D86:D94)</f>
        <v>14887.420000000004</v>
      </c>
      <c r="F96" s="364"/>
      <c r="I96" s="1042">
        <f>SUM(I86:I95)</f>
        <v>59.099092278764644</v>
      </c>
    </row>
    <row r="97" spans="1:9" ht="12" customHeight="1">
      <c r="A97" s="350"/>
      <c r="B97" s="350"/>
      <c r="C97" s="350"/>
      <c r="D97" s="365"/>
    </row>
    <row r="98" spans="1:9" ht="12" customHeight="1">
      <c r="A98" s="360" t="s">
        <v>978</v>
      </c>
      <c r="B98" s="360" t="s">
        <v>978</v>
      </c>
      <c r="C98" s="360"/>
    </row>
    <row r="99" spans="1:9" ht="12" customHeight="1">
      <c r="A99" s="352" t="s">
        <v>979</v>
      </c>
      <c r="B99" s="352" t="s">
        <v>980</v>
      </c>
      <c r="C99" s="339"/>
      <c r="D99" s="335">
        <v>7126.7</v>
      </c>
    </row>
    <row r="100" spans="1:9" ht="12" customHeight="1">
      <c r="A100" s="337"/>
      <c r="B100" s="337"/>
    </row>
    <row r="101" spans="1:9" s="363" customFormat="1" ht="12" customHeight="1" thickBot="1">
      <c r="A101" s="356"/>
      <c r="B101" s="344" t="s">
        <v>981</v>
      </c>
      <c r="C101" s="344"/>
      <c r="D101" s="346">
        <f t="shared" ref="D101" si="9">SUM(D99:D99)</f>
        <v>7126.7</v>
      </c>
    </row>
    <row r="102" spans="1:9" ht="12" customHeight="1">
      <c r="A102" s="350"/>
      <c r="B102" s="351"/>
      <c r="C102" s="351"/>
      <c r="D102" s="367"/>
    </row>
    <row r="103" spans="1:9" s="320" customFormat="1" ht="12" customHeight="1">
      <c r="A103" s="368" t="s">
        <v>562</v>
      </c>
      <c r="B103" s="368" t="s">
        <v>562</v>
      </c>
      <c r="C103" s="348"/>
      <c r="D103" s="349"/>
      <c r="F103" s="335"/>
    </row>
    <row r="104" spans="1:9" s="320" customFormat="1" ht="12" customHeight="1">
      <c r="A104" s="337" t="s">
        <v>982</v>
      </c>
      <c r="B104" s="337" t="s">
        <v>983</v>
      </c>
      <c r="C104" s="339">
        <v>1</v>
      </c>
      <c r="D104" s="335">
        <v>416.75</v>
      </c>
      <c r="F104" s="335"/>
    </row>
    <row r="105" spans="1:9" s="320" customFormat="1" ht="12" customHeight="1">
      <c r="A105" s="337" t="s">
        <v>984</v>
      </c>
      <c r="B105" s="337" t="s">
        <v>985</v>
      </c>
      <c r="C105" s="339"/>
      <c r="D105" s="335"/>
      <c r="F105" s="335"/>
    </row>
    <row r="106" spans="1:9" s="320" customFormat="1" ht="12" customHeight="1">
      <c r="A106" s="337" t="s">
        <v>986</v>
      </c>
      <c r="B106" s="337" t="s">
        <v>987</v>
      </c>
      <c r="C106" s="339"/>
      <c r="D106" s="335"/>
      <c r="F106" s="335"/>
    </row>
    <row r="107" spans="1:9" s="320" customFormat="1" ht="12" customHeight="1">
      <c r="A107" s="342"/>
      <c r="B107" s="342"/>
      <c r="C107" s="342"/>
      <c r="D107" s="349"/>
      <c r="F107" s="335"/>
    </row>
    <row r="108" spans="1:9" s="356" customFormat="1" ht="12" customHeight="1" thickBot="1">
      <c r="B108" s="344" t="s">
        <v>988</v>
      </c>
      <c r="C108" s="344"/>
      <c r="D108" s="346">
        <f t="shared" ref="D108" si="10">SUM(D104:D107)</f>
        <v>416.75</v>
      </c>
      <c r="F108" s="364"/>
    </row>
    <row r="109" spans="1:9" ht="12" customHeight="1">
      <c r="A109" s="350"/>
      <c r="B109" s="351"/>
      <c r="C109" s="351"/>
    </row>
    <row r="110" spans="1:9" s="363" customFormat="1" ht="12" customHeight="1" thickBot="1">
      <c r="A110" s="343"/>
      <c r="B110" s="344" t="s">
        <v>989</v>
      </c>
      <c r="C110" s="344"/>
      <c r="D110" s="346">
        <f>SUM(D41,D81,D96,D101,D108)</f>
        <v>104904.66999999998</v>
      </c>
      <c r="I110" s="1037">
        <f>I96+I81+I41</f>
        <v>380.36050696365839</v>
      </c>
    </row>
    <row r="111" spans="1:9">
      <c r="D111" s="365"/>
      <c r="H111" s="1036" t="s">
        <v>1604</v>
      </c>
      <c r="I111" s="1039">
        <f>'LG G-51'!E6</f>
        <v>388.15249867742563</v>
      </c>
    </row>
    <row r="112" spans="1:9">
      <c r="H112" s="1036" t="s">
        <v>1605</v>
      </c>
      <c r="I112" s="1039">
        <f>I110-I111</f>
        <v>-7.7919917137672314</v>
      </c>
    </row>
  </sheetData>
  <pageMargins left="0.7" right="0.7" top="0.75" bottom="0.75" header="0.3" footer="0.3"/>
  <pageSetup scale="84" fitToHeight="5"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M298"/>
  <sheetViews>
    <sheetView tabSelected="1" topLeftCell="A163" workbookViewId="0">
      <selection activeCell="K176" sqref="K176"/>
    </sheetView>
  </sheetViews>
  <sheetFormatPr defaultRowHeight="12.75"/>
  <cols>
    <col min="1" max="1" width="36.7109375" style="1010" customWidth="1"/>
    <col min="2" max="2" width="9" style="1010" customWidth="1"/>
    <col min="3" max="3" width="10.140625" style="1010" bestFit="1" customWidth="1"/>
    <col min="4" max="4" width="9.5703125" style="1010" bestFit="1" customWidth="1"/>
    <col min="5" max="5" width="10.85546875" style="1010" customWidth="1"/>
    <col min="6" max="6" width="1.85546875" style="1010" customWidth="1"/>
    <col min="7" max="7" width="11.140625" style="1010" bestFit="1" customWidth="1"/>
    <col min="8" max="8" width="11" style="1010" bestFit="1" customWidth="1"/>
    <col min="9" max="9" width="14.85546875" style="1010" customWidth="1"/>
    <col min="10" max="11" width="9.140625" style="1010"/>
    <col min="12" max="12" width="16.42578125" style="1010" customWidth="1"/>
    <col min="13" max="16384" width="9.140625" style="1010"/>
  </cols>
  <sheetData>
    <row r="1" spans="1:13">
      <c r="A1" s="1004" t="s">
        <v>502</v>
      </c>
      <c r="B1" s="1005"/>
      <c r="C1" s="1006"/>
      <c r="D1" s="1007"/>
      <c r="E1" s="1008"/>
      <c r="F1" s="1009"/>
      <c r="G1" s="1009"/>
    </row>
    <row r="2" spans="1:13">
      <c r="A2" s="1004" t="s">
        <v>503</v>
      </c>
      <c r="B2" s="1005"/>
      <c r="C2" s="1021" t="s">
        <v>1381</v>
      </c>
      <c r="D2" s="1022">
        <f>'LG G-48'!E39</f>
        <v>0.20581130465032496</v>
      </c>
      <c r="E2" s="1008"/>
      <c r="F2" s="1009"/>
      <c r="G2" s="1009"/>
    </row>
    <row r="3" spans="1:13">
      <c r="B3" s="1005"/>
      <c r="C3" s="1006"/>
      <c r="D3" s="1007"/>
      <c r="E3" s="1008"/>
      <c r="F3" s="1009"/>
      <c r="G3" s="1009"/>
    </row>
    <row r="4" spans="1:13">
      <c r="A4" s="1004"/>
      <c r="B4" s="1005"/>
      <c r="C4" s="1006"/>
      <c r="D4" s="1007"/>
      <c r="E4" s="1008"/>
      <c r="F4" s="1009"/>
      <c r="G4" s="1009"/>
    </row>
    <row r="5" spans="1:13" ht="63.75">
      <c r="A5" s="1027"/>
      <c r="B5" s="1028"/>
      <c r="C5" s="1029" t="s">
        <v>1599</v>
      </c>
      <c r="D5" s="1029" t="s">
        <v>1600</v>
      </c>
      <c r="E5" s="1029" t="s">
        <v>1601</v>
      </c>
      <c r="F5" s="1030"/>
      <c r="G5" s="1031" t="s">
        <v>1602</v>
      </c>
      <c r="I5" s="1025"/>
      <c r="J5" s="1025"/>
      <c r="K5" s="1025"/>
      <c r="L5" s="1009"/>
      <c r="M5" s="1026"/>
    </row>
    <row r="6" spans="1:13">
      <c r="A6" s="1013" t="s">
        <v>1358</v>
      </c>
      <c r="B6" s="1012"/>
      <c r="C6" s="1014"/>
      <c r="D6" s="1014"/>
      <c r="E6" s="1014"/>
    </row>
    <row r="7" spans="1:13">
      <c r="A7" s="1011" t="s">
        <v>434</v>
      </c>
      <c r="B7" s="1012"/>
      <c r="C7" s="1014">
        <v>25</v>
      </c>
      <c r="D7" s="1014">
        <f>C7*$D$2</f>
        <v>5.1452826162581244</v>
      </c>
      <c r="E7" s="1014">
        <f>SUM(C7:D7)</f>
        <v>30.145282616258125</v>
      </c>
    </row>
    <row r="8" spans="1:13">
      <c r="A8" s="1011"/>
      <c r="B8" s="1012"/>
      <c r="C8" s="1014"/>
      <c r="D8" s="1014"/>
      <c r="E8" s="1014"/>
    </row>
    <row r="9" spans="1:13">
      <c r="A9" s="1013" t="s">
        <v>1359</v>
      </c>
      <c r="B9" s="1012"/>
      <c r="C9" s="1014"/>
      <c r="D9" s="1014"/>
      <c r="E9" s="1014"/>
    </row>
    <row r="10" spans="1:13">
      <c r="A10" s="1011" t="s">
        <v>435</v>
      </c>
      <c r="B10" s="1012"/>
      <c r="C10" s="1014">
        <v>11.85</v>
      </c>
      <c r="D10" s="1014">
        <f t="shared" ref="D10:D12" si="0">C10*$D$2</f>
        <v>2.4388639601063509</v>
      </c>
      <c r="E10" s="1014">
        <f>SUM(C10:D10)</f>
        <v>14.288863960106351</v>
      </c>
    </row>
    <row r="11" spans="1:13">
      <c r="A11" s="1011" t="s">
        <v>504</v>
      </c>
      <c r="B11" s="1012"/>
      <c r="C11" s="1014">
        <v>3.15</v>
      </c>
      <c r="D11" s="1014">
        <f t="shared" si="0"/>
        <v>0.64830560964852357</v>
      </c>
      <c r="E11" s="1014">
        <f t="shared" ref="E11:E12" si="1">SUM(C11:D11)</f>
        <v>3.7983056096485237</v>
      </c>
    </row>
    <row r="12" spans="1:13">
      <c r="A12" s="1011" t="s">
        <v>1619</v>
      </c>
      <c r="B12" s="1012"/>
      <c r="C12" s="1014">
        <v>39.89</v>
      </c>
      <c r="D12" s="1014">
        <f t="shared" si="0"/>
        <v>8.209812942501463</v>
      </c>
      <c r="E12" s="1014">
        <f t="shared" si="1"/>
        <v>48.099812942501465</v>
      </c>
    </row>
    <row r="13" spans="1:13">
      <c r="A13" s="1011"/>
      <c r="B13" s="1012"/>
      <c r="C13" s="1014"/>
      <c r="D13" s="1014"/>
      <c r="E13" s="1014"/>
    </row>
    <row r="14" spans="1:13">
      <c r="A14" s="1013" t="s">
        <v>1360</v>
      </c>
      <c r="B14" s="1015"/>
      <c r="C14" s="1014"/>
      <c r="D14" s="1014"/>
      <c r="E14" s="1014"/>
    </row>
    <row r="15" spans="1:13">
      <c r="A15" s="1011" t="s">
        <v>436</v>
      </c>
      <c r="B15" s="1012" t="s">
        <v>481</v>
      </c>
      <c r="C15" s="1014">
        <v>3.67</v>
      </c>
      <c r="D15" s="1014">
        <f>C15*$D$2</f>
        <v>0.75532748806669259</v>
      </c>
      <c r="E15" s="1014">
        <f>SUM(C15:D15)</f>
        <v>4.4253274880666922</v>
      </c>
      <c r="G15" s="1023">
        <f>'G-48 DF Calc'!L25</f>
        <v>0.02</v>
      </c>
    </row>
    <row r="16" spans="1:13">
      <c r="A16" s="1011"/>
      <c r="B16" s="1012"/>
      <c r="C16" s="1014"/>
      <c r="D16" s="1014"/>
      <c r="E16" s="1014"/>
    </row>
    <row r="17" spans="1:5">
      <c r="A17" s="1013" t="s">
        <v>1361</v>
      </c>
      <c r="B17" s="1012"/>
      <c r="C17" s="1014"/>
      <c r="D17" s="1014"/>
      <c r="E17" s="1014"/>
    </row>
    <row r="18" spans="1:5">
      <c r="A18" s="1011" t="s">
        <v>437</v>
      </c>
      <c r="B18" s="1016"/>
      <c r="C18" s="1014">
        <v>16.5</v>
      </c>
      <c r="D18" s="1014">
        <f t="shared" ref="D18:D19" si="2">C18*$D$2</f>
        <v>3.395886526730362</v>
      </c>
      <c r="E18" s="1014">
        <f t="shared" ref="E18:E19" si="3">SUM(C18:D18)</f>
        <v>19.895886526730362</v>
      </c>
    </row>
    <row r="19" spans="1:5">
      <c r="A19" s="1011" t="s">
        <v>438</v>
      </c>
      <c r="B19" s="1016"/>
      <c r="C19" s="1014">
        <v>16.5</v>
      </c>
      <c r="D19" s="1014">
        <f t="shared" si="2"/>
        <v>3.395886526730362</v>
      </c>
      <c r="E19" s="1014">
        <f t="shared" si="3"/>
        <v>19.895886526730362</v>
      </c>
    </row>
    <row r="20" spans="1:5">
      <c r="A20" s="1011"/>
      <c r="B20" s="1012"/>
      <c r="C20" s="1014"/>
      <c r="D20" s="1014"/>
      <c r="E20" s="1014"/>
    </row>
    <row r="21" spans="1:5">
      <c r="A21" s="1013" t="s">
        <v>1362</v>
      </c>
      <c r="B21" s="1012"/>
      <c r="C21" s="1014"/>
      <c r="D21" s="1014"/>
      <c r="E21" s="1014"/>
    </row>
    <row r="22" spans="1:5">
      <c r="A22" s="1013" t="s">
        <v>439</v>
      </c>
      <c r="B22" s="1012"/>
      <c r="C22" s="1014"/>
      <c r="D22" s="1014"/>
      <c r="E22" s="1014"/>
    </row>
    <row r="23" spans="1:5">
      <c r="A23" s="1011" t="s">
        <v>440</v>
      </c>
      <c r="B23" s="1012"/>
      <c r="C23" s="1014">
        <v>3.15</v>
      </c>
      <c r="D23" s="1014">
        <f t="shared" ref="D23:D25" si="4">C23*$D$2</f>
        <v>0.64830560964852357</v>
      </c>
      <c r="E23" s="1014">
        <f t="shared" ref="E23:E25" si="5">SUM(C23:D23)</f>
        <v>3.7983056096485237</v>
      </c>
    </row>
    <row r="24" spans="1:5">
      <c r="A24" s="1011" t="s">
        <v>131</v>
      </c>
      <c r="B24" s="1012"/>
      <c r="C24" s="1014">
        <v>44</v>
      </c>
      <c r="D24" s="1014">
        <f t="shared" si="4"/>
        <v>9.055697404614298</v>
      </c>
      <c r="E24" s="1014">
        <f t="shared" si="5"/>
        <v>53.0556974046143</v>
      </c>
    </row>
    <row r="25" spans="1:5">
      <c r="A25" s="1011" t="s">
        <v>441</v>
      </c>
      <c r="B25" s="1012"/>
      <c r="C25" s="1014">
        <v>4.75</v>
      </c>
      <c r="D25" s="1014">
        <f t="shared" si="4"/>
        <v>0.9776036970890436</v>
      </c>
      <c r="E25" s="1014">
        <f t="shared" si="5"/>
        <v>5.7276036970890436</v>
      </c>
    </row>
    <row r="26" spans="1:5">
      <c r="A26" s="1011" t="s">
        <v>1626</v>
      </c>
      <c r="B26" s="1012"/>
      <c r="C26" s="1014"/>
      <c r="D26" s="1014"/>
      <c r="E26" s="1014">
        <f>E25</f>
        <v>5.7276036970890436</v>
      </c>
    </row>
    <row r="27" spans="1:5">
      <c r="A27" s="1011" t="s">
        <v>1627</v>
      </c>
      <c r="B27" s="1012"/>
      <c r="C27" s="1014"/>
      <c r="D27" s="1014"/>
      <c r="E27" s="1014">
        <f>E25</f>
        <v>5.7276036970890436</v>
      </c>
    </row>
    <row r="28" spans="1:5">
      <c r="A28" s="1011"/>
      <c r="B28" s="1012"/>
      <c r="C28" s="1014"/>
      <c r="D28" s="1014"/>
      <c r="E28" s="1014"/>
    </row>
    <row r="29" spans="1:5">
      <c r="A29" s="1013" t="s">
        <v>1363</v>
      </c>
      <c r="B29" s="1012"/>
      <c r="C29" s="1014"/>
      <c r="D29" s="1014"/>
      <c r="E29" s="1014"/>
    </row>
    <row r="30" spans="1:5">
      <c r="A30" s="1013" t="s">
        <v>442</v>
      </c>
      <c r="B30" s="1012"/>
      <c r="C30" s="1014"/>
      <c r="D30" s="1014"/>
      <c r="E30" s="1014"/>
    </row>
    <row r="31" spans="1:5">
      <c r="A31" s="1011" t="s">
        <v>443</v>
      </c>
      <c r="B31" s="1012" t="s">
        <v>444</v>
      </c>
      <c r="C31" s="1014">
        <v>2.2999999999999998</v>
      </c>
      <c r="D31" s="1014">
        <f t="shared" ref="D31:D32" si="6">C31*$D$2</f>
        <v>0.47336600069574736</v>
      </c>
      <c r="E31" s="1014">
        <f t="shared" ref="E31:E32" si="7">SUM(C31:D31)</f>
        <v>2.7733660006957472</v>
      </c>
    </row>
    <row r="32" spans="1:5">
      <c r="A32" s="1011" t="s">
        <v>445</v>
      </c>
      <c r="B32" s="1012" t="s">
        <v>444</v>
      </c>
      <c r="C32" s="1014">
        <v>2.2999999999999998</v>
      </c>
      <c r="D32" s="1014">
        <f t="shared" si="6"/>
        <v>0.47336600069574736</v>
      </c>
      <c r="E32" s="1014">
        <f t="shared" si="7"/>
        <v>2.7733660006957472</v>
      </c>
    </row>
    <row r="33" spans="1:5">
      <c r="A33" s="1011"/>
      <c r="B33" s="1012"/>
      <c r="C33" s="1014"/>
      <c r="D33" s="1014"/>
      <c r="E33" s="1014"/>
    </row>
    <row r="34" spans="1:5">
      <c r="A34" s="1011" t="s">
        <v>443</v>
      </c>
      <c r="B34" s="1016" t="s">
        <v>446</v>
      </c>
      <c r="C34" s="1017">
        <v>0.8</v>
      </c>
      <c r="D34" s="1014">
        <f t="shared" ref="D34:D35" si="8">C34*$D$2</f>
        <v>0.16464904372025999</v>
      </c>
      <c r="E34" s="1014">
        <f t="shared" ref="E34:E35" si="9">SUM(C34:D34)</f>
        <v>0.96464904372026006</v>
      </c>
    </row>
    <row r="35" spans="1:5">
      <c r="A35" s="1011" t="s">
        <v>445</v>
      </c>
      <c r="B35" s="1016" t="s">
        <v>446</v>
      </c>
      <c r="C35" s="1017">
        <v>0.8</v>
      </c>
      <c r="D35" s="1014">
        <f t="shared" si="8"/>
        <v>0.16464904372025999</v>
      </c>
      <c r="E35" s="1014">
        <f t="shared" si="9"/>
        <v>0.96464904372026006</v>
      </c>
    </row>
    <row r="36" spans="1:5">
      <c r="A36" s="1011"/>
      <c r="B36" s="1012"/>
      <c r="C36" s="1014"/>
      <c r="D36" s="1014"/>
      <c r="E36" s="1014"/>
    </row>
    <row r="37" spans="1:5">
      <c r="A37" s="1013" t="s">
        <v>447</v>
      </c>
      <c r="B37" s="1012"/>
      <c r="C37" s="1014"/>
      <c r="D37" s="1014"/>
      <c r="E37" s="1014"/>
    </row>
    <row r="38" spans="1:5">
      <c r="A38" s="1011" t="s">
        <v>505</v>
      </c>
      <c r="B38" s="1012" t="s">
        <v>227</v>
      </c>
      <c r="C38" s="1014">
        <v>4.5999999999999996</v>
      </c>
      <c r="D38" s="1014">
        <f t="shared" ref="D38:D39" si="10">C38*$D$2</f>
        <v>0.94673200139149472</v>
      </c>
      <c r="E38" s="1014">
        <f t="shared" ref="E38:E39" si="11">SUM(C38:D38)</f>
        <v>5.5467320013914945</v>
      </c>
    </row>
    <row r="39" spans="1:5">
      <c r="A39" s="1011" t="s">
        <v>506</v>
      </c>
      <c r="B39" s="1012" t="s">
        <v>227</v>
      </c>
      <c r="C39" s="1018">
        <v>4.0000000000000001E-3</v>
      </c>
      <c r="D39" s="1014">
        <f t="shared" si="10"/>
        <v>8.2324521860129983E-4</v>
      </c>
      <c r="E39" s="1018">
        <f t="shared" si="11"/>
        <v>4.8232452186012997E-3</v>
      </c>
    </row>
    <row r="40" spans="1:5">
      <c r="A40" s="1011"/>
      <c r="B40" s="1012"/>
      <c r="C40" s="1014"/>
      <c r="D40" s="1014"/>
      <c r="E40" s="1014"/>
    </row>
    <row r="41" spans="1:5">
      <c r="A41" s="1011" t="s">
        <v>505</v>
      </c>
      <c r="B41" s="1012" t="s">
        <v>446</v>
      </c>
      <c r="C41" s="1017">
        <v>1.7</v>
      </c>
      <c r="D41" s="1014">
        <f t="shared" ref="D41:D42" si="12">C41*$D$2</f>
        <v>0.34987921790555243</v>
      </c>
      <c r="E41" s="1014">
        <f t="shared" ref="E41:E42" si="13">SUM(C41:D41)</f>
        <v>2.0498792179055525</v>
      </c>
    </row>
    <row r="42" spans="1:5">
      <c r="A42" s="1011" t="s">
        <v>506</v>
      </c>
      <c r="B42" s="1012" t="s">
        <v>446</v>
      </c>
      <c r="C42" s="1019">
        <v>6.9999999999999999E-4</v>
      </c>
      <c r="D42" s="1014">
        <f t="shared" si="12"/>
        <v>1.4406791325522747E-4</v>
      </c>
      <c r="E42" s="1018">
        <f t="shared" si="13"/>
        <v>8.4406791325522751E-4</v>
      </c>
    </row>
    <row r="43" spans="1:5">
      <c r="A43" s="1011"/>
      <c r="B43" s="1012"/>
      <c r="C43" s="1014"/>
      <c r="D43" s="1014"/>
      <c r="E43" s="1014"/>
    </row>
    <row r="44" spans="1:5">
      <c r="A44" s="1013" t="s">
        <v>1364</v>
      </c>
      <c r="B44" s="1012"/>
      <c r="C44" s="1014"/>
      <c r="D44" s="1014"/>
      <c r="E44" s="1014"/>
    </row>
    <row r="45" spans="1:5">
      <c r="A45" s="1011" t="s">
        <v>448</v>
      </c>
      <c r="B45" s="1012" t="s">
        <v>449</v>
      </c>
      <c r="C45" s="1014">
        <v>0.4</v>
      </c>
      <c r="D45" s="1014">
        <f t="shared" ref="D45:D47" si="14">C45*$D$2</f>
        <v>8.2324521860129993E-2</v>
      </c>
      <c r="E45" s="1014">
        <f t="shared" ref="E45:E47" si="15">SUM(C45:D45)</f>
        <v>0.48232452186013003</v>
      </c>
    </row>
    <row r="46" spans="1:5">
      <c r="A46" s="1011" t="s">
        <v>450</v>
      </c>
      <c r="B46" s="1012" t="s">
        <v>449</v>
      </c>
      <c r="C46" s="1014">
        <v>2.2999999999999998</v>
      </c>
      <c r="D46" s="1014">
        <f t="shared" si="14"/>
        <v>0.47336600069574736</v>
      </c>
      <c r="E46" s="1014">
        <f t="shared" si="15"/>
        <v>2.7733660006957472</v>
      </c>
    </row>
    <row r="47" spans="1:5">
      <c r="A47" s="1011" t="s">
        <v>451</v>
      </c>
      <c r="B47" s="1012" t="s">
        <v>449</v>
      </c>
      <c r="C47" s="1014">
        <v>2.2999999999999998</v>
      </c>
      <c r="D47" s="1014">
        <f t="shared" si="14"/>
        <v>0.47336600069574736</v>
      </c>
      <c r="E47" s="1014">
        <f t="shared" si="15"/>
        <v>2.7733660006957472</v>
      </c>
    </row>
    <row r="48" spans="1:5">
      <c r="A48" s="1011"/>
      <c r="B48" s="1012"/>
      <c r="C48" s="1014"/>
      <c r="D48" s="1014"/>
      <c r="E48" s="1014"/>
    </row>
    <row r="49" spans="1:7">
      <c r="A49" s="1011" t="s">
        <v>448</v>
      </c>
      <c r="B49" s="1012" t="s">
        <v>446</v>
      </c>
      <c r="C49" s="1019">
        <v>0.15</v>
      </c>
      <c r="D49" s="1014">
        <f t="shared" ref="D49:D51" si="16">C49*$D$2</f>
        <v>3.0871695697548742E-2</v>
      </c>
      <c r="E49" s="1014">
        <f t="shared" ref="E49:E51" si="17">SUM(C49:D49)</f>
        <v>0.18087169569754874</v>
      </c>
    </row>
    <row r="50" spans="1:7">
      <c r="A50" s="1011" t="s">
        <v>450</v>
      </c>
      <c r="B50" s="1012" t="s">
        <v>446</v>
      </c>
      <c r="C50" s="1017">
        <v>0.8</v>
      </c>
      <c r="D50" s="1014">
        <f t="shared" si="16"/>
        <v>0.16464904372025999</v>
      </c>
      <c r="E50" s="1014">
        <f t="shared" si="17"/>
        <v>0.96464904372026006</v>
      </c>
    </row>
    <row r="51" spans="1:7">
      <c r="A51" s="1011" t="s">
        <v>451</v>
      </c>
      <c r="B51" s="1012" t="s">
        <v>446</v>
      </c>
      <c r="C51" s="1017">
        <v>0.8</v>
      </c>
      <c r="D51" s="1014">
        <f t="shared" si="16"/>
        <v>0.16464904372025999</v>
      </c>
      <c r="E51" s="1014">
        <f t="shared" si="17"/>
        <v>0.96464904372026006</v>
      </c>
    </row>
    <row r="52" spans="1:7">
      <c r="A52" s="1011"/>
      <c r="B52" s="1012"/>
      <c r="C52" s="1014"/>
      <c r="D52" s="1014"/>
      <c r="E52" s="1014"/>
    </row>
    <row r="53" spans="1:7">
      <c r="A53" s="1013" t="s">
        <v>1365</v>
      </c>
      <c r="B53" s="1015"/>
      <c r="C53" s="1014"/>
      <c r="D53" s="1014"/>
      <c r="E53" s="1014"/>
    </row>
    <row r="54" spans="1:7">
      <c r="A54" s="1011" t="s">
        <v>452</v>
      </c>
      <c r="B54" s="1012" t="s">
        <v>511</v>
      </c>
      <c r="C54" s="1014">
        <v>14.27</v>
      </c>
      <c r="D54" s="1014">
        <f>C54*$D$2</f>
        <v>2.9369273173601371</v>
      </c>
      <c r="E54" s="1014">
        <f t="shared" ref="E54" si="18">SUM(C54:D54)</f>
        <v>17.206927317360137</v>
      </c>
      <c r="G54" s="1023">
        <f>'G-48 DF Calc'!$L11</f>
        <v>0.05</v>
      </c>
    </row>
    <row r="55" spans="1:7">
      <c r="A55" s="1011" t="s">
        <v>453</v>
      </c>
      <c r="B55" s="1012" t="s">
        <v>459</v>
      </c>
      <c r="C55" s="1014">
        <v>5.22</v>
      </c>
      <c r="D55" s="1014">
        <f t="shared" ref="D55:D62" si="19">C55*$D$2</f>
        <v>1.0743350102746962</v>
      </c>
      <c r="E55" s="1014">
        <f t="shared" ref="E55:E56" si="20">SUM(C55:D55)</f>
        <v>6.294335010274696</v>
      </c>
      <c r="G55" s="1023">
        <f>'G-48 DF Calc'!$L24</f>
        <v>0.02</v>
      </c>
    </row>
    <row r="56" spans="1:7">
      <c r="A56" s="1011" t="s">
        <v>453</v>
      </c>
      <c r="B56" s="1012" t="s">
        <v>507</v>
      </c>
      <c r="C56" s="1014">
        <v>10.44</v>
      </c>
      <c r="D56" s="1014">
        <f t="shared" si="19"/>
        <v>2.1486700205493925</v>
      </c>
      <c r="E56" s="1014">
        <f t="shared" si="20"/>
        <v>12.588670020549392</v>
      </c>
      <c r="G56" s="1023">
        <f>'G-48 DF Calc'!L18</f>
        <v>0.04</v>
      </c>
    </row>
    <row r="57" spans="1:7">
      <c r="A57" s="1011" t="s">
        <v>453</v>
      </c>
      <c r="B57" s="1012" t="s">
        <v>511</v>
      </c>
      <c r="C57" s="1014">
        <v>16.47</v>
      </c>
      <c r="D57" s="1014">
        <f t="shared" si="19"/>
        <v>3.389712187590852</v>
      </c>
      <c r="E57" s="1014">
        <f t="shared" ref="E57:E67" si="21">SUM(C57:D57)</f>
        <v>19.859712187590851</v>
      </c>
      <c r="G57" s="1023">
        <f>'G-48 DF Calc'!L12</f>
        <v>0.08</v>
      </c>
    </row>
    <row r="58" spans="1:7">
      <c r="A58" s="1011" t="s">
        <v>454</v>
      </c>
      <c r="B58" s="1012" t="s">
        <v>511</v>
      </c>
      <c r="C58" s="1014">
        <v>22.55</v>
      </c>
      <c r="D58" s="1014">
        <f t="shared" si="19"/>
        <v>4.6410449198648278</v>
      </c>
      <c r="E58" s="1014">
        <f t="shared" si="21"/>
        <v>27.191044919864829</v>
      </c>
      <c r="G58" s="1023">
        <f>'G-48 DF Calc'!L13</f>
        <v>0.12</v>
      </c>
    </row>
    <row r="59" spans="1:7">
      <c r="A59" s="1011" t="s">
        <v>455</v>
      </c>
      <c r="B59" s="1012" t="s">
        <v>511</v>
      </c>
      <c r="C59" s="1014">
        <v>29.34</v>
      </c>
      <c r="D59" s="1014">
        <f t="shared" si="19"/>
        <v>6.0385036784405344</v>
      </c>
      <c r="E59" s="1014">
        <f t="shared" si="21"/>
        <v>35.378503678440538</v>
      </c>
      <c r="G59" s="1023">
        <f>'G-48 DF Calc'!L14</f>
        <v>0.18</v>
      </c>
    </row>
    <row r="60" spans="1:7">
      <c r="A60" s="1011" t="s">
        <v>456</v>
      </c>
      <c r="B60" s="1012" t="s">
        <v>511</v>
      </c>
      <c r="C60" s="1014">
        <v>35.700000000000003</v>
      </c>
      <c r="D60" s="1014">
        <f t="shared" si="19"/>
        <v>7.3474635760166018</v>
      </c>
      <c r="E60" s="1014">
        <f t="shared" si="21"/>
        <v>43.047463576016604</v>
      </c>
      <c r="G60" s="1023">
        <f>'G-48 DF Calc'!L15</f>
        <v>0.22</v>
      </c>
    </row>
    <row r="61" spans="1:7">
      <c r="A61" s="1011" t="s">
        <v>457</v>
      </c>
      <c r="B61" s="1012" t="s">
        <v>511</v>
      </c>
      <c r="C61" s="1014">
        <v>43.27</v>
      </c>
      <c r="D61" s="1014">
        <f t="shared" si="19"/>
        <v>8.9054551522195613</v>
      </c>
      <c r="E61" s="1014">
        <f t="shared" si="21"/>
        <v>52.175455152219563</v>
      </c>
      <c r="G61" s="1023">
        <f>'G-48 DF Calc'!L16</f>
        <v>0.27</v>
      </c>
    </row>
    <row r="62" spans="1:7">
      <c r="A62" s="1011" t="s">
        <v>458</v>
      </c>
      <c r="B62" s="1012" t="s">
        <v>511</v>
      </c>
      <c r="C62" s="1014">
        <v>51.36</v>
      </c>
      <c r="D62" s="1014">
        <f t="shared" si="19"/>
        <v>10.57046860684069</v>
      </c>
      <c r="E62" s="1014">
        <f t="shared" si="21"/>
        <v>61.930468606840691</v>
      </c>
      <c r="G62" s="1023">
        <f>'G-48 DF Calc'!L17</f>
        <v>0.32</v>
      </c>
    </row>
    <row r="63" spans="1:7">
      <c r="A63" s="1011"/>
      <c r="B63" s="1012"/>
      <c r="C63" s="1014"/>
      <c r="D63" s="1014"/>
      <c r="E63" s="1014"/>
    </row>
    <row r="64" spans="1:7">
      <c r="A64" s="1011" t="s">
        <v>508</v>
      </c>
      <c r="B64" s="1012" t="s">
        <v>511</v>
      </c>
      <c r="C64" s="1014">
        <v>26.7</v>
      </c>
      <c r="D64" s="1014">
        <f t="shared" ref="D64:D67" si="22">C64*$D$2</f>
        <v>5.4951618341636763</v>
      </c>
      <c r="E64" s="1014">
        <f t="shared" si="21"/>
        <v>32.195161834163677</v>
      </c>
      <c r="G64" s="1023">
        <f>'G-48 DF Calc'!L20</f>
        <v>0.09</v>
      </c>
    </row>
    <row r="65" spans="1:7">
      <c r="A65" s="1011" t="s">
        <v>509</v>
      </c>
      <c r="B65" s="1012" t="s">
        <v>511</v>
      </c>
      <c r="C65" s="1014">
        <v>53.4</v>
      </c>
      <c r="D65" s="1014">
        <f t="shared" si="22"/>
        <v>10.990323668327353</v>
      </c>
      <c r="E65" s="1014">
        <f t="shared" si="21"/>
        <v>64.390323668327355</v>
      </c>
      <c r="F65" s="1020"/>
      <c r="G65" s="1023">
        <f>G64+G64</f>
        <v>0.18</v>
      </c>
    </row>
    <row r="66" spans="1:7">
      <c r="A66" s="1011" t="s">
        <v>510</v>
      </c>
      <c r="B66" s="1012" t="s">
        <v>511</v>
      </c>
      <c r="C66" s="1014">
        <v>33.340000000000003</v>
      </c>
      <c r="D66" s="1014">
        <f t="shared" si="22"/>
        <v>6.861748897041835</v>
      </c>
      <c r="E66" s="1014">
        <f t="shared" si="21"/>
        <v>40.201748897041838</v>
      </c>
      <c r="G66" s="1023">
        <f>'G-48 DF Calc'!L22</f>
        <v>0.11</v>
      </c>
    </row>
    <row r="67" spans="1:7">
      <c r="A67" s="1011" t="s">
        <v>510</v>
      </c>
      <c r="B67" s="1012" t="s">
        <v>459</v>
      </c>
      <c r="C67" s="1014">
        <v>28.85</v>
      </c>
      <c r="D67" s="1014">
        <f t="shared" si="22"/>
        <v>5.9376561391618754</v>
      </c>
      <c r="E67" s="1014">
        <f t="shared" si="21"/>
        <v>34.787656139161875</v>
      </c>
      <c r="G67" s="1023">
        <f>'G-48 DF Calc'!L21</f>
        <v>0.03</v>
      </c>
    </row>
    <row r="68" spans="1:7">
      <c r="A68" s="1011"/>
      <c r="B68" s="1012"/>
      <c r="C68" s="1014"/>
      <c r="D68" s="1014"/>
      <c r="E68" s="1014"/>
      <c r="G68" s="1023"/>
    </row>
    <row r="69" spans="1:7">
      <c r="A69" s="1011" t="s">
        <v>1622</v>
      </c>
      <c r="B69" s="1012" t="s">
        <v>1623</v>
      </c>
      <c r="C69" s="1014">
        <v>4</v>
      </c>
      <c r="D69" s="1014">
        <f>C69*$D$2</f>
        <v>0.82324521860129984</v>
      </c>
      <c r="E69" s="1014">
        <f>SUM(C69:D69)</f>
        <v>4.8232452186012997</v>
      </c>
      <c r="G69" s="1023"/>
    </row>
    <row r="70" spans="1:7">
      <c r="A70" s="1011"/>
      <c r="B70" s="1012"/>
      <c r="C70" s="1014"/>
      <c r="D70" s="1014"/>
      <c r="E70" s="1014"/>
    </row>
    <row r="71" spans="1:7">
      <c r="A71" s="1013" t="s">
        <v>1366</v>
      </c>
      <c r="B71" s="1012"/>
      <c r="C71" s="1014"/>
      <c r="D71" s="1014"/>
      <c r="E71" s="1014"/>
    </row>
    <row r="72" spans="1:7">
      <c r="A72" s="1011" t="s">
        <v>512</v>
      </c>
      <c r="B72" s="1012" t="s">
        <v>461</v>
      </c>
      <c r="C72" s="1014">
        <v>3.82</v>
      </c>
      <c r="D72" s="1014">
        <f t="shared" ref="D72" si="23">C72*$D$2</f>
        <v>0.78619918376424136</v>
      </c>
      <c r="E72" s="1014">
        <f t="shared" ref="E72" si="24">SUM(C72:D72)</f>
        <v>4.6061991837642413</v>
      </c>
      <c r="G72" s="1023">
        <f>'G-48 DF Calc'!L24</f>
        <v>0.02</v>
      </c>
    </row>
    <row r="73" spans="1:7">
      <c r="A73" s="1011" t="s">
        <v>1621</v>
      </c>
      <c r="B73" s="1012" t="s">
        <v>461</v>
      </c>
      <c r="C73" s="1014">
        <f>C64/4.33+1</f>
        <v>7.1662817551963043</v>
      </c>
      <c r="D73" s="1014">
        <f t="shared" ref="D73:D74" si="25">C73*$D$2</f>
        <v>1.4749017975287722</v>
      </c>
      <c r="E73" s="1014">
        <f t="shared" ref="E73:E74" si="26">SUM(C73:D73)</f>
        <v>8.6411835527250762</v>
      </c>
      <c r="G73" s="1023"/>
    </row>
    <row r="74" spans="1:7">
      <c r="A74" s="1011" t="s">
        <v>1620</v>
      </c>
      <c r="B74" s="1012" t="s">
        <v>461</v>
      </c>
      <c r="C74" s="1014">
        <f>C66/4.33+1</f>
        <v>8.6997690531177838</v>
      </c>
      <c r="D74" s="1014">
        <f t="shared" si="25"/>
        <v>1.7905108189786934</v>
      </c>
      <c r="E74" s="1014">
        <f t="shared" si="26"/>
        <v>10.490279872096478</v>
      </c>
      <c r="G74" s="1023"/>
    </row>
    <row r="75" spans="1:7">
      <c r="A75" s="1011"/>
      <c r="B75" s="1012"/>
      <c r="C75" s="1014"/>
      <c r="D75" s="1014"/>
      <c r="E75" s="1014"/>
    </row>
    <row r="76" spans="1:7">
      <c r="A76" s="1013" t="s">
        <v>1367</v>
      </c>
      <c r="B76" s="1012"/>
      <c r="C76" s="1014"/>
      <c r="D76" s="1014"/>
      <c r="E76" s="1014"/>
    </row>
    <row r="77" spans="1:7">
      <c r="A77" s="1011"/>
      <c r="B77" s="1012"/>
      <c r="C77" s="1014"/>
      <c r="D77" s="1014"/>
      <c r="E77" s="1014"/>
    </row>
    <row r="78" spans="1:7">
      <c r="A78" s="1013" t="s">
        <v>1368</v>
      </c>
      <c r="B78" s="1012"/>
      <c r="C78" s="1014"/>
      <c r="D78" s="1014"/>
      <c r="E78" s="1014"/>
    </row>
    <row r="79" spans="1:7">
      <c r="A79" s="1011"/>
      <c r="B79" s="1012"/>
      <c r="C79" s="1014"/>
      <c r="D79" s="1014"/>
      <c r="E79" s="1014"/>
    </row>
    <row r="80" spans="1:7">
      <c r="A80" s="1013" t="s">
        <v>1369</v>
      </c>
      <c r="B80" s="1012"/>
      <c r="C80" s="1014"/>
      <c r="D80" s="1014"/>
      <c r="E80" s="1014"/>
    </row>
    <row r="81" spans="1:7">
      <c r="A81" s="1011" t="s">
        <v>468</v>
      </c>
      <c r="B81" s="1012" t="s">
        <v>461</v>
      </c>
      <c r="C81" s="1014">
        <v>14.96</v>
      </c>
      <c r="D81" s="1014">
        <f t="shared" ref="D81:D88" si="27">C81*$D$2</f>
        <v>3.0789371175688616</v>
      </c>
      <c r="E81" s="1014">
        <f t="shared" ref="E81:E88" si="28">SUM(C81:D81)</f>
        <v>18.038937117568864</v>
      </c>
      <c r="G81" s="1023">
        <f>'G-48 DF Calc'!L26</f>
        <v>7.0000000000000007E-2</v>
      </c>
    </row>
    <row r="82" spans="1:7">
      <c r="A82" s="1011" t="s">
        <v>469</v>
      </c>
      <c r="B82" s="1012" t="s">
        <v>461</v>
      </c>
      <c r="C82" s="1014">
        <v>14.96</v>
      </c>
      <c r="D82" s="1014">
        <f t="shared" si="27"/>
        <v>3.0789371175688616</v>
      </c>
      <c r="E82" s="1014">
        <f t="shared" si="28"/>
        <v>18.038937117568864</v>
      </c>
      <c r="G82" s="1023">
        <f>'G-48 DF Calc'!L26</f>
        <v>7.0000000000000007E-2</v>
      </c>
    </row>
    <row r="83" spans="1:7">
      <c r="A83" s="1011" t="s">
        <v>513</v>
      </c>
      <c r="B83" s="1012" t="s">
        <v>461</v>
      </c>
      <c r="C83" s="1014">
        <v>14.96</v>
      </c>
      <c r="D83" s="1014">
        <f t="shared" si="27"/>
        <v>3.0789371175688616</v>
      </c>
      <c r="E83" s="1014">
        <f t="shared" si="28"/>
        <v>18.038937117568864</v>
      </c>
      <c r="G83" s="1023">
        <f>G82</f>
        <v>7.0000000000000007E-2</v>
      </c>
    </row>
    <row r="84" spans="1:7">
      <c r="A84" s="1011" t="s">
        <v>470</v>
      </c>
      <c r="B84" s="1012" t="s">
        <v>461</v>
      </c>
      <c r="C84" s="1014">
        <v>14.96</v>
      </c>
      <c r="D84" s="1014">
        <f t="shared" si="27"/>
        <v>3.0789371175688616</v>
      </c>
      <c r="E84" s="1014">
        <f t="shared" si="28"/>
        <v>18.038937117568864</v>
      </c>
      <c r="G84" s="1023">
        <f>'G-48 DF Calc'!L26</f>
        <v>7.0000000000000007E-2</v>
      </c>
    </row>
    <row r="85" spans="1:7">
      <c r="A85" s="1011" t="s">
        <v>471</v>
      </c>
      <c r="B85" s="1012" t="s">
        <v>461</v>
      </c>
      <c r="C85" s="1014">
        <v>14.96</v>
      </c>
      <c r="D85" s="1014">
        <f t="shared" si="27"/>
        <v>3.0789371175688616</v>
      </c>
      <c r="E85" s="1014">
        <f t="shared" si="28"/>
        <v>18.038937117568864</v>
      </c>
      <c r="G85" s="1023">
        <f>G84</f>
        <v>7.0000000000000007E-2</v>
      </c>
    </row>
    <row r="86" spans="1:7">
      <c r="A86" s="1011" t="s">
        <v>471</v>
      </c>
      <c r="B86" s="1012" t="s">
        <v>461</v>
      </c>
      <c r="C86" s="1014">
        <v>14.96</v>
      </c>
      <c r="D86" s="1014">
        <f t="shared" si="27"/>
        <v>3.0789371175688616</v>
      </c>
      <c r="E86" s="1014">
        <f t="shared" si="28"/>
        <v>18.038937117568864</v>
      </c>
      <c r="G86" s="1023">
        <f>G85</f>
        <v>7.0000000000000007E-2</v>
      </c>
    </row>
    <row r="87" spans="1:7">
      <c r="A87" s="1011" t="s">
        <v>514</v>
      </c>
      <c r="B87" s="1012" t="s">
        <v>461</v>
      </c>
      <c r="C87" s="1014">
        <v>7.85</v>
      </c>
      <c r="D87" s="1014">
        <f t="shared" si="27"/>
        <v>1.6156187415050509</v>
      </c>
      <c r="E87" s="1014">
        <f t="shared" si="28"/>
        <v>9.4656187415050503</v>
      </c>
    </row>
    <row r="88" spans="1:7">
      <c r="A88" s="1011" t="s">
        <v>514</v>
      </c>
      <c r="B88" s="1012" t="s">
        <v>461</v>
      </c>
      <c r="C88" s="1014">
        <v>7.85</v>
      </c>
      <c r="D88" s="1014">
        <f t="shared" si="27"/>
        <v>1.6156187415050509</v>
      </c>
      <c r="E88" s="1014">
        <f t="shared" si="28"/>
        <v>9.4656187415050503</v>
      </c>
    </row>
    <row r="89" spans="1:7">
      <c r="A89" s="1011"/>
      <c r="B89" s="1012"/>
      <c r="C89" s="1014"/>
      <c r="D89" s="1014"/>
      <c r="E89" s="1014"/>
    </row>
    <row r="90" spans="1:7">
      <c r="A90" s="1013" t="s">
        <v>1370</v>
      </c>
      <c r="B90" s="1012"/>
      <c r="C90" s="1014"/>
      <c r="D90" s="1014"/>
      <c r="E90" s="1014"/>
    </row>
    <row r="91" spans="1:7">
      <c r="A91" s="1011" t="s">
        <v>472</v>
      </c>
      <c r="B91" s="1012"/>
      <c r="C91" s="1014"/>
      <c r="D91" s="1014"/>
      <c r="E91" s="1014"/>
    </row>
    <row r="92" spans="1:7">
      <c r="A92" s="1011" t="s">
        <v>473</v>
      </c>
      <c r="B92" s="1012" t="s">
        <v>474</v>
      </c>
      <c r="C92" s="1014">
        <v>65.05</v>
      </c>
      <c r="D92" s="1014">
        <f t="shared" ref="D92:D95" si="29">C92*$D$2</f>
        <v>13.388025367503639</v>
      </c>
      <c r="E92" s="1014">
        <f t="shared" ref="E92:E95" si="30">SUM(C92:D92)</f>
        <v>78.438025367503641</v>
      </c>
    </row>
    <row r="93" spans="1:7">
      <c r="A93" s="1011" t="s">
        <v>475</v>
      </c>
      <c r="B93" s="1012" t="s">
        <v>474</v>
      </c>
      <c r="C93" s="1014">
        <v>75.5</v>
      </c>
      <c r="D93" s="1014">
        <f t="shared" si="29"/>
        <v>15.538753501099535</v>
      </c>
      <c r="E93" s="1014">
        <f t="shared" si="30"/>
        <v>91.038753501099535</v>
      </c>
    </row>
    <row r="94" spans="1:7">
      <c r="A94" s="1011" t="s">
        <v>476</v>
      </c>
      <c r="B94" s="1012" t="s">
        <v>474</v>
      </c>
      <c r="C94" s="1014">
        <v>78.650000000000006</v>
      </c>
      <c r="D94" s="1014">
        <f t="shared" si="29"/>
        <v>16.187059110748059</v>
      </c>
      <c r="E94" s="1014">
        <f t="shared" si="30"/>
        <v>94.837059110748072</v>
      </c>
    </row>
    <row r="95" spans="1:7">
      <c r="A95" s="1011" t="s">
        <v>477</v>
      </c>
      <c r="B95" s="1012" t="s">
        <v>474</v>
      </c>
      <c r="C95" s="1014">
        <v>25.2</v>
      </c>
      <c r="D95" s="1014">
        <f t="shared" si="29"/>
        <v>5.1864448771881886</v>
      </c>
      <c r="E95" s="1014">
        <f t="shared" si="30"/>
        <v>30.38644487718819</v>
      </c>
    </row>
    <row r="96" spans="1:7">
      <c r="A96" s="1011"/>
      <c r="B96" s="1012"/>
      <c r="C96" s="1014"/>
      <c r="D96" s="1014"/>
      <c r="E96" s="1014"/>
    </row>
    <row r="97" spans="1:5">
      <c r="A97" s="1011" t="s">
        <v>478</v>
      </c>
      <c r="B97" s="1012"/>
      <c r="C97" s="1014"/>
      <c r="D97" s="1014"/>
      <c r="E97" s="1014"/>
    </row>
    <row r="98" spans="1:5">
      <c r="A98" s="1011" t="s">
        <v>475</v>
      </c>
      <c r="B98" s="1012" t="s">
        <v>474</v>
      </c>
      <c r="C98" s="1014">
        <v>81.8</v>
      </c>
      <c r="D98" s="1014">
        <f t="shared" ref="D98:D100" si="31">C98*$D$2</f>
        <v>16.83536472039658</v>
      </c>
      <c r="E98" s="1014">
        <f t="shared" ref="E98:E100" si="32">SUM(C98:D98)</f>
        <v>98.635364720396581</v>
      </c>
    </row>
    <row r="99" spans="1:5">
      <c r="A99" s="1011" t="s">
        <v>476</v>
      </c>
      <c r="B99" s="1012" t="s">
        <v>474</v>
      </c>
      <c r="C99" s="1014">
        <v>91.2</v>
      </c>
      <c r="D99" s="1014">
        <f t="shared" si="31"/>
        <v>18.769990984109636</v>
      </c>
      <c r="E99" s="1014">
        <f t="shared" si="32"/>
        <v>109.96999098410964</v>
      </c>
    </row>
    <row r="100" spans="1:5">
      <c r="A100" s="1011" t="s">
        <v>477</v>
      </c>
      <c r="B100" s="1012" t="s">
        <v>474</v>
      </c>
      <c r="C100" s="1014">
        <v>25.2</v>
      </c>
      <c r="D100" s="1014">
        <f t="shared" si="31"/>
        <v>5.1864448771881886</v>
      </c>
      <c r="E100" s="1014">
        <f t="shared" si="32"/>
        <v>30.38644487718819</v>
      </c>
    </row>
    <row r="101" spans="1:5">
      <c r="A101" s="1011"/>
      <c r="B101" s="1012"/>
      <c r="C101" s="1014"/>
      <c r="D101" s="1014"/>
      <c r="E101" s="1014"/>
    </row>
    <row r="102" spans="1:5">
      <c r="A102" s="1013" t="s">
        <v>1371</v>
      </c>
      <c r="B102" s="1012"/>
      <c r="C102" s="1014"/>
      <c r="D102" s="1014"/>
      <c r="E102" s="1014"/>
    </row>
    <row r="103" spans="1:5">
      <c r="A103" s="1011" t="s">
        <v>479</v>
      </c>
      <c r="B103" s="1012"/>
      <c r="C103" s="1014"/>
      <c r="D103" s="1014"/>
      <c r="E103" s="1014"/>
    </row>
    <row r="104" spans="1:5">
      <c r="A104" s="1011" t="s">
        <v>480</v>
      </c>
      <c r="B104" s="1012" t="s">
        <v>481</v>
      </c>
      <c r="C104" s="1014">
        <v>3.2</v>
      </c>
      <c r="D104" s="1014">
        <f>C104*$D$2</f>
        <v>0.65859617488103994</v>
      </c>
      <c r="E104" s="1014">
        <f t="shared" ref="E104" si="33">SUM(C104:D104)</f>
        <v>3.8585961748810402</v>
      </c>
    </row>
    <row r="105" spans="1:5">
      <c r="A105" s="1011"/>
      <c r="B105" s="1012"/>
      <c r="C105" s="1014"/>
      <c r="D105" s="1014"/>
      <c r="E105" s="1014"/>
    </row>
    <row r="106" spans="1:5">
      <c r="A106" s="1013" t="s">
        <v>1372</v>
      </c>
      <c r="B106" s="1012"/>
      <c r="C106" s="1014"/>
      <c r="D106" s="1014"/>
      <c r="E106" s="1014"/>
    </row>
    <row r="107" spans="1:5">
      <c r="A107" s="1011" t="s">
        <v>482</v>
      </c>
      <c r="B107" s="1012" t="s">
        <v>466</v>
      </c>
      <c r="C107" s="1014">
        <v>4</v>
      </c>
      <c r="D107" s="1014">
        <f t="shared" ref="D107:D112" si="34">C107*$D$2</f>
        <v>0.82324521860129984</v>
      </c>
      <c r="E107" s="1014">
        <f t="shared" ref="E107:E111" si="35">SUM(C107:D107)</f>
        <v>4.8232452186012997</v>
      </c>
    </row>
    <row r="108" spans="1:5">
      <c r="A108" s="1011" t="s">
        <v>471</v>
      </c>
      <c r="B108" s="1012"/>
      <c r="C108" s="1014">
        <v>4</v>
      </c>
      <c r="D108" s="1014">
        <f t="shared" si="34"/>
        <v>0.82324521860129984</v>
      </c>
      <c r="E108" s="1014">
        <f>SUM(C108:D108)*4</f>
        <v>19.292980874405199</v>
      </c>
    </row>
    <row r="109" spans="1:5">
      <c r="A109" s="1011" t="s">
        <v>483</v>
      </c>
      <c r="B109" s="1012" t="s">
        <v>466</v>
      </c>
      <c r="C109" s="1014">
        <v>4</v>
      </c>
      <c r="D109" s="1014">
        <f t="shared" si="34"/>
        <v>0.82324521860129984</v>
      </c>
      <c r="E109" s="1014">
        <f t="shared" si="35"/>
        <v>4.8232452186012997</v>
      </c>
    </row>
    <row r="110" spans="1:5">
      <c r="A110" s="1011" t="s">
        <v>471</v>
      </c>
      <c r="B110" s="1012"/>
      <c r="C110" s="1014">
        <v>4</v>
      </c>
      <c r="D110" s="1014">
        <f t="shared" si="34"/>
        <v>0.82324521860129984</v>
      </c>
      <c r="E110" s="1014">
        <f>SUM(C110:D110)*4</f>
        <v>19.292980874405199</v>
      </c>
    </row>
    <row r="111" spans="1:5">
      <c r="A111" s="1011" t="s">
        <v>484</v>
      </c>
      <c r="B111" s="1012" t="s">
        <v>466</v>
      </c>
      <c r="C111" s="1014">
        <v>4</v>
      </c>
      <c r="D111" s="1014">
        <f t="shared" si="34"/>
        <v>0.82324521860129984</v>
      </c>
      <c r="E111" s="1014">
        <f t="shared" si="35"/>
        <v>4.8232452186012997</v>
      </c>
    </row>
    <row r="112" spans="1:5">
      <c r="A112" s="1011" t="s">
        <v>471</v>
      </c>
      <c r="B112" s="1012"/>
      <c r="C112" s="1014">
        <v>4</v>
      </c>
      <c r="D112" s="1014">
        <f t="shared" si="34"/>
        <v>0.82324521860129984</v>
      </c>
      <c r="E112" s="1014">
        <f>SUM(C112:D112)*4</f>
        <v>19.292980874405199</v>
      </c>
    </row>
    <row r="113" spans="1:7">
      <c r="A113" s="1011"/>
      <c r="B113" s="1012"/>
      <c r="C113" s="1014"/>
      <c r="D113" s="1014"/>
      <c r="E113" s="1014"/>
    </row>
    <row r="114" spans="1:7">
      <c r="A114" s="1011" t="s">
        <v>485</v>
      </c>
      <c r="B114" s="1012"/>
      <c r="C114" s="1014"/>
      <c r="D114" s="1014"/>
      <c r="E114" s="1014"/>
    </row>
    <row r="115" spans="1:7">
      <c r="A115" s="1011" t="s">
        <v>486</v>
      </c>
      <c r="B115" s="1012" t="s">
        <v>461</v>
      </c>
      <c r="C115" s="1014">
        <v>14.3</v>
      </c>
      <c r="D115" s="1014">
        <f t="shared" ref="D115:D116" si="36">C115*$D$2</f>
        <v>2.9431016564996471</v>
      </c>
      <c r="E115" s="1014">
        <f t="shared" ref="E115:E116" si="37">SUM(C115:D115)</f>
        <v>17.243101656499647</v>
      </c>
    </row>
    <row r="116" spans="1:7">
      <c r="A116" s="1011" t="s">
        <v>487</v>
      </c>
      <c r="B116" s="1012" t="s">
        <v>461</v>
      </c>
      <c r="C116" s="1014">
        <v>59.6</v>
      </c>
      <c r="D116" s="1014">
        <f t="shared" si="36"/>
        <v>12.266353757159369</v>
      </c>
      <c r="E116" s="1014">
        <f t="shared" si="37"/>
        <v>71.866353757159374</v>
      </c>
    </row>
    <row r="117" spans="1:7">
      <c r="A117" s="1011"/>
      <c r="B117" s="1012"/>
      <c r="C117" s="1014"/>
      <c r="D117" s="1014"/>
      <c r="E117" s="1014"/>
    </row>
    <row r="118" spans="1:7">
      <c r="A118" s="1013" t="s">
        <v>1373</v>
      </c>
      <c r="B118" s="1012"/>
      <c r="C118" s="1014"/>
      <c r="D118" s="1014"/>
      <c r="E118" s="1014"/>
    </row>
    <row r="119" spans="1:7">
      <c r="A119" s="1011" t="s">
        <v>515</v>
      </c>
      <c r="B119" s="1012" t="s">
        <v>466</v>
      </c>
      <c r="C119" s="1014">
        <v>3.11</v>
      </c>
      <c r="D119" s="1014"/>
      <c r="E119" s="1014">
        <f t="shared" ref="E119:E122" si="38">SUM(C119:D119)</f>
        <v>3.11</v>
      </c>
    </row>
    <row r="120" spans="1:7">
      <c r="A120" s="1011" t="s">
        <v>516</v>
      </c>
      <c r="B120" s="1012" t="s">
        <v>466</v>
      </c>
      <c r="C120" s="1014">
        <v>13</v>
      </c>
      <c r="D120" s="1014"/>
      <c r="E120" s="1014">
        <f t="shared" si="38"/>
        <v>13</v>
      </c>
    </row>
    <row r="121" spans="1:7">
      <c r="A121" s="1011"/>
      <c r="B121" s="1012"/>
      <c r="C121" s="1014"/>
      <c r="D121" s="1014"/>
      <c r="E121" s="1014"/>
    </row>
    <row r="122" spans="1:7">
      <c r="A122" s="1011" t="s">
        <v>517</v>
      </c>
      <c r="B122" s="1012" t="s">
        <v>488</v>
      </c>
      <c r="C122" s="1014">
        <v>68.5</v>
      </c>
      <c r="D122" s="1014">
        <f>References!$C$57</f>
        <v>1.5</v>
      </c>
      <c r="E122" s="1014">
        <f t="shared" si="38"/>
        <v>70</v>
      </c>
      <c r="G122" s="1024"/>
    </row>
    <row r="123" spans="1:7">
      <c r="A123" s="1011"/>
      <c r="B123" s="1012"/>
      <c r="C123" s="1014"/>
      <c r="D123" s="1014"/>
      <c r="E123" s="1014"/>
    </row>
    <row r="124" spans="1:7">
      <c r="A124" s="1013" t="s">
        <v>1374</v>
      </c>
      <c r="B124" s="1012"/>
      <c r="C124" s="1014"/>
      <c r="D124" s="1014"/>
      <c r="E124" s="1014"/>
    </row>
    <row r="125" spans="1:7">
      <c r="A125" s="1011" t="s">
        <v>518</v>
      </c>
      <c r="B125" s="1012"/>
      <c r="C125" s="1014"/>
      <c r="D125" s="1014"/>
      <c r="E125" s="1014"/>
    </row>
    <row r="126" spans="1:7">
      <c r="A126" s="1011" t="s">
        <v>462</v>
      </c>
      <c r="B126" s="1012" t="s">
        <v>227</v>
      </c>
      <c r="C126" s="1014">
        <v>13.65</v>
      </c>
      <c r="D126" s="1014">
        <f t="shared" ref="D126:D130" si="39">C126*$D$2</f>
        <v>2.8093243084769357</v>
      </c>
      <c r="E126" s="1014">
        <f t="shared" ref="E126:E130" si="40">SUM(C126:D126)</f>
        <v>16.459324308476937</v>
      </c>
    </row>
    <row r="127" spans="1:7">
      <c r="A127" s="1011" t="s">
        <v>463</v>
      </c>
      <c r="B127" s="1012" t="s">
        <v>227</v>
      </c>
      <c r="C127" s="1014">
        <v>16.649999999999999</v>
      </c>
      <c r="D127" s="1014">
        <f t="shared" si="39"/>
        <v>3.4267582224279103</v>
      </c>
      <c r="E127" s="1014">
        <f t="shared" si="40"/>
        <v>20.076758222427909</v>
      </c>
    </row>
    <row r="128" spans="1:7">
      <c r="A128" s="1011" t="s">
        <v>464</v>
      </c>
      <c r="B128" s="1012" t="s">
        <v>227</v>
      </c>
      <c r="C128" s="1014">
        <v>19.7</v>
      </c>
      <c r="D128" s="1014">
        <f t="shared" si="39"/>
        <v>4.054482701611402</v>
      </c>
      <c r="E128" s="1014">
        <f t="shared" si="40"/>
        <v>23.754482701611401</v>
      </c>
    </row>
    <row r="129" spans="1:8">
      <c r="A129" s="1011" t="s">
        <v>490</v>
      </c>
      <c r="B129" s="1012" t="s">
        <v>227</v>
      </c>
      <c r="C129" s="1010">
        <v>25.85</v>
      </c>
      <c r="D129" s="1014">
        <f t="shared" si="39"/>
        <v>5.3202222252109008</v>
      </c>
      <c r="E129" s="1014">
        <f t="shared" si="40"/>
        <v>31.170222225210903</v>
      </c>
    </row>
    <row r="130" spans="1:8">
      <c r="A130" s="1011" t="s">
        <v>465</v>
      </c>
      <c r="B130" s="1012" t="s">
        <v>227</v>
      </c>
      <c r="C130" s="1010">
        <v>31.25</v>
      </c>
      <c r="D130" s="1014">
        <f t="shared" si="39"/>
        <v>6.4316032703226549</v>
      </c>
      <c r="E130" s="1014">
        <f t="shared" si="40"/>
        <v>37.681603270322654</v>
      </c>
    </row>
    <row r="131" spans="1:8">
      <c r="A131" s="1013"/>
      <c r="B131" s="1012"/>
      <c r="C131" s="1014"/>
      <c r="D131" s="1014"/>
      <c r="E131" s="1014"/>
    </row>
    <row r="132" spans="1:8">
      <c r="A132" s="1011" t="s">
        <v>519</v>
      </c>
      <c r="B132" s="1012"/>
      <c r="C132" s="1014"/>
      <c r="D132" s="1014"/>
      <c r="E132" s="1014"/>
    </row>
    <row r="133" spans="1:8">
      <c r="A133" s="1011" t="s">
        <v>462</v>
      </c>
      <c r="B133" s="1012" t="s">
        <v>461</v>
      </c>
      <c r="C133" s="1014">
        <v>14.12</v>
      </c>
      <c r="D133" s="1014">
        <f t="shared" ref="D133:D137" si="41">C133*$D$2</f>
        <v>2.9060556216625884</v>
      </c>
      <c r="E133" s="1014">
        <f t="shared" ref="E133:E137" si="42">SUM(C133:D133)</f>
        <v>17.026055621662586</v>
      </c>
      <c r="G133" s="1020">
        <f>'G-48 DF Calc'!Q46</f>
        <v>9.3650655958905649E-2</v>
      </c>
      <c r="H133" s="1020"/>
    </row>
    <row r="134" spans="1:8">
      <c r="A134" s="1011" t="s">
        <v>463</v>
      </c>
      <c r="B134" s="1012" t="s">
        <v>461</v>
      </c>
      <c r="C134" s="1014">
        <v>20.82</v>
      </c>
      <c r="D134" s="1014">
        <f t="shared" si="41"/>
        <v>4.284991362819766</v>
      </c>
      <c r="E134" s="1014">
        <f t="shared" si="42"/>
        <v>25.104991362819767</v>
      </c>
      <c r="G134" s="1023">
        <f>'G-48 DF Calc'!Q50</f>
        <v>0.13378665136986523</v>
      </c>
    </row>
    <row r="135" spans="1:8">
      <c r="A135" s="1011" t="s">
        <v>464</v>
      </c>
      <c r="B135" s="1012" t="s">
        <v>461</v>
      </c>
      <c r="C135" s="1014">
        <v>27.21</v>
      </c>
      <c r="D135" s="1014">
        <f t="shared" si="41"/>
        <v>5.6001255995353425</v>
      </c>
      <c r="E135" s="1014">
        <f t="shared" si="42"/>
        <v>32.81012559953534</v>
      </c>
      <c r="G135" s="1023">
        <f>'G-48 DF Calc'!Q48</f>
        <v>0.17338750017534535</v>
      </c>
    </row>
    <row r="136" spans="1:8">
      <c r="A136" s="1011" t="s">
        <v>490</v>
      </c>
      <c r="B136" s="1012" t="s">
        <v>461</v>
      </c>
      <c r="C136" s="1014">
        <v>37.01</v>
      </c>
      <c r="D136" s="1014">
        <f t="shared" si="41"/>
        <v>7.6170763851085264</v>
      </c>
      <c r="E136" s="1014">
        <f t="shared" si="42"/>
        <v>44.627076385108523</v>
      </c>
      <c r="G136" s="1023">
        <f>'G-48 DF Calc'!L118</f>
        <v>0.25312434439178505</v>
      </c>
    </row>
    <row r="137" spans="1:8">
      <c r="A137" s="1011" t="s">
        <v>465</v>
      </c>
      <c r="B137" s="1012" t="s">
        <v>461</v>
      </c>
      <c r="C137" s="1014">
        <v>45.74</v>
      </c>
      <c r="D137" s="1014">
        <f t="shared" si="41"/>
        <v>9.4138090747058634</v>
      </c>
      <c r="E137" s="1014">
        <f t="shared" si="42"/>
        <v>55.153809074705862</v>
      </c>
      <c r="G137" s="1023">
        <f>'G-48 DF Calc'!Q69</f>
        <v>0.32804486915890957</v>
      </c>
    </row>
    <row r="138" spans="1:8">
      <c r="A138" s="1011"/>
      <c r="B138" s="1012"/>
      <c r="C138" s="1014"/>
      <c r="D138" s="1014"/>
      <c r="E138" s="1014"/>
    </row>
    <row r="139" spans="1:8">
      <c r="A139" s="1011" t="s">
        <v>520</v>
      </c>
      <c r="B139" s="1012"/>
      <c r="C139" s="1014"/>
      <c r="D139" s="1014"/>
      <c r="E139" s="1014"/>
    </row>
    <row r="140" spans="1:8">
      <c r="A140" s="1011" t="s">
        <v>462</v>
      </c>
      <c r="B140" s="1012" t="s">
        <v>461</v>
      </c>
      <c r="C140" s="1014">
        <v>19.62</v>
      </c>
      <c r="D140" s="1014">
        <f t="shared" ref="D140:D144" si="43">C140*$D$2</f>
        <v>4.0380177972393758</v>
      </c>
      <c r="E140" s="1014">
        <f t="shared" ref="E140:E144" si="44">SUM(C140:D140)</f>
        <v>23.658017797239378</v>
      </c>
      <c r="G140" s="1020">
        <f>G133</f>
        <v>9.3650655958905649E-2</v>
      </c>
    </row>
    <row r="141" spans="1:8">
      <c r="A141" s="1011" t="s">
        <v>463</v>
      </c>
      <c r="B141" s="1012" t="s">
        <v>461</v>
      </c>
      <c r="C141" s="1014">
        <v>28.87</v>
      </c>
      <c r="D141" s="1014">
        <f t="shared" si="43"/>
        <v>5.9417723652548817</v>
      </c>
      <c r="E141" s="1014">
        <f t="shared" si="44"/>
        <v>34.811772365254882</v>
      </c>
      <c r="G141" s="1020">
        <f t="shared" ref="G141:G144" si="45">G134</f>
        <v>0.13378665136986523</v>
      </c>
    </row>
    <row r="142" spans="1:8">
      <c r="A142" s="1011" t="s">
        <v>464</v>
      </c>
      <c r="B142" s="1012" t="s">
        <v>461</v>
      </c>
      <c r="C142" s="1014">
        <v>38.01</v>
      </c>
      <c r="D142" s="1014">
        <f t="shared" si="43"/>
        <v>7.8228876897588515</v>
      </c>
      <c r="E142" s="1014">
        <f t="shared" si="44"/>
        <v>45.832887689758849</v>
      </c>
      <c r="G142" s="1020">
        <f t="shared" si="45"/>
        <v>0.17338750017534535</v>
      </c>
    </row>
    <row r="143" spans="1:8">
      <c r="A143" s="1011" t="s">
        <v>490</v>
      </c>
      <c r="B143" s="1012" t="s">
        <v>461</v>
      </c>
      <c r="C143" s="1014">
        <v>49.01</v>
      </c>
      <c r="D143" s="1014">
        <f t="shared" si="43"/>
        <v>10.086812040912426</v>
      </c>
      <c r="E143" s="1014">
        <f t="shared" si="44"/>
        <v>59.096812040912425</v>
      </c>
      <c r="G143" s="1020">
        <f t="shared" si="45"/>
        <v>0.25312434439178505</v>
      </c>
    </row>
    <row r="144" spans="1:8">
      <c r="A144" s="1011" t="s">
        <v>465</v>
      </c>
      <c r="B144" s="1012" t="s">
        <v>461</v>
      </c>
      <c r="C144" s="1014">
        <v>58.54</v>
      </c>
      <c r="D144" s="1014">
        <f t="shared" si="43"/>
        <v>12.048193774230024</v>
      </c>
      <c r="E144" s="1014">
        <f t="shared" si="44"/>
        <v>70.588193774230021</v>
      </c>
      <c r="G144" s="1020">
        <f t="shared" si="45"/>
        <v>0.32804486915890957</v>
      </c>
    </row>
    <row r="145" spans="1:7">
      <c r="A145" s="1011"/>
      <c r="B145" s="1012"/>
      <c r="C145" s="1014"/>
      <c r="D145" s="1014"/>
      <c r="E145" s="1014"/>
    </row>
    <row r="146" spans="1:7">
      <c r="A146" s="1011" t="s">
        <v>489</v>
      </c>
      <c r="B146" s="1012"/>
      <c r="C146" s="1014"/>
      <c r="D146" s="1014"/>
      <c r="E146" s="1014"/>
    </row>
    <row r="147" spans="1:7">
      <c r="A147" s="1011" t="s">
        <v>462</v>
      </c>
      <c r="B147" s="1012" t="s">
        <v>461</v>
      </c>
      <c r="C147" s="1014">
        <v>12.7</v>
      </c>
      <c r="D147" s="1014">
        <f t="shared" ref="D147:D151" si="46">C147*$D$2</f>
        <v>2.6138035690591268</v>
      </c>
      <c r="E147" s="1014">
        <f t="shared" ref="E147:E151" si="47">SUM(C147:D147)</f>
        <v>15.313803569059125</v>
      </c>
      <c r="G147" s="1020"/>
    </row>
    <row r="148" spans="1:7">
      <c r="A148" s="1011" t="s">
        <v>463</v>
      </c>
      <c r="B148" s="1012" t="s">
        <v>461</v>
      </c>
      <c r="C148" s="1014">
        <v>13.45</v>
      </c>
      <c r="D148" s="1014">
        <f t="shared" si="46"/>
        <v>2.7681620475468707</v>
      </c>
      <c r="E148" s="1014">
        <f t="shared" si="47"/>
        <v>16.218162047546869</v>
      </c>
      <c r="G148" s="1020"/>
    </row>
    <row r="149" spans="1:7">
      <c r="A149" s="1011" t="s">
        <v>464</v>
      </c>
      <c r="B149" s="1012" t="s">
        <v>461</v>
      </c>
      <c r="C149" s="1014">
        <v>14.25</v>
      </c>
      <c r="D149" s="1014">
        <f t="shared" si="46"/>
        <v>2.9328110912671308</v>
      </c>
      <c r="E149" s="1014">
        <f t="shared" si="47"/>
        <v>17.18281109126713</v>
      </c>
      <c r="G149" s="1020"/>
    </row>
    <row r="150" spans="1:7">
      <c r="A150" s="1011" t="s">
        <v>490</v>
      </c>
      <c r="B150" s="1012" t="s">
        <v>461</v>
      </c>
      <c r="C150" s="1014">
        <v>16.649999999999999</v>
      </c>
      <c r="D150" s="1014">
        <f t="shared" si="46"/>
        <v>3.4267582224279103</v>
      </c>
      <c r="E150" s="1014">
        <f t="shared" si="47"/>
        <v>20.076758222427909</v>
      </c>
      <c r="G150" s="1020"/>
    </row>
    <row r="151" spans="1:7">
      <c r="A151" s="1011" t="s">
        <v>465</v>
      </c>
      <c r="B151" s="1012" t="s">
        <v>461</v>
      </c>
      <c r="C151" s="1014">
        <v>18.55</v>
      </c>
      <c r="D151" s="1014">
        <f t="shared" si="46"/>
        <v>3.8177997012635281</v>
      </c>
      <c r="E151" s="1014">
        <f t="shared" si="47"/>
        <v>22.367799701263529</v>
      </c>
      <c r="G151" s="1020"/>
    </row>
    <row r="152" spans="1:7">
      <c r="A152" s="1011"/>
      <c r="B152" s="1012"/>
      <c r="C152" s="1014"/>
      <c r="D152" s="1014"/>
      <c r="E152" s="1014"/>
    </row>
    <row r="153" spans="1:7">
      <c r="A153" s="1011" t="s">
        <v>521</v>
      </c>
      <c r="B153" s="1012"/>
      <c r="C153" s="1014"/>
      <c r="D153" s="1014"/>
      <c r="E153" s="1014"/>
    </row>
    <row r="154" spans="1:7">
      <c r="A154" s="1011" t="s">
        <v>462</v>
      </c>
      <c r="B154" s="1012" t="s">
        <v>496</v>
      </c>
      <c r="C154" s="1014">
        <v>1.9</v>
      </c>
      <c r="D154" s="1014">
        <f t="shared" ref="D154:D158" si="48">C154*$D$2</f>
        <v>0.39104147883561741</v>
      </c>
      <c r="E154" s="1014">
        <f t="shared" ref="E154:E158" si="49">SUM(C154:D154)</f>
        <v>2.2910414788356173</v>
      </c>
    </row>
    <row r="155" spans="1:7">
      <c r="A155" s="1011" t="s">
        <v>463</v>
      </c>
      <c r="B155" s="1012" t="s">
        <v>496</v>
      </c>
      <c r="C155" s="1014">
        <v>1.9</v>
      </c>
      <c r="D155" s="1014">
        <f t="shared" si="48"/>
        <v>0.39104147883561741</v>
      </c>
      <c r="E155" s="1014">
        <f t="shared" si="49"/>
        <v>2.2910414788356173</v>
      </c>
    </row>
    <row r="156" spans="1:7">
      <c r="A156" s="1011" t="s">
        <v>464</v>
      </c>
      <c r="B156" s="1012" t="s">
        <v>496</v>
      </c>
      <c r="C156" s="1014">
        <v>2.5499999999999998</v>
      </c>
      <c r="D156" s="1014">
        <f t="shared" si="48"/>
        <v>0.52481882685832859</v>
      </c>
      <c r="E156" s="1014">
        <f t="shared" si="49"/>
        <v>3.0748188268583285</v>
      </c>
    </row>
    <row r="157" spans="1:7">
      <c r="A157" s="1011" t="s">
        <v>490</v>
      </c>
      <c r="B157" s="1012" t="s">
        <v>496</v>
      </c>
      <c r="C157" s="1014">
        <v>2.9</v>
      </c>
      <c r="D157" s="1014">
        <f t="shared" si="48"/>
        <v>0.5968527834859424</v>
      </c>
      <c r="E157" s="1014">
        <f t="shared" si="49"/>
        <v>3.4968527834859424</v>
      </c>
    </row>
    <row r="158" spans="1:7">
      <c r="A158" s="1011" t="s">
        <v>465</v>
      </c>
      <c r="B158" s="1012" t="s">
        <v>496</v>
      </c>
      <c r="C158" s="1014">
        <v>3.15</v>
      </c>
      <c r="D158" s="1014">
        <f t="shared" si="48"/>
        <v>0.64830560964852357</v>
      </c>
      <c r="E158" s="1014">
        <f t="shared" si="49"/>
        <v>3.7983056096485237</v>
      </c>
    </row>
    <row r="159" spans="1:7">
      <c r="A159" s="1011"/>
      <c r="B159" s="1012"/>
      <c r="C159" s="1014"/>
      <c r="D159" s="1014"/>
      <c r="E159" s="1014"/>
    </row>
    <row r="160" spans="1:7">
      <c r="A160" s="1011" t="s">
        <v>462</v>
      </c>
      <c r="B160" s="1012" t="s">
        <v>227</v>
      </c>
      <c r="C160" s="1014">
        <v>21.25</v>
      </c>
      <c r="D160" s="1014">
        <f t="shared" ref="D160:D164" si="50">C160*$D$2</f>
        <v>4.3734902238194051</v>
      </c>
      <c r="E160" s="1014">
        <f t="shared" ref="E160:E164" si="51">SUM(C160:D160)</f>
        <v>25.623490223819406</v>
      </c>
    </row>
    <row r="161" spans="1:7">
      <c r="A161" s="1011" t="s">
        <v>463</v>
      </c>
      <c r="B161" s="1012" t="s">
        <v>227</v>
      </c>
      <c r="C161" s="1014">
        <v>24.45</v>
      </c>
      <c r="D161" s="1014">
        <f t="shared" si="50"/>
        <v>5.0320863987004447</v>
      </c>
      <c r="E161" s="1014">
        <f t="shared" si="51"/>
        <v>29.482086398700446</v>
      </c>
    </row>
    <row r="162" spans="1:7">
      <c r="A162" s="1011" t="s">
        <v>464</v>
      </c>
      <c r="B162" s="1012" t="s">
        <v>227</v>
      </c>
      <c r="C162" s="1014">
        <v>28.6</v>
      </c>
      <c r="D162" s="1014">
        <f t="shared" si="50"/>
        <v>5.8862033129992941</v>
      </c>
      <c r="E162" s="1014">
        <f t="shared" si="51"/>
        <v>34.486203312999294</v>
      </c>
    </row>
    <row r="163" spans="1:7">
      <c r="A163" s="1011" t="s">
        <v>490</v>
      </c>
      <c r="B163" s="1012" t="s">
        <v>227</v>
      </c>
      <c r="C163" s="1014">
        <v>36.65</v>
      </c>
      <c r="D163" s="1014">
        <f t="shared" si="50"/>
        <v>7.5429843154344098</v>
      </c>
      <c r="E163" s="1014">
        <f t="shared" si="51"/>
        <v>44.192984315434408</v>
      </c>
    </row>
    <row r="164" spans="1:7">
      <c r="A164" s="1011" t="s">
        <v>465</v>
      </c>
      <c r="B164" s="1012" t="s">
        <v>227</v>
      </c>
      <c r="C164" s="1014">
        <v>43.6</v>
      </c>
      <c r="D164" s="1014">
        <f t="shared" si="50"/>
        <v>8.9733728827541679</v>
      </c>
      <c r="E164" s="1014">
        <f t="shared" si="51"/>
        <v>52.573372882754171</v>
      </c>
    </row>
    <row r="165" spans="1:7">
      <c r="A165" s="1011"/>
      <c r="B165" s="1012"/>
      <c r="C165" s="1014"/>
      <c r="D165" s="1014"/>
      <c r="E165" s="1014"/>
    </row>
    <row r="166" spans="1:7">
      <c r="A166" s="1011" t="s">
        <v>1622</v>
      </c>
      <c r="B166" s="1012" t="s">
        <v>461</v>
      </c>
      <c r="C166" s="1014">
        <v>1</v>
      </c>
      <c r="D166" s="1014">
        <f t="shared" ref="D166:D169" si="52">C166*$D$2</f>
        <v>0.20581130465032496</v>
      </c>
      <c r="E166" s="1014">
        <f t="shared" ref="E166:E169" si="53">SUM(C166:D166)</f>
        <v>1.2058113046503249</v>
      </c>
    </row>
    <row r="167" spans="1:7">
      <c r="A167" s="1011" t="s">
        <v>1622</v>
      </c>
      <c r="B167" s="1012" t="s">
        <v>1289</v>
      </c>
      <c r="C167" s="1014">
        <v>4</v>
      </c>
      <c r="D167" s="1014">
        <f t="shared" si="52"/>
        <v>0.82324521860129984</v>
      </c>
      <c r="E167" s="1014">
        <f t="shared" si="53"/>
        <v>4.8232452186012997</v>
      </c>
    </row>
    <row r="168" spans="1:7">
      <c r="A168" s="1011" t="s">
        <v>1624</v>
      </c>
      <c r="B168" s="1012" t="s">
        <v>461</v>
      </c>
      <c r="C168" s="1014">
        <v>0.75</v>
      </c>
      <c r="D168" s="1014">
        <f t="shared" si="52"/>
        <v>0.15435847848774373</v>
      </c>
      <c r="E168" s="1014">
        <f t="shared" si="53"/>
        <v>0.90435847848774376</v>
      </c>
    </row>
    <row r="169" spans="1:7">
      <c r="A169" s="1011" t="s">
        <v>1624</v>
      </c>
      <c r="B169" s="1012" t="s">
        <v>1289</v>
      </c>
      <c r="C169" s="1014">
        <v>2.5</v>
      </c>
      <c r="D169" s="1014">
        <f t="shared" si="52"/>
        <v>0.51452826162581244</v>
      </c>
      <c r="E169" s="1014">
        <f t="shared" si="53"/>
        <v>3.0145282616258124</v>
      </c>
    </row>
    <row r="170" spans="1:7">
      <c r="A170" s="1011"/>
      <c r="B170" s="1012"/>
      <c r="C170" s="1014"/>
      <c r="D170" s="1014"/>
      <c r="E170" s="1014"/>
    </row>
    <row r="171" spans="1:7">
      <c r="A171" s="1013" t="s">
        <v>1375</v>
      </c>
      <c r="B171" s="1012"/>
      <c r="C171" s="1014"/>
      <c r="D171" s="1014"/>
      <c r="E171" s="1014"/>
    </row>
    <row r="172" spans="1:7">
      <c r="A172" s="1011" t="s">
        <v>1631</v>
      </c>
      <c r="B172" s="1012" t="s">
        <v>461</v>
      </c>
      <c r="C172" s="1014">
        <v>3.72</v>
      </c>
      <c r="D172" s="1014">
        <f t="shared" ref="D172:D177" si="54">C172*$D$2</f>
        <v>0.76561805329920884</v>
      </c>
      <c r="E172" s="1014">
        <f t="shared" ref="E172:E177" si="55">SUM(C172:D172)</f>
        <v>4.4856180532992092</v>
      </c>
      <c r="G172" s="1023">
        <f>'G-48 DF Calc'!L80</f>
        <v>1.5519251558904365E-2</v>
      </c>
    </row>
    <row r="173" spans="1:7">
      <c r="A173" s="1011" t="s">
        <v>1592</v>
      </c>
      <c r="B173" s="1012" t="s">
        <v>461</v>
      </c>
      <c r="C173" s="1014">
        <v>3.72</v>
      </c>
      <c r="D173" s="1014">
        <f t="shared" si="54"/>
        <v>0.76561805329920884</v>
      </c>
      <c r="E173" s="1014">
        <f t="shared" si="55"/>
        <v>4.4856180532992092</v>
      </c>
      <c r="G173" s="1023">
        <f>'G-48 DF Calc'!L80</f>
        <v>1.5519251558904365E-2</v>
      </c>
    </row>
    <row r="174" spans="1:7">
      <c r="A174" s="1011" t="s">
        <v>522</v>
      </c>
      <c r="B174" s="1012" t="s">
        <v>227</v>
      </c>
      <c r="C174" s="1014">
        <v>16.170000000000002</v>
      </c>
      <c r="D174" s="1014">
        <f t="shared" si="54"/>
        <v>3.3279687961957549</v>
      </c>
      <c r="E174" s="1014">
        <f t="shared" ref="E174" si="56">SUM(C174:D174)</f>
        <v>19.497968796195757</v>
      </c>
      <c r="G174" s="1023">
        <f>'G-48 DF Calc'!Q71</f>
        <v>6.7250090088585582E-2</v>
      </c>
    </row>
    <row r="175" spans="1:7">
      <c r="A175" s="1011" t="s">
        <v>467</v>
      </c>
      <c r="B175" s="1012" t="s">
        <v>461</v>
      </c>
      <c r="C175" s="1014">
        <v>4.5199999999999996</v>
      </c>
      <c r="D175" s="1014">
        <f t="shared" si="54"/>
        <v>0.93026709701946875</v>
      </c>
      <c r="E175" s="1014">
        <f t="shared" si="55"/>
        <v>5.4502670970194682</v>
      </c>
      <c r="G175" s="1023">
        <f>G172</f>
        <v>1.5519251558904365E-2</v>
      </c>
    </row>
    <row r="176" spans="1:7">
      <c r="A176" s="1011" t="s">
        <v>523</v>
      </c>
      <c r="B176" s="1012" t="s">
        <v>461</v>
      </c>
      <c r="C176" s="1014">
        <v>3.72</v>
      </c>
      <c r="D176" s="1014">
        <f t="shared" si="54"/>
        <v>0.76561805329920884</v>
      </c>
      <c r="E176" s="1014">
        <f t="shared" si="55"/>
        <v>4.4856180532992092</v>
      </c>
      <c r="G176" s="1023">
        <f>G175</f>
        <v>1.5519251558904365E-2</v>
      </c>
    </row>
    <row r="177" spans="1:7">
      <c r="A177" s="1011" t="s">
        <v>460</v>
      </c>
      <c r="B177" s="1012" t="s">
        <v>461</v>
      </c>
      <c r="C177" s="1014">
        <v>3.72</v>
      </c>
      <c r="D177" s="1014">
        <f t="shared" si="54"/>
        <v>0.76561805329920884</v>
      </c>
      <c r="E177" s="1014">
        <f t="shared" si="55"/>
        <v>4.4856180532992092</v>
      </c>
      <c r="G177" s="1023">
        <f>G176</f>
        <v>1.5519251558904365E-2</v>
      </c>
    </row>
    <row r="178" spans="1:7" s="958" customFormat="1" ht="15">
      <c r="A178" s="1013"/>
      <c r="B178" s="1012"/>
      <c r="C178" s="1014"/>
      <c r="D178" s="1014"/>
      <c r="E178" s="1014"/>
    </row>
    <row r="179" spans="1:7" s="958" customFormat="1" ht="15">
      <c r="A179" s="1011" t="s">
        <v>529</v>
      </c>
      <c r="B179" s="1012" t="s">
        <v>461</v>
      </c>
      <c r="C179" s="1014">
        <v>4.32</v>
      </c>
      <c r="D179" s="1014">
        <f t="shared" ref="D179:D184" si="57">C179*$D$2</f>
        <v>0.88910483608940394</v>
      </c>
      <c r="E179" s="1014">
        <f t="shared" ref="E179:E184" si="58">SUM(C179:D179)</f>
        <v>5.2091048360894039</v>
      </c>
    </row>
    <row r="180" spans="1:7" s="958" customFormat="1" ht="15">
      <c r="A180" s="1011" t="s">
        <v>522</v>
      </c>
      <c r="B180" s="1012" t="s">
        <v>227</v>
      </c>
      <c r="C180" s="1014">
        <v>17.07</v>
      </c>
      <c r="D180" s="1014">
        <f t="shared" si="57"/>
        <v>3.5131989703810471</v>
      </c>
      <c r="E180" s="1014">
        <f t="shared" si="58"/>
        <v>20.583198970381048</v>
      </c>
    </row>
    <row r="181" spans="1:7" s="958" customFormat="1" ht="15">
      <c r="A181" s="1011" t="s">
        <v>530</v>
      </c>
      <c r="B181" s="1012" t="s">
        <v>461</v>
      </c>
      <c r="C181" s="1014">
        <v>6.16</v>
      </c>
      <c r="D181" s="1014">
        <f t="shared" si="57"/>
        <v>1.2677976366460018</v>
      </c>
      <c r="E181" s="1014">
        <f t="shared" si="58"/>
        <v>7.4277976366460017</v>
      </c>
    </row>
    <row r="182" spans="1:7" s="958" customFormat="1" ht="15">
      <c r="A182" s="1011" t="s">
        <v>522</v>
      </c>
      <c r="B182" s="1012" t="s">
        <v>227</v>
      </c>
      <c r="C182" s="1014">
        <v>23.09</v>
      </c>
      <c r="D182" s="1014">
        <f t="shared" si="57"/>
        <v>4.752183024376003</v>
      </c>
      <c r="E182" s="1014">
        <f t="shared" si="58"/>
        <v>27.842183024376002</v>
      </c>
    </row>
    <row r="183" spans="1:7" s="958" customFormat="1" ht="15">
      <c r="A183" s="1011" t="s">
        <v>531</v>
      </c>
      <c r="B183" s="1012" t="s">
        <v>461</v>
      </c>
      <c r="C183" s="1014">
        <v>7.7</v>
      </c>
      <c r="D183" s="1014">
        <f t="shared" si="57"/>
        <v>1.5847470458075021</v>
      </c>
      <c r="E183" s="1014">
        <f t="shared" si="58"/>
        <v>9.284747045807503</v>
      </c>
    </row>
    <row r="184" spans="1:7" s="958" customFormat="1" ht="15">
      <c r="A184" s="1011" t="s">
        <v>522</v>
      </c>
      <c r="B184" s="1012" t="s">
        <v>227</v>
      </c>
      <c r="C184" s="1014">
        <v>32.08</v>
      </c>
      <c r="D184" s="1014">
        <f t="shared" si="57"/>
        <v>6.6024266531824241</v>
      </c>
      <c r="E184" s="1014">
        <f t="shared" si="58"/>
        <v>38.682426653182425</v>
      </c>
    </row>
    <row r="185" spans="1:7">
      <c r="A185" s="1011"/>
      <c r="B185" s="1012"/>
      <c r="C185" s="1014"/>
      <c r="D185" s="1014"/>
      <c r="E185" s="1014"/>
    </row>
    <row r="186" spans="1:7">
      <c r="A186" s="1011" t="s">
        <v>1622</v>
      </c>
      <c r="B186" s="1012" t="s">
        <v>461</v>
      </c>
      <c r="C186" s="1014">
        <v>1</v>
      </c>
      <c r="D186" s="1014">
        <f t="shared" ref="D186:D189" si="59">C186*$D$2</f>
        <v>0.20581130465032496</v>
      </c>
      <c r="E186" s="1014">
        <f t="shared" ref="E186:E189" si="60">SUM(C186:D186)</f>
        <v>1.2058113046503249</v>
      </c>
    </row>
    <row r="187" spans="1:7">
      <c r="A187" s="1011" t="s">
        <v>1622</v>
      </c>
      <c r="B187" s="1012" t="s">
        <v>1289</v>
      </c>
      <c r="C187" s="1014">
        <v>4</v>
      </c>
      <c r="D187" s="1014">
        <f t="shared" si="59"/>
        <v>0.82324521860129984</v>
      </c>
      <c r="E187" s="1014">
        <f t="shared" si="60"/>
        <v>4.8232452186012997</v>
      </c>
    </row>
    <row r="188" spans="1:7">
      <c r="A188" s="1011" t="s">
        <v>1624</v>
      </c>
      <c r="B188" s="1012" t="s">
        <v>461</v>
      </c>
      <c r="C188" s="1014">
        <v>0.75</v>
      </c>
      <c r="D188" s="1014">
        <f t="shared" si="59"/>
        <v>0.15435847848774373</v>
      </c>
      <c r="E188" s="1014">
        <f t="shared" si="60"/>
        <v>0.90435847848774376</v>
      </c>
    </row>
    <row r="189" spans="1:7">
      <c r="A189" s="1011" t="s">
        <v>1624</v>
      </c>
      <c r="B189" s="1012" t="s">
        <v>1289</v>
      </c>
      <c r="C189" s="1014">
        <v>2.5</v>
      </c>
      <c r="D189" s="1014">
        <f t="shared" si="59"/>
        <v>0.51452826162581244</v>
      </c>
      <c r="E189" s="1014">
        <f t="shared" si="60"/>
        <v>3.0145282616258124</v>
      </c>
    </row>
    <row r="190" spans="1:7">
      <c r="A190" s="1011"/>
      <c r="B190" s="1012"/>
      <c r="C190" s="1014"/>
      <c r="D190" s="1014"/>
      <c r="E190" s="1014"/>
    </row>
    <row r="191" spans="1:7">
      <c r="A191" s="1011"/>
      <c r="B191" s="1012"/>
      <c r="C191" s="1014"/>
      <c r="D191" s="1014"/>
      <c r="E191" s="1014"/>
    </row>
    <row r="192" spans="1:7">
      <c r="A192" s="1013" t="s">
        <v>1376</v>
      </c>
      <c r="B192" s="1012"/>
      <c r="C192" s="1014"/>
      <c r="D192" s="1014"/>
      <c r="E192" s="1014"/>
    </row>
    <row r="193" spans="1:5">
      <c r="A193" s="1011"/>
      <c r="B193" s="1012"/>
      <c r="C193" s="1014"/>
      <c r="D193" s="1014"/>
      <c r="E193" s="1014"/>
    </row>
    <row r="194" spans="1:5">
      <c r="A194" s="1013" t="s">
        <v>494</v>
      </c>
      <c r="B194" s="1012"/>
      <c r="C194" s="1014"/>
      <c r="D194" s="1014"/>
      <c r="E194" s="1014"/>
    </row>
    <row r="195" spans="1:5">
      <c r="A195" s="1013" t="s">
        <v>524</v>
      </c>
      <c r="B195" s="1012"/>
      <c r="C195" s="1014"/>
      <c r="D195" s="1014"/>
      <c r="E195" s="1014"/>
    </row>
    <row r="196" spans="1:5">
      <c r="A196" s="1011" t="s">
        <v>500</v>
      </c>
      <c r="B196" s="1012" t="s">
        <v>461</v>
      </c>
      <c r="C196" s="1014">
        <v>132</v>
      </c>
      <c r="D196" s="1014">
        <f t="shared" ref="D196:D198" si="61">C196*$D$2</f>
        <v>27.167092213842896</v>
      </c>
      <c r="E196" s="1014">
        <f t="shared" ref="E196:E203" si="62">SUM(C196:D196)</f>
        <v>159.16709221384289</v>
      </c>
    </row>
    <row r="197" spans="1:5">
      <c r="A197" s="1011" t="s">
        <v>491</v>
      </c>
      <c r="B197" s="1012" t="s">
        <v>461</v>
      </c>
      <c r="C197" s="1014">
        <v>132</v>
      </c>
      <c r="D197" s="1014">
        <f t="shared" si="61"/>
        <v>27.167092213842896</v>
      </c>
      <c r="E197" s="1014">
        <f t="shared" si="62"/>
        <v>159.16709221384289</v>
      </c>
    </row>
    <row r="198" spans="1:5">
      <c r="A198" s="1011" t="s">
        <v>492</v>
      </c>
      <c r="B198" s="1012" t="s">
        <v>461</v>
      </c>
      <c r="C198" s="1014">
        <v>238.5</v>
      </c>
      <c r="D198" s="1014">
        <f t="shared" si="61"/>
        <v>49.0859961591025</v>
      </c>
      <c r="E198" s="1014">
        <f t="shared" si="62"/>
        <v>287.58599615910248</v>
      </c>
    </row>
    <row r="199" spans="1:5">
      <c r="A199" s="1011"/>
      <c r="B199" s="1012"/>
      <c r="C199" s="1014"/>
      <c r="D199" s="1014"/>
      <c r="E199" s="1014"/>
    </row>
    <row r="200" spans="1:5">
      <c r="A200" s="1011" t="s">
        <v>525</v>
      </c>
      <c r="B200" s="1012"/>
      <c r="C200" s="1014"/>
      <c r="D200" s="1014"/>
      <c r="E200" s="1014"/>
    </row>
    <row r="201" spans="1:5">
      <c r="A201" s="1011" t="s">
        <v>500</v>
      </c>
      <c r="B201" s="1012" t="s">
        <v>461</v>
      </c>
      <c r="C201" s="1014">
        <v>82.5</v>
      </c>
      <c r="D201" s="1014">
        <f t="shared" ref="D201:D203" si="63">C201*$D$2</f>
        <v>16.979432633651808</v>
      </c>
      <c r="E201" s="1014">
        <f t="shared" si="62"/>
        <v>99.479432633651811</v>
      </c>
    </row>
    <row r="202" spans="1:5">
      <c r="A202" s="1011" t="s">
        <v>491</v>
      </c>
      <c r="B202" s="1012" t="s">
        <v>461</v>
      </c>
      <c r="C202" s="1014">
        <v>82.5</v>
      </c>
      <c r="D202" s="1014">
        <f t="shared" si="63"/>
        <v>16.979432633651808</v>
      </c>
      <c r="E202" s="1014">
        <f t="shared" si="62"/>
        <v>99.479432633651811</v>
      </c>
    </row>
    <row r="203" spans="1:5">
      <c r="A203" s="1011" t="s">
        <v>492</v>
      </c>
      <c r="B203" s="1012" t="s">
        <v>461</v>
      </c>
      <c r="C203" s="1014">
        <v>103.5</v>
      </c>
      <c r="D203" s="1014">
        <f t="shared" si="63"/>
        <v>21.301470031308632</v>
      </c>
      <c r="E203" s="1014">
        <f t="shared" si="62"/>
        <v>124.80147003130864</v>
      </c>
    </row>
    <row r="204" spans="1:5">
      <c r="A204" s="1011"/>
      <c r="B204" s="1012"/>
      <c r="C204" s="1014"/>
      <c r="D204" s="1014"/>
      <c r="E204" s="1014"/>
    </row>
    <row r="205" spans="1:5">
      <c r="A205" s="1013" t="s">
        <v>495</v>
      </c>
      <c r="B205" s="1012"/>
      <c r="C205" s="1014"/>
      <c r="D205" s="1014"/>
      <c r="E205" s="1014"/>
    </row>
    <row r="206" spans="1:5">
      <c r="A206" s="1011" t="s">
        <v>526</v>
      </c>
      <c r="B206" s="1012" t="s">
        <v>461</v>
      </c>
      <c r="C206" s="1014">
        <v>42.6</v>
      </c>
      <c r="D206" s="1014">
        <f>C206*$D$2</f>
        <v>8.7675615781038445</v>
      </c>
      <c r="E206" s="1014">
        <f>SUM(C206:D206)</f>
        <v>51.367561578103846</v>
      </c>
    </row>
    <row r="207" spans="1:5">
      <c r="A207" s="1011"/>
      <c r="B207" s="1012"/>
      <c r="C207" s="1014"/>
      <c r="D207" s="1014"/>
      <c r="E207" s="1014"/>
    </row>
    <row r="208" spans="1:5">
      <c r="A208" s="1011" t="s">
        <v>494</v>
      </c>
      <c r="B208" s="1012"/>
      <c r="C208" s="1014"/>
      <c r="D208" s="1014"/>
      <c r="E208" s="1014"/>
    </row>
    <row r="209" spans="1:5">
      <c r="A209" s="1011" t="s">
        <v>500</v>
      </c>
      <c r="B209" s="1012" t="s">
        <v>481</v>
      </c>
      <c r="C209" s="1014">
        <v>95.4</v>
      </c>
      <c r="D209" s="1014">
        <f t="shared" ref="D209:D211" si="64">C209*$D$2</f>
        <v>19.634398463641002</v>
      </c>
      <c r="E209" s="1014">
        <f t="shared" ref="E209:E211" si="65">SUM(C209:D209)</f>
        <v>115.03439846364101</v>
      </c>
    </row>
    <row r="210" spans="1:5">
      <c r="A210" s="1011" t="s">
        <v>491</v>
      </c>
      <c r="B210" s="1012" t="s">
        <v>481</v>
      </c>
      <c r="C210" s="1014">
        <v>95.4</v>
      </c>
      <c r="D210" s="1014">
        <f t="shared" si="64"/>
        <v>19.634398463641002</v>
      </c>
      <c r="E210" s="1014">
        <f t="shared" si="65"/>
        <v>115.03439846364101</v>
      </c>
    </row>
    <row r="211" spans="1:5">
      <c r="A211" s="1011" t="s">
        <v>492</v>
      </c>
      <c r="B211" s="1012" t="s">
        <v>481</v>
      </c>
      <c r="C211" s="1014">
        <v>137.80000000000001</v>
      </c>
      <c r="D211" s="1014">
        <f t="shared" si="64"/>
        <v>28.360797780814782</v>
      </c>
      <c r="E211" s="1014">
        <f t="shared" si="65"/>
        <v>166.16079778081479</v>
      </c>
    </row>
    <row r="212" spans="1:5">
      <c r="A212" s="1011"/>
      <c r="B212" s="1012"/>
      <c r="C212" s="1014"/>
      <c r="D212" s="1014"/>
      <c r="E212" s="1014"/>
    </row>
    <row r="213" spans="1:5">
      <c r="A213" s="1011" t="s">
        <v>527</v>
      </c>
      <c r="B213" s="1012"/>
      <c r="C213" s="1014"/>
      <c r="D213" s="1014"/>
      <c r="E213" s="1014"/>
    </row>
    <row r="214" spans="1:5">
      <c r="A214" s="1011" t="s">
        <v>500</v>
      </c>
      <c r="B214" s="1012" t="s">
        <v>496</v>
      </c>
      <c r="C214" s="1014">
        <v>6.9</v>
      </c>
      <c r="D214" s="1014">
        <f t="shared" ref="D214:D216" si="66">C214*$D$2</f>
        <v>1.4200980020872422</v>
      </c>
      <c r="E214" s="1014">
        <f t="shared" ref="E214:E216" si="67">SUM(C214:D214)</f>
        <v>8.3200980020872422</v>
      </c>
    </row>
    <row r="215" spans="1:5">
      <c r="A215" s="1011" t="s">
        <v>491</v>
      </c>
      <c r="B215" s="1012" t="s">
        <v>496</v>
      </c>
      <c r="C215" s="1014">
        <v>6.9</v>
      </c>
      <c r="D215" s="1014">
        <f t="shared" si="66"/>
        <v>1.4200980020872422</v>
      </c>
      <c r="E215" s="1014">
        <f t="shared" si="67"/>
        <v>8.3200980020872422</v>
      </c>
    </row>
    <row r="216" spans="1:5">
      <c r="A216" s="1011" t="s">
        <v>492</v>
      </c>
      <c r="B216" s="1012" t="s">
        <v>496</v>
      </c>
      <c r="C216" s="1014">
        <v>6.9</v>
      </c>
      <c r="D216" s="1014">
        <f t="shared" si="66"/>
        <v>1.4200980020872422</v>
      </c>
      <c r="E216" s="1014">
        <f t="shared" si="67"/>
        <v>8.3200980020872422</v>
      </c>
    </row>
    <row r="217" spans="1:5">
      <c r="A217" s="1011"/>
      <c r="B217" s="1012"/>
      <c r="C217" s="1014"/>
      <c r="D217" s="1014"/>
      <c r="E217" s="1014"/>
    </row>
    <row r="218" spans="1:5">
      <c r="A218" s="1011" t="s">
        <v>527</v>
      </c>
      <c r="B218" s="1012"/>
      <c r="C218" s="1014"/>
      <c r="D218" s="1014"/>
      <c r="E218" s="1014"/>
    </row>
    <row r="219" spans="1:5">
      <c r="A219" s="1011" t="s">
        <v>500</v>
      </c>
      <c r="B219" s="1012" t="s">
        <v>227</v>
      </c>
      <c r="C219" s="1014">
        <v>106</v>
      </c>
      <c r="D219" s="1014">
        <f t="shared" ref="D219:D221" si="68">C219*$D$2</f>
        <v>21.815998292934445</v>
      </c>
      <c r="E219" s="1014">
        <f t="shared" ref="E219:E221" si="69">SUM(C219:D219)</f>
        <v>127.81599829293444</v>
      </c>
    </row>
    <row r="220" spans="1:5">
      <c r="A220" s="1011" t="s">
        <v>491</v>
      </c>
      <c r="B220" s="1012" t="s">
        <v>227</v>
      </c>
      <c r="C220" s="1014">
        <v>106</v>
      </c>
      <c r="D220" s="1014">
        <f t="shared" si="68"/>
        <v>21.815998292934445</v>
      </c>
      <c r="E220" s="1014">
        <f t="shared" si="69"/>
        <v>127.81599829293444</v>
      </c>
    </row>
    <row r="221" spans="1:5">
      <c r="A221" s="1011" t="s">
        <v>492</v>
      </c>
      <c r="B221" s="1012" t="s">
        <v>227</v>
      </c>
      <c r="C221" s="1014">
        <v>106</v>
      </c>
      <c r="D221" s="1014">
        <f t="shared" si="68"/>
        <v>21.815998292934445</v>
      </c>
      <c r="E221" s="1014">
        <f t="shared" si="69"/>
        <v>127.81599829293444</v>
      </c>
    </row>
    <row r="222" spans="1:5">
      <c r="A222" s="1011"/>
      <c r="B222" s="1012"/>
      <c r="C222" s="1014"/>
      <c r="D222" s="1014"/>
      <c r="E222" s="1014"/>
    </row>
    <row r="223" spans="1:5">
      <c r="A223" s="1011" t="s">
        <v>497</v>
      </c>
      <c r="B223" s="1012" t="s">
        <v>498</v>
      </c>
      <c r="C223" s="1014">
        <v>3.7</v>
      </c>
      <c r="D223" s="1014">
        <f>C223*$D$2</f>
        <v>0.76150182720620241</v>
      </c>
      <c r="E223" s="1014">
        <f t="shared" ref="E223" si="70">SUM(C223:D223)</f>
        <v>4.4615018272062024</v>
      </c>
    </row>
    <row r="224" spans="1:5">
      <c r="A224" s="1011"/>
      <c r="B224" s="1012"/>
      <c r="C224" s="1014"/>
      <c r="D224" s="1014"/>
      <c r="E224" s="1014"/>
    </row>
    <row r="225" spans="1:5">
      <c r="A225" s="1013" t="s">
        <v>1377</v>
      </c>
      <c r="B225" s="1012"/>
      <c r="C225" s="1014"/>
      <c r="D225" s="1014"/>
      <c r="E225" s="1014"/>
    </row>
    <row r="226" spans="1:5">
      <c r="A226" s="1013" t="s">
        <v>528</v>
      </c>
      <c r="B226" s="1012"/>
      <c r="C226" s="1014"/>
      <c r="D226" s="1014"/>
      <c r="E226" s="1014"/>
    </row>
    <row r="227" spans="1:5">
      <c r="A227" s="1011" t="s">
        <v>491</v>
      </c>
      <c r="B227" s="1012" t="s">
        <v>481</v>
      </c>
      <c r="C227" s="1014">
        <v>250</v>
      </c>
      <c r="D227" s="1014">
        <f t="shared" ref="D227:D228" si="71">C227*$D$2</f>
        <v>51.452826162581239</v>
      </c>
      <c r="E227" s="1014">
        <f t="shared" ref="E227:E228" si="72">SUM(C227:D227)</f>
        <v>301.45282616258123</v>
      </c>
    </row>
    <row r="228" spans="1:5">
      <c r="A228" s="1011" t="s">
        <v>493</v>
      </c>
      <c r="B228" s="1012" t="s">
        <v>481</v>
      </c>
      <c r="C228" s="1014">
        <v>495</v>
      </c>
      <c r="D228" s="1014">
        <f t="shared" si="71"/>
        <v>101.87659580191085</v>
      </c>
      <c r="E228" s="1014">
        <f t="shared" si="72"/>
        <v>596.87659580191087</v>
      </c>
    </row>
    <row r="229" spans="1:5">
      <c r="A229" s="1011"/>
      <c r="B229" s="1012"/>
      <c r="C229" s="1014"/>
      <c r="D229" s="1014"/>
      <c r="E229" s="1014"/>
    </row>
    <row r="230" spans="1:5">
      <c r="A230" s="1011" t="s">
        <v>497</v>
      </c>
      <c r="B230" s="1012" t="s">
        <v>498</v>
      </c>
      <c r="C230" s="1014">
        <v>3.7</v>
      </c>
      <c r="D230" s="1014">
        <f>C230*$D$2</f>
        <v>0.76150182720620241</v>
      </c>
      <c r="E230" s="1014">
        <f t="shared" ref="E230" si="73">SUM(C230:D230)</f>
        <v>4.4615018272062024</v>
      </c>
    </row>
    <row r="231" spans="1:5">
      <c r="A231" s="1011" t="s">
        <v>501</v>
      </c>
      <c r="B231" s="1012" t="s">
        <v>499</v>
      </c>
      <c r="C231" s="1014"/>
      <c r="D231" s="1014"/>
      <c r="E231" s="1014">
        <v>6.5</v>
      </c>
    </row>
    <row r="232" spans="1:5">
      <c r="A232" s="1011"/>
      <c r="B232" s="1012"/>
      <c r="C232" s="1014"/>
      <c r="D232" s="1014"/>
      <c r="E232" s="1014"/>
    </row>
    <row r="233" spans="1:5">
      <c r="D233" s="1009"/>
    </row>
    <row r="234" spans="1:5">
      <c r="D234" s="1009"/>
    </row>
    <row r="235" spans="1:5">
      <c r="D235" s="1009"/>
    </row>
    <row r="236" spans="1:5">
      <c r="D236" s="1009"/>
    </row>
    <row r="237" spans="1:5">
      <c r="D237" s="1009"/>
    </row>
    <row r="238" spans="1:5">
      <c r="D238" s="1009"/>
    </row>
    <row r="239" spans="1:5">
      <c r="D239" s="1009"/>
    </row>
    <row r="240" spans="1:5">
      <c r="D240" s="1009"/>
    </row>
    <row r="241" spans="4:4">
      <c r="D241" s="1009"/>
    </row>
    <row r="242" spans="4:4">
      <c r="D242" s="1009"/>
    </row>
    <row r="243" spans="4:4">
      <c r="D243" s="1009"/>
    </row>
    <row r="244" spans="4:4">
      <c r="D244" s="1009"/>
    </row>
    <row r="245" spans="4:4">
      <c r="D245" s="1009"/>
    </row>
    <row r="246" spans="4:4">
      <c r="D246" s="1009"/>
    </row>
    <row r="247" spans="4:4">
      <c r="D247" s="1009"/>
    </row>
    <row r="248" spans="4:4">
      <c r="D248" s="1009"/>
    </row>
    <row r="249" spans="4:4">
      <c r="D249" s="1009"/>
    </row>
    <row r="250" spans="4:4">
      <c r="D250" s="1009"/>
    </row>
    <row r="251" spans="4:4">
      <c r="D251" s="1009"/>
    </row>
    <row r="252" spans="4:4">
      <c r="D252" s="1009"/>
    </row>
    <row r="253" spans="4:4">
      <c r="D253" s="1009"/>
    </row>
    <row r="254" spans="4:4">
      <c r="D254" s="1009"/>
    </row>
    <row r="255" spans="4:4">
      <c r="D255" s="1009"/>
    </row>
    <row r="256" spans="4:4">
      <c r="D256" s="1009"/>
    </row>
    <row r="257" spans="4:4">
      <c r="D257" s="1009"/>
    </row>
    <row r="258" spans="4:4">
      <c r="D258" s="1009"/>
    </row>
    <row r="259" spans="4:4">
      <c r="D259" s="1009"/>
    </row>
    <row r="260" spans="4:4">
      <c r="D260" s="1009"/>
    </row>
    <row r="261" spans="4:4">
      <c r="D261" s="1009"/>
    </row>
    <row r="262" spans="4:4">
      <c r="D262" s="1009"/>
    </row>
    <row r="263" spans="4:4">
      <c r="D263" s="1009"/>
    </row>
    <row r="264" spans="4:4">
      <c r="D264" s="1009"/>
    </row>
    <row r="265" spans="4:4">
      <c r="D265" s="1009"/>
    </row>
    <row r="266" spans="4:4">
      <c r="D266" s="1009"/>
    </row>
    <row r="267" spans="4:4">
      <c r="D267" s="1009"/>
    </row>
    <row r="268" spans="4:4">
      <c r="D268" s="1009"/>
    </row>
    <row r="269" spans="4:4">
      <c r="D269" s="1009"/>
    </row>
    <row r="270" spans="4:4">
      <c r="D270" s="1009"/>
    </row>
    <row r="271" spans="4:4">
      <c r="D271" s="1009"/>
    </row>
    <row r="272" spans="4:4">
      <c r="D272" s="1009"/>
    </row>
    <row r="273" spans="4:4">
      <c r="D273" s="1009"/>
    </row>
    <row r="274" spans="4:4">
      <c r="D274" s="1009"/>
    </row>
    <row r="275" spans="4:4">
      <c r="D275" s="1009"/>
    </row>
    <row r="276" spans="4:4">
      <c r="D276" s="1009"/>
    </row>
    <row r="277" spans="4:4">
      <c r="D277" s="1009"/>
    </row>
    <row r="278" spans="4:4">
      <c r="D278" s="1009"/>
    </row>
    <row r="279" spans="4:4">
      <c r="D279" s="1009"/>
    </row>
    <row r="280" spans="4:4">
      <c r="D280" s="1009"/>
    </row>
    <row r="281" spans="4:4">
      <c r="D281" s="1009"/>
    </row>
    <row r="282" spans="4:4">
      <c r="D282" s="1009"/>
    </row>
    <row r="283" spans="4:4">
      <c r="D283" s="1009"/>
    </row>
    <row r="284" spans="4:4">
      <c r="D284" s="1009"/>
    </row>
    <row r="285" spans="4:4">
      <c r="D285" s="1009"/>
    </row>
    <row r="286" spans="4:4">
      <c r="D286" s="1009"/>
    </row>
    <row r="287" spans="4:4">
      <c r="D287" s="1009"/>
    </row>
    <row r="288" spans="4:4">
      <c r="D288" s="1009"/>
    </row>
    <row r="289" spans="4:4">
      <c r="D289" s="1009"/>
    </row>
    <row r="290" spans="4:4">
      <c r="D290" s="1009"/>
    </row>
    <row r="291" spans="4:4">
      <c r="D291" s="1009"/>
    </row>
    <row r="292" spans="4:4">
      <c r="D292" s="1009"/>
    </row>
    <row r="293" spans="4:4">
      <c r="D293" s="1009"/>
    </row>
    <row r="294" spans="4:4">
      <c r="D294" s="1009"/>
    </row>
    <row r="295" spans="4:4">
      <c r="D295" s="1009"/>
    </row>
    <row r="296" spans="4:4">
      <c r="D296" s="1009"/>
    </row>
    <row r="297" spans="4:4">
      <c r="D297" s="1009"/>
    </row>
    <row r="298" spans="4:4">
      <c r="D298" s="1009"/>
    </row>
  </sheetData>
  <pageMargins left="0.7" right="0.7" top="0.75" bottom="0.75" header="0.3" footer="0.3"/>
  <pageSetup fitToHeight="5"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J74"/>
  <sheetViews>
    <sheetView zoomScaleNormal="100" workbookViewId="0">
      <selection activeCell="R68" sqref="R68"/>
    </sheetView>
  </sheetViews>
  <sheetFormatPr defaultRowHeight="15"/>
  <cols>
    <col min="1" max="1" width="31.28515625" style="173" customWidth="1"/>
    <col min="2" max="2" width="7" style="173" customWidth="1"/>
    <col min="3" max="3" width="19" style="173" bestFit="1" customWidth="1"/>
    <col min="4" max="4" width="16" style="173" bestFit="1" customWidth="1"/>
    <col min="5" max="5" width="10.5703125" style="173" bestFit="1" customWidth="1"/>
    <col min="6" max="6" width="7" style="173" bestFit="1" customWidth="1"/>
    <col min="7" max="7" width="11.42578125" style="173" bestFit="1" customWidth="1"/>
    <col min="8" max="8" width="10" style="173" bestFit="1" customWidth="1"/>
    <col min="9" max="9" width="8" style="173" bestFit="1" customWidth="1"/>
    <col min="10" max="10" width="15.85546875" style="173" bestFit="1" customWidth="1"/>
    <col min="11" max="11" width="14.5703125" style="173" customWidth="1"/>
    <col min="12" max="16384" width="9.140625" style="173"/>
  </cols>
  <sheetData>
    <row r="1" spans="1:9">
      <c r="A1" s="1115" t="s">
        <v>1479</v>
      </c>
      <c r="B1" s="1115"/>
      <c r="C1" s="1115"/>
      <c r="D1" s="1115"/>
      <c r="E1" s="1115"/>
      <c r="F1" s="1115"/>
      <c r="G1" s="1115"/>
      <c r="H1" s="1115"/>
      <c r="I1" s="1115"/>
    </row>
    <row r="2" spans="1:9">
      <c r="A2" s="173" t="s">
        <v>1480</v>
      </c>
      <c r="C2" s="898" t="s">
        <v>1481</v>
      </c>
      <c r="D2" s="898" t="s">
        <v>1482</v>
      </c>
      <c r="E2" s="898" t="s">
        <v>1483</v>
      </c>
      <c r="F2" s="899" t="s">
        <v>1484</v>
      </c>
      <c r="G2" s="899" t="s">
        <v>1485</v>
      </c>
      <c r="H2" s="899" t="s">
        <v>1486</v>
      </c>
      <c r="I2" s="898" t="s">
        <v>1487</v>
      </c>
    </row>
    <row r="3" spans="1:9">
      <c r="A3" s="173" t="s">
        <v>1488</v>
      </c>
      <c r="C3" s="900">
        <f>52*5/12</f>
        <v>21.666666666666668</v>
      </c>
      <c r="D3" s="901">
        <f>$C$3*2</f>
        <v>43.333333333333336</v>
      </c>
      <c r="E3" s="901">
        <f>$C$3*3</f>
        <v>65</v>
      </c>
      <c r="F3" s="901">
        <f>$C$3*4</f>
        <v>86.666666666666671</v>
      </c>
      <c r="G3" s="901">
        <f>$C$3*5</f>
        <v>108.33333333333334</v>
      </c>
      <c r="H3" s="901">
        <f>$C$3*6</f>
        <v>130</v>
      </c>
      <c r="I3" s="901">
        <f>$C$3*7</f>
        <v>151.66666666666669</v>
      </c>
    </row>
    <row r="4" spans="1:9">
      <c r="A4" s="173" t="s">
        <v>1489</v>
      </c>
      <c r="C4" s="900">
        <f>52*4/12</f>
        <v>17.333333333333332</v>
      </c>
      <c r="D4" s="901">
        <f>$C$4*2</f>
        <v>34.666666666666664</v>
      </c>
      <c r="E4" s="901">
        <f>$C$4*3</f>
        <v>52</v>
      </c>
      <c r="F4" s="901">
        <f>$C$4*4</f>
        <v>69.333333333333329</v>
      </c>
      <c r="G4" s="901">
        <f>$C$4*5</f>
        <v>86.666666666666657</v>
      </c>
      <c r="H4" s="901">
        <f>$C$4*6</f>
        <v>104</v>
      </c>
      <c r="I4" s="901">
        <f>$C$4*7</f>
        <v>121.33333333333333</v>
      </c>
    </row>
    <row r="5" spans="1:9">
      <c r="A5" s="173" t="s">
        <v>1490</v>
      </c>
      <c r="C5" s="900">
        <f>52*3/12</f>
        <v>13</v>
      </c>
      <c r="D5" s="901">
        <f>$C$5*2</f>
        <v>26</v>
      </c>
      <c r="E5" s="901">
        <f>$C$5*3</f>
        <v>39</v>
      </c>
      <c r="F5" s="901">
        <f>$C$5*4</f>
        <v>52</v>
      </c>
      <c r="G5" s="901">
        <f>$C$5*5</f>
        <v>65</v>
      </c>
      <c r="H5" s="901">
        <f>$C$5*6</f>
        <v>78</v>
      </c>
      <c r="I5" s="901">
        <f>$C$5*7</f>
        <v>91</v>
      </c>
    </row>
    <row r="6" spans="1:9">
      <c r="A6" s="173" t="s">
        <v>1491</v>
      </c>
      <c r="C6" s="900">
        <f>52*2/12</f>
        <v>8.6666666666666661</v>
      </c>
      <c r="D6" s="902">
        <f>$C$6*2</f>
        <v>17.333333333333332</v>
      </c>
      <c r="E6" s="902">
        <f>$C$6*3</f>
        <v>26</v>
      </c>
      <c r="F6" s="902">
        <f>$C$6*4</f>
        <v>34.666666666666664</v>
      </c>
      <c r="G6" s="902">
        <f>$C$6*5</f>
        <v>43.333333333333329</v>
      </c>
      <c r="H6" s="902">
        <f>$C$6*6</f>
        <v>52</v>
      </c>
      <c r="I6" s="902">
        <f>$C$6*7</f>
        <v>60.666666666666664</v>
      </c>
    </row>
    <row r="7" spans="1:9">
      <c r="A7" s="173" t="s">
        <v>1492</v>
      </c>
      <c r="C7" s="900">
        <f>52/12</f>
        <v>4.333333333333333</v>
      </c>
      <c r="D7" s="902">
        <f>$C$7*2</f>
        <v>8.6666666666666661</v>
      </c>
      <c r="E7" s="902">
        <f>$C$7*3</f>
        <v>13</v>
      </c>
      <c r="F7" s="902">
        <f>$C$7*4</f>
        <v>17.333333333333332</v>
      </c>
      <c r="G7" s="902">
        <f>$C$7*5</f>
        <v>21.666666666666664</v>
      </c>
      <c r="H7" s="902">
        <f>$C$7*6</f>
        <v>26</v>
      </c>
      <c r="I7" s="902">
        <f>$C$7*7</f>
        <v>30.333333333333332</v>
      </c>
    </row>
    <row r="8" spans="1:9">
      <c r="A8" s="173" t="s">
        <v>1493</v>
      </c>
      <c r="C8" s="900">
        <f>26/12</f>
        <v>2.1666666666666665</v>
      </c>
      <c r="D8" s="902">
        <f>$C$8*2</f>
        <v>4.333333333333333</v>
      </c>
      <c r="E8" s="902">
        <f>$C$8*3</f>
        <v>6.5</v>
      </c>
      <c r="F8" s="902">
        <f>$C$8*4</f>
        <v>8.6666666666666661</v>
      </c>
      <c r="G8" s="902">
        <f>$C$8*5</f>
        <v>10.833333333333332</v>
      </c>
      <c r="H8" s="902">
        <f>$C$8*6</f>
        <v>13</v>
      </c>
      <c r="I8" s="902">
        <f>$C$8*7</f>
        <v>15.166666666666666</v>
      </c>
    </row>
    <row r="9" spans="1:9">
      <c r="A9" s="173" t="s">
        <v>1494</v>
      </c>
      <c r="C9" s="900">
        <f>12/12</f>
        <v>1</v>
      </c>
      <c r="D9" s="902">
        <f>$C$9*2</f>
        <v>2</v>
      </c>
      <c r="E9" s="902">
        <f>$C$9*3</f>
        <v>3</v>
      </c>
      <c r="F9" s="902">
        <f>$C$9*4</f>
        <v>4</v>
      </c>
      <c r="G9" s="902">
        <f>$C$9*5</f>
        <v>5</v>
      </c>
      <c r="H9" s="902">
        <f>$C$9*6</f>
        <v>6</v>
      </c>
      <c r="I9" s="902">
        <f>$C$9*7</f>
        <v>7</v>
      </c>
    </row>
    <row r="10" spans="1:9">
      <c r="A10" s="173" t="s">
        <v>460</v>
      </c>
      <c r="C10" s="900">
        <v>1</v>
      </c>
      <c r="D10" s="902"/>
      <c r="E10" s="902"/>
      <c r="F10" s="902"/>
      <c r="G10" s="902"/>
      <c r="H10" s="902"/>
      <c r="I10" s="902"/>
    </row>
    <row r="11" spans="1:9">
      <c r="A11" s="1115" t="s">
        <v>1495</v>
      </c>
      <c r="B11" s="1115"/>
      <c r="C11" s="1115"/>
      <c r="D11" s="902"/>
      <c r="E11" s="902"/>
      <c r="F11" s="902"/>
      <c r="G11" s="902"/>
      <c r="H11" s="902"/>
      <c r="I11" s="902"/>
    </row>
    <row r="12" spans="1:9">
      <c r="A12" s="418" t="s">
        <v>1496</v>
      </c>
      <c r="B12" s="418"/>
      <c r="C12" s="903" t="s">
        <v>1497</v>
      </c>
      <c r="D12" s="902"/>
      <c r="E12" s="902"/>
      <c r="F12" s="902"/>
      <c r="G12" s="902"/>
      <c r="H12" s="902"/>
      <c r="I12" s="902"/>
    </row>
    <row r="13" spans="1:9">
      <c r="A13" s="904" t="s">
        <v>1498</v>
      </c>
      <c r="B13" s="904"/>
      <c r="C13" s="905">
        <v>20</v>
      </c>
      <c r="D13" s="902"/>
      <c r="E13" s="902"/>
      <c r="F13" s="902"/>
      <c r="G13" s="902"/>
      <c r="H13" s="902"/>
      <c r="I13" s="902"/>
    </row>
    <row r="14" spans="1:9">
      <c r="A14" s="904" t="s">
        <v>1499</v>
      </c>
      <c r="B14" s="904"/>
      <c r="C14" s="905">
        <v>34</v>
      </c>
      <c r="D14" s="902"/>
      <c r="E14" s="902"/>
      <c r="F14" s="902"/>
      <c r="G14" s="902"/>
      <c r="H14" s="902"/>
      <c r="I14" s="902"/>
    </row>
    <row r="15" spans="1:9">
      <c r="A15" s="904" t="s">
        <v>1500</v>
      </c>
      <c r="B15" s="904"/>
      <c r="C15" s="905">
        <v>51</v>
      </c>
      <c r="D15" s="902"/>
      <c r="E15" s="902"/>
      <c r="F15" s="902"/>
      <c r="G15" s="902"/>
      <c r="H15" s="902"/>
      <c r="I15" s="902"/>
    </row>
    <row r="16" spans="1:9">
      <c r="A16" s="904" t="s">
        <v>1501</v>
      </c>
      <c r="B16" s="904"/>
      <c r="C16" s="905">
        <v>77</v>
      </c>
      <c r="D16" s="902"/>
      <c r="E16" s="902"/>
      <c r="F16" s="902"/>
      <c r="G16" s="173" t="s">
        <v>1502</v>
      </c>
      <c r="H16" s="905">
        <v>2000</v>
      </c>
      <c r="I16" s="902"/>
    </row>
    <row r="17" spans="1:9">
      <c r="A17" s="904" t="s">
        <v>1503</v>
      </c>
      <c r="B17" s="904"/>
      <c r="C17" s="905">
        <v>97</v>
      </c>
      <c r="D17" s="902"/>
      <c r="E17" s="902"/>
      <c r="F17" s="902"/>
      <c r="G17" s="173" t="s">
        <v>1504</v>
      </c>
      <c r="H17" s="906" t="s">
        <v>1505</v>
      </c>
      <c r="I17" s="902"/>
    </row>
    <row r="18" spans="1:9">
      <c r="A18" s="904" t="s">
        <v>1506</v>
      </c>
      <c r="B18" s="904"/>
      <c r="C18" s="905">
        <v>117</v>
      </c>
      <c r="D18" s="902"/>
      <c r="E18" s="902"/>
      <c r="F18" s="902"/>
      <c r="I18" s="902"/>
    </row>
    <row r="19" spans="1:9">
      <c r="A19" s="904" t="s">
        <v>1507</v>
      </c>
      <c r="B19" s="904"/>
      <c r="C19" s="905">
        <v>137</v>
      </c>
      <c r="D19" s="902"/>
      <c r="E19" s="902"/>
      <c r="F19" s="902"/>
      <c r="G19" s="1110" t="s">
        <v>1508</v>
      </c>
      <c r="H19" s="907">
        <v>12</v>
      </c>
      <c r="I19" s="632" t="s">
        <v>1615</v>
      </c>
    </row>
    <row r="20" spans="1:9">
      <c r="A20" s="904" t="s">
        <v>1509</v>
      </c>
      <c r="B20" s="904"/>
      <c r="C20" s="905">
        <v>40</v>
      </c>
      <c r="D20" s="902" t="s">
        <v>245</v>
      </c>
      <c r="E20" s="902"/>
      <c r="F20" s="902"/>
      <c r="G20" s="908"/>
      <c r="H20" s="909"/>
      <c r="I20" s="902"/>
    </row>
    <row r="21" spans="1:9">
      <c r="A21" s="904" t="s">
        <v>1510</v>
      </c>
      <c r="B21" s="904"/>
      <c r="C21" s="905">
        <v>47</v>
      </c>
      <c r="D21" s="902"/>
      <c r="E21" s="902"/>
      <c r="F21" s="902"/>
      <c r="G21" s="902"/>
      <c r="H21" s="902"/>
      <c r="I21" s="902"/>
    </row>
    <row r="22" spans="1:9">
      <c r="A22" s="904" t="s">
        <v>1511</v>
      </c>
      <c r="B22" s="904"/>
      <c r="C22" s="905">
        <v>68</v>
      </c>
      <c r="D22" s="902"/>
      <c r="E22" s="902"/>
      <c r="F22" s="902"/>
      <c r="G22" s="902"/>
      <c r="H22" s="902"/>
      <c r="I22" s="902"/>
    </row>
    <row r="23" spans="1:9">
      <c r="A23" s="904" t="s">
        <v>1512</v>
      </c>
      <c r="B23" s="904"/>
      <c r="C23" s="905">
        <v>34</v>
      </c>
      <c r="D23" s="902"/>
      <c r="E23" s="902"/>
      <c r="F23" s="902"/>
      <c r="G23" s="902"/>
      <c r="H23" s="902"/>
      <c r="I23" s="902"/>
    </row>
    <row r="24" spans="1:9">
      <c r="A24" s="904" t="s">
        <v>1513</v>
      </c>
      <c r="B24" s="904"/>
      <c r="C24" s="905">
        <v>34</v>
      </c>
      <c r="D24" s="902"/>
      <c r="E24" s="902"/>
      <c r="F24" s="902"/>
      <c r="G24" s="902"/>
      <c r="H24" s="902"/>
      <c r="I24" s="902"/>
    </row>
    <row r="25" spans="1:9">
      <c r="A25" s="418" t="s">
        <v>1514</v>
      </c>
      <c r="B25" s="418"/>
      <c r="C25" s="905"/>
      <c r="D25" s="902"/>
      <c r="E25" s="902"/>
      <c r="F25" s="902"/>
      <c r="G25" s="902"/>
      <c r="H25" s="902"/>
      <c r="I25" s="902"/>
    </row>
    <row r="26" spans="1:9">
      <c r="A26" s="904" t="s">
        <v>440</v>
      </c>
      <c r="B26" s="904"/>
      <c r="C26" s="905">
        <v>29</v>
      </c>
      <c r="D26" s="902"/>
      <c r="E26" s="902"/>
      <c r="F26" s="902"/>
      <c r="G26" s="902"/>
      <c r="H26" s="902"/>
      <c r="I26" s="902"/>
    </row>
    <row r="27" spans="1:9">
      <c r="A27" s="904" t="s">
        <v>1515</v>
      </c>
      <c r="B27" s="904"/>
      <c r="C27" s="905">
        <v>125</v>
      </c>
      <c r="D27" s="902"/>
      <c r="E27" s="902"/>
      <c r="F27" s="902"/>
      <c r="G27" s="902"/>
      <c r="H27" s="902"/>
      <c r="I27" s="902"/>
    </row>
    <row r="28" spans="1:9">
      <c r="A28" s="904" t="s">
        <v>1516</v>
      </c>
      <c r="B28" s="904"/>
      <c r="C28" s="905">
        <v>175</v>
      </c>
      <c r="D28" s="902"/>
      <c r="E28" s="902"/>
      <c r="F28" s="902"/>
      <c r="G28" s="902"/>
      <c r="H28" s="902"/>
      <c r="I28" s="902"/>
    </row>
    <row r="29" spans="1:9">
      <c r="A29" s="904" t="s">
        <v>1517</v>
      </c>
      <c r="B29" s="904"/>
      <c r="C29" s="905">
        <v>250</v>
      </c>
      <c r="D29" s="902"/>
      <c r="E29" s="902"/>
      <c r="F29" s="902"/>
      <c r="G29" s="902"/>
      <c r="H29" s="902"/>
      <c r="I29" s="902"/>
    </row>
    <row r="30" spans="1:9">
      <c r="A30" s="904" t="s">
        <v>1518</v>
      </c>
      <c r="B30" s="904"/>
      <c r="C30" s="905">
        <v>324</v>
      </c>
      <c r="D30" s="902"/>
      <c r="E30" s="902"/>
      <c r="F30" s="902"/>
      <c r="G30" s="902"/>
      <c r="H30" s="902"/>
      <c r="I30" s="902"/>
    </row>
    <row r="31" spans="1:9">
      <c r="A31" s="904" t="s">
        <v>1519</v>
      </c>
      <c r="B31" s="904"/>
      <c r="C31" s="905">
        <v>473</v>
      </c>
      <c r="D31" s="902"/>
      <c r="E31" s="902"/>
      <c r="F31" s="902"/>
      <c r="G31" s="902"/>
      <c r="H31" s="902"/>
      <c r="I31" s="902"/>
    </row>
    <row r="32" spans="1:9">
      <c r="A32" s="904" t="s">
        <v>1520</v>
      </c>
      <c r="B32" s="904"/>
      <c r="C32" s="905">
        <v>613</v>
      </c>
      <c r="D32" s="902"/>
      <c r="E32" s="902"/>
      <c r="F32" s="902"/>
      <c r="G32" s="902"/>
      <c r="H32" s="902"/>
      <c r="I32" s="902"/>
    </row>
    <row r="33" spans="1:9">
      <c r="A33" s="904" t="s">
        <v>1521</v>
      </c>
      <c r="B33" s="904"/>
      <c r="C33" s="905">
        <v>840</v>
      </c>
      <c r="D33" s="902"/>
      <c r="E33" s="902"/>
      <c r="F33" s="902"/>
      <c r="G33" s="902"/>
      <c r="H33" s="902"/>
      <c r="I33" s="902"/>
    </row>
    <row r="34" spans="1:9">
      <c r="A34" s="904" t="s">
        <v>1522</v>
      </c>
      <c r="B34" s="904"/>
      <c r="C34" s="905">
        <v>980</v>
      </c>
      <c r="D34" s="910"/>
      <c r="E34" s="902"/>
      <c r="F34" s="902"/>
      <c r="G34" s="902"/>
      <c r="H34" s="902"/>
      <c r="I34" s="902"/>
    </row>
    <row r="35" spans="1:9">
      <c r="A35" s="911" t="s">
        <v>1523</v>
      </c>
      <c r="B35" s="911">
        <v>2.25</v>
      </c>
      <c r="C35" s="905"/>
      <c r="D35" s="910"/>
      <c r="E35" s="902"/>
      <c r="F35" s="902"/>
      <c r="G35" s="902"/>
      <c r="H35" s="902"/>
      <c r="I35" s="902"/>
    </row>
    <row r="36" spans="1:9">
      <c r="A36" s="904" t="s">
        <v>1524</v>
      </c>
      <c r="B36" s="904"/>
      <c r="C36" s="905">
        <f>C30*$B$35</f>
        <v>729</v>
      </c>
      <c r="D36" s="902" t="s">
        <v>245</v>
      </c>
      <c r="E36" s="902"/>
      <c r="F36" s="902"/>
      <c r="G36" s="902"/>
      <c r="H36" s="902"/>
      <c r="I36" s="902"/>
    </row>
    <row r="37" spans="1:9">
      <c r="A37" s="904" t="s">
        <v>1525</v>
      </c>
      <c r="B37" s="904"/>
      <c r="C37" s="905">
        <f>C32*$B$35</f>
        <v>1379.25</v>
      </c>
      <c r="D37" s="902" t="s">
        <v>245</v>
      </c>
      <c r="E37" s="902"/>
      <c r="F37" s="902"/>
      <c r="G37" s="902"/>
      <c r="H37" s="902"/>
      <c r="I37" s="902"/>
    </row>
    <row r="38" spans="1:9">
      <c r="A38" s="904" t="s">
        <v>1526</v>
      </c>
      <c r="B38" s="904"/>
      <c r="C38" s="905">
        <f>C33*$B$35</f>
        <v>1890</v>
      </c>
      <c r="D38" s="902" t="s">
        <v>245</v>
      </c>
      <c r="E38" s="902"/>
      <c r="F38" s="902"/>
      <c r="G38" s="902"/>
      <c r="H38" s="902"/>
      <c r="I38" s="902"/>
    </row>
    <row r="39" spans="1:9">
      <c r="A39" s="911" t="s">
        <v>1527</v>
      </c>
      <c r="B39" s="911">
        <v>3</v>
      </c>
      <c r="C39" s="905"/>
      <c r="D39" s="902"/>
      <c r="E39" s="902"/>
      <c r="F39" s="902"/>
      <c r="G39" s="902"/>
      <c r="H39" s="902"/>
      <c r="I39" s="902"/>
    </row>
    <row r="40" spans="1:9">
      <c r="A40" s="904" t="s">
        <v>1524</v>
      </c>
      <c r="B40" s="904"/>
      <c r="C40" s="912">
        <f>C30*$B$39</f>
        <v>972</v>
      </c>
      <c r="D40" s="902" t="s">
        <v>245</v>
      </c>
      <c r="E40" s="902"/>
      <c r="F40" s="902"/>
      <c r="G40" s="902"/>
      <c r="H40" s="902"/>
      <c r="I40" s="902"/>
    </row>
    <row r="41" spans="1:9">
      <c r="A41" s="904" t="s">
        <v>1528</v>
      </c>
      <c r="B41" s="904"/>
      <c r="C41" s="912">
        <f t="shared" ref="C41:C43" si="0">C31*$B$39</f>
        <v>1419</v>
      </c>
      <c r="D41" s="902" t="s">
        <v>245</v>
      </c>
      <c r="E41" s="902"/>
      <c r="F41" s="902"/>
      <c r="G41" s="902"/>
      <c r="H41" s="902"/>
      <c r="I41" s="902"/>
    </row>
    <row r="42" spans="1:9">
      <c r="A42" s="904" t="s">
        <v>1525</v>
      </c>
      <c r="B42" s="904"/>
      <c r="C42" s="912">
        <f t="shared" si="0"/>
        <v>1839</v>
      </c>
      <c r="D42" s="902" t="s">
        <v>245</v>
      </c>
      <c r="E42" s="902"/>
      <c r="F42" s="902"/>
      <c r="G42" s="902"/>
      <c r="H42" s="902"/>
      <c r="I42" s="902"/>
    </row>
    <row r="43" spans="1:9">
      <c r="A43" s="904" t="s">
        <v>1526</v>
      </c>
      <c r="B43" s="904"/>
      <c r="C43" s="912">
        <f t="shared" si="0"/>
        <v>2520</v>
      </c>
      <c r="D43" s="902" t="s">
        <v>245</v>
      </c>
      <c r="E43" s="902"/>
      <c r="F43" s="902"/>
      <c r="G43" s="902"/>
      <c r="H43" s="902"/>
      <c r="I43" s="902"/>
    </row>
    <row r="44" spans="1:9">
      <c r="A44" s="911" t="s">
        <v>1529</v>
      </c>
      <c r="B44" s="911">
        <v>4</v>
      </c>
      <c r="C44" s="905"/>
      <c r="D44" s="902"/>
      <c r="E44" s="902"/>
      <c r="F44" s="902"/>
      <c r="G44" s="902"/>
      <c r="H44" s="902"/>
      <c r="I44" s="902"/>
    </row>
    <row r="45" spans="1:9">
      <c r="A45" s="904" t="s">
        <v>1528</v>
      </c>
      <c r="B45" s="904"/>
      <c r="C45" s="912">
        <f t="shared" ref="C45:C47" si="1">C31*$B$44</f>
        <v>1892</v>
      </c>
      <c r="D45" s="902" t="s">
        <v>245</v>
      </c>
      <c r="E45" s="902"/>
      <c r="F45" s="902"/>
      <c r="G45" s="902"/>
      <c r="H45" s="902"/>
      <c r="I45" s="902"/>
    </row>
    <row r="46" spans="1:9">
      <c r="A46" s="904" t="s">
        <v>1525</v>
      </c>
      <c r="B46" s="904"/>
      <c r="C46" s="912">
        <f t="shared" si="1"/>
        <v>2452</v>
      </c>
      <c r="D46" s="902" t="s">
        <v>245</v>
      </c>
      <c r="E46" s="902"/>
      <c r="F46" s="902"/>
      <c r="G46" s="902"/>
      <c r="H46" s="902"/>
      <c r="I46" s="902"/>
    </row>
    <row r="47" spans="1:9">
      <c r="A47" s="904" t="s">
        <v>1526</v>
      </c>
      <c r="B47" s="904"/>
      <c r="C47" s="912">
        <f t="shared" si="1"/>
        <v>3360</v>
      </c>
      <c r="D47" s="902" t="s">
        <v>245</v>
      </c>
      <c r="E47" s="902"/>
      <c r="F47" s="902"/>
      <c r="G47" s="902"/>
      <c r="H47" s="902"/>
      <c r="I47" s="902"/>
    </row>
    <row r="48" spans="1:9">
      <c r="A48" s="911" t="s">
        <v>1530</v>
      </c>
      <c r="B48" s="911">
        <v>5</v>
      </c>
      <c r="C48" s="905"/>
      <c r="D48" s="902"/>
      <c r="E48" s="902"/>
      <c r="F48" s="902"/>
      <c r="G48" s="902"/>
      <c r="H48" s="902"/>
      <c r="I48" s="902"/>
    </row>
    <row r="49" spans="1:10">
      <c r="A49" s="904" t="s">
        <v>1525</v>
      </c>
      <c r="B49" s="904"/>
      <c r="C49" s="912">
        <f>C32*$B$48</f>
        <v>3065</v>
      </c>
      <c r="D49" s="902" t="s">
        <v>245</v>
      </c>
      <c r="E49" s="902"/>
      <c r="F49" s="902"/>
      <c r="G49" s="902"/>
      <c r="H49" s="902"/>
      <c r="I49" s="902"/>
    </row>
    <row r="50" spans="1:10">
      <c r="A50" s="904" t="s">
        <v>1526</v>
      </c>
      <c r="B50" s="904"/>
      <c r="C50" s="912">
        <f>C33*$B$48</f>
        <v>4200</v>
      </c>
      <c r="D50" s="902" t="s">
        <v>245</v>
      </c>
      <c r="E50" s="902"/>
      <c r="F50" s="902"/>
      <c r="G50" s="902"/>
      <c r="H50" s="902"/>
      <c r="I50" s="902"/>
    </row>
    <row r="51" spans="1:10">
      <c r="C51" s="1116" t="s">
        <v>1531</v>
      </c>
      <c r="D51" s="1116"/>
    </row>
    <row r="52" spans="1:10">
      <c r="C52" s="173" t="s">
        <v>1532</v>
      </c>
    </row>
    <row r="54" spans="1:10">
      <c r="A54" s="913" t="s">
        <v>1616</v>
      </c>
      <c r="B54" s="913"/>
      <c r="C54" s="914" t="s">
        <v>1533</v>
      </c>
      <c r="D54" s="914" t="s">
        <v>1534</v>
      </c>
      <c r="G54" s="1117" t="s">
        <v>1535</v>
      </c>
      <c r="H54" s="1117"/>
    </row>
    <row r="55" spans="1:10">
      <c r="A55" s="915" t="s">
        <v>1536</v>
      </c>
      <c r="B55" s="915"/>
      <c r="C55" s="916">
        <v>68.5</v>
      </c>
      <c r="D55" s="917">
        <f>C55/2000</f>
        <v>3.4250000000000003E-2</v>
      </c>
      <c r="G55" s="173" t="s">
        <v>1537</v>
      </c>
      <c r="H55" s="918">
        <f>0.015</f>
        <v>1.4999999999999999E-2</v>
      </c>
    </row>
    <row r="56" spans="1:10">
      <c r="A56" s="915" t="s">
        <v>1538</v>
      </c>
      <c r="B56" s="915"/>
      <c r="C56" s="919">
        <v>70</v>
      </c>
      <c r="D56" s="920">
        <f>C56/2000</f>
        <v>3.5000000000000003E-2</v>
      </c>
      <c r="G56" s="173" t="s">
        <v>1539</v>
      </c>
      <c r="H56" s="921">
        <f>0.004275</f>
        <v>4.2750000000000002E-3</v>
      </c>
    </row>
    <row r="57" spans="1:10">
      <c r="A57" s="904" t="s">
        <v>242</v>
      </c>
      <c r="B57" s="904"/>
      <c r="C57" s="916">
        <f>C56-C55</f>
        <v>1.5</v>
      </c>
      <c r="D57" s="922">
        <f>D56-D55</f>
        <v>7.5000000000000067E-4</v>
      </c>
      <c r="E57" s="923">
        <f>C57/C55</f>
        <v>2.1897810218978103E-2</v>
      </c>
      <c r="G57" s="173" t="s">
        <v>184</v>
      </c>
      <c r="H57" s="924"/>
    </row>
    <row r="58" spans="1:10">
      <c r="D58" s="925"/>
      <c r="G58" s="173" t="s">
        <v>1</v>
      </c>
      <c r="H58" s="926">
        <f>SUM(H55:H57)</f>
        <v>1.9275E-2</v>
      </c>
      <c r="J58" s="927"/>
    </row>
    <row r="59" spans="1:10">
      <c r="C59" s="928" t="s">
        <v>1540</v>
      </c>
    </row>
    <row r="60" spans="1:10">
      <c r="A60" s="173" t="s">
        <v>1541</v>
      </c>
      <c r="C60" s="929">
        <f>C57</f>
        <v>1.5</v>
      </c>
      <c r="G60" s="173" t="s">
        <v>1542</v>
      </c>
      <c r="H60" s="930">
        <f>1-H58</f>
        <v>0.98072499999999996</v>
      </c>
    </row>
    <row r="61" spans="1:10">
      <c r="A61" s="173" t="s">
        <v>1543</v>
      </c>
      <c r="C61" s="985">
        <f>'G-48 DF Calc'!E123</f>
        <v>2521.0289343065688</v>
      </c>
    </row>
    <row r="62" spans="1:10">
      <c r="A62" s="418" t="s">
        <v>1544</v>
      </c>
      <c r="B62" s="418"/>
      <c r="C62" s="931">
        <f>C60*C61</f>
        <v>3781.5434014598532</v>
      </c>
      <c r="D62" s="929"/>
    </row>
    <row r="65" spans="1:5">
      <c r="C65" s="929"/>
    </row>
    <row r="66" spans="1:5">
      <c r="A66" s="938"/>
      <c r="B66" s="938"/>
      <c r="C66" s="938"/>
      <c r="D66" s="938"/>
    </row>
    <row r="67" spans="1:5">
      <c r="A67" s="939"/>
      <c r="B67" s="939"/>
      <c r="C67" s="940"/>
      <c r="D67" s="938"/>
      <c r="E67" s="929"/>
    </row>
    <row r="68" spans="1:5">
      <c r="A68" s="938"/>
      <c r="B68" s="938"/>
      <c r="C68" s="941"/>
      <c r="D68" s="938"/>
    </row>
    <row r="69" spans="1:5">
      <c r="A69" s="938"/>
      <c r="B69" s="938"/>
      <c r="C69" s="941"/>
      <c r="D69" s="938"/>
    </row>
    <row r="70" spans="1:5">
      <c r="A70" s="938"/>
      <c r="B70" s="938"/>
      <c r="C70" s="938"/>
      <c r="D70" s="938"/>
    </row>
    <row r="71" spans="1:5">
      <c r="A71" s="939"/>
      <c r="B71" s="939"/>
      <c r="C71" s="942"/>
      <c r="D71" s="938"/>
    </row>
    <row r="72" spans="1:5">
      <c r="A72" s="938"/>
      <c r="B72" s="938"/>
      <c r="C72" s="938"/>
      <c r="D72" s="938"/>
    </row>
    <row r="73" spans="1:5">
      <c r="A73" s="938"/>
      <c r="B73" s="938"/>
      <c r="C73" s="938"/>
      <c r="D73" s="938"/>
    </row>
    <row r="74" spans="1:5">
      <c r="A74" s="938"/>
      <c r="B74" s="938"/>
      <c r="C74" s="938"/>
      <c r="D74" s="938"/>
    </row>
  </sheetData>
  <mergeCells count="4">
    <mergeCell ref="A1:I1"/>
    <mergeCell ref="A11:C11"/>
    <mergeCell ref="C51:D51"/>
    <mergeCell ref="G54:H54"/>
  </mergeCells>
  <pageMargins left="0.28000000000000003" right="0.52" top="0.75" bottom="0.75" header="0.3" footer="0.3"/>
  <pageSetup scale="75" orientation="portrait" r:id="rId1"/>
  <headerFooter>
    <oddHeader xml:space="preserve">&amp;C&amp;"-,Bold"&amp;12
</oddHeader>
    <oddFooter>&amp;L&amp;F - &amp;A&amp;C&amp;D&amp;R&amp;P of &amp;N</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R126"/>
  <sheetViews>
    <sheetView zoomScaleNormal="100" workbookViewId="0">
      <pane xSplit="1" ySplit="7" topLeftCell="B8" activePane="bottomRight" state="frozen"/>
      <selection activeCell="L37" sqref="L37"/>
      <selection pane="topRight" activeCell="L37" sqref="L37"/>
      <selection pane="bottomLeft" activeCell="L37" sqref="L37"/>
      <selection pane="bottomRight" activeCell="A8" sqref="A8:XFD9"/>
    </sheetView>
  </sheetViews>
  <sheetFormatPr defaultRowHeight="12.75"/>
  <cols>
    <col min="1" max="1" width="29.140625" style="321" bestFit="1" customWidth="1"/>
    <col min="2" max="2" width="13.42578125" style="321" customWidth="1"/>
    <col min="3" max="3" width="15" style="321" customWidth="1"/>
    <col min="4" max="4" width="1" style="321" customWidth="1"/>
    <col min="5" max="5" width="13.7109375" style="321" bestFit="1" customWidth="1"/>
    <col min="6" max="6" width="12.42578125" style="321" customWidth="1"/>
    <col min="7" max="7" width="13.5703125" style="321" customWidth="1"/>
    <col min="8" max="8" width="12.42578125" style="321" customWidth="1"/>
    <col min="9" max="9" width="13.85546875" style="321" customWidth="1"/>
    <col min="10" max="10" width="12.5703125" style="321" customWidth="1"/>
    <col min="11" max="11" width="11.7109375" style="321" customWidth="1"/>
    <col min="12" max="12" width="9.140625" style="321"/>
    <col min="13" max="13" width="10.85546875" style="321" customWidth="1"/>
    <col min="14" max="14" width="9.140625" style="321"/>
    <col min="15" max="15" width="3" style="321" customWidth="1"/>
    <col min="16" max="16" width="11" style="321" bestFit="1" customWidth="1"/>
    <col min="17" max="17" width="9.85546875" style="321" bestFit="1" customWidth="1"/>
    <col min="18" max="16384" width="9.140625" style="321"/>
  </cols>
  <sheetData>
    <row r="1" spans="1:18" ht="12" customHeight="1">
      <c r="A1" s="319" t="s">
        <v>752</v>
      </c>
      <c r="B1" s="320"/>
      <c r="C1" s="320"/>
      <c r="D1" s="320"/>
      <c r="E1" s="320"/>
      <c r="F1" s="320"/>
    </row>
    <row r="2" spans="1:18" ht="12" customHeight="1">
      <c r="A2" s="319" t="s">
        <v>1477</v>
      </c>
      <c r="B2" s="320"/>
      <c r="C2" s="320"/>
      <c r="D2" s="320"/>
      <c r="E2" s="320"/>
      <c r="F2" s="320"/>
    </row>
    <row r="3" spans="1:18" ht="12" customHeight="1">
      <c r="A3" s="322" t="s">
        <v>373</v>
      </c>
      <c r="B3" s="320"/>
      <c r="C3" s="320"/>
      <c r="D3" s="320"/>
      <c r="E3" s="320"/>
      <c r="F3" s="320"/>
    </row>
    <row r="4" spans="1:18" ht="12" customHeight="1">
      <c r="A4" s="320"/>
      <c r="B4" s="320"/>
      <c r="C4" s="320"/>
      <c r="D4" s="320"/>
      <c r="E4" s="320"/>
      <c r="F4" s="320"/>
    </row>
    <row r="5" spans="1:18" ht="12" customHeight="1">
      <c r="A5" s="324"/>
      <c r="B5" s="325" t="s">
        <v>1545</v>
      </c>
      <c r="C5" s="327" t="s">
        <v>1</v>
      </c>
      <c r="D5" s="320"/>
      <c r="E5" s="986" t="s">
        <v>1478</v>
      </c>
      <c r="F5" s="986" t="s">
        <v>1289</v>
      </c>
      <c r="G5" s="987"/>
      <c r="H5" s="987" t="s">
        <v>1548</v>
      </c>
      <c r="I5" s="987" t="s">
        <v>1550</v>
      </c>
      <c r="J5" s="987" t="s">
        <v>126</v>
      </c>
      <c r="K5" s="989"/>
      <c r="L5" s="990" t="s">
        <v>760</v>
      </c>
      <c r="M5" s="991" t="s">
        <v>1545</v>
      </c>
      <c r="N5" s="990" t="s">
        <v>432</v>
      </c>
      <c r="P5" s="933" t="s">
        <v>19</v>
      </c>
    </row>
    <row r="6" spans="1:18" ht="12" customHeight="1">
      <c r="A6" s="324" t="s">
        <v>759</v>
      </c>
      <c r="B6" s="325" t="s">
        <v>760</v>
      </c>
      <c r="C6" s="327" t="s">
        <v>19</v>
      </c>
      <c r="D6" s="320"/>
      <c r="E6" s="988" t="s">
        <v>761</v>
      </c>
      <c r="F6" s="986" t="s">
        <v>1546</v>
      </c>
      <c r="G6" s="987" t="s">
        <v>1547</v>
      </c>
      <c r="H6" s="987" t="s">
        <v>1549</v>
      </c>
      <c r="I6" s="987" t="s">
        <v>1551</v>
      </c>
      <c r="J6" s="987" t="s">
        <v>1551</v>
      </c>
      <c r="K6" s="990" t="s">
        <v>242</v>
      </c>
      <c r="L6" s="990" t="s">
        <v>242</v>
      </c>
      <c r="M6" s="991" t="s">
        <v>760</v>
      </c>
      <c r="N6" s="990" t="s">
        <v>760</v>
      </c>
      <c r="P6" s="933" t="s">
        <v>118</v>
      </c>
    </row>
    <row r="7" spans="1:18" ht="6.75" customHeight="1"/>
    <row r="8" spans="1:18" s="320" customFormat="1" ht="12" customHeight="1">
      <c r="A8" s="332" t="s">
        <v>763</v>
      </c>
      <c r="B8" s="331"/>
      <c r="G8" s="321"/>
      <c r="M8" s="331"/>
    </row>
    <row r="9" spans="1:18" s="320" customFormat="1" ht="12" customHeight="1">
      <c r="A9" s="332"/>
      <c r="B9" s="331"/>
      <c r="G9" s="321"/>
      <c r="M9" s="331"/>
    </row>
    <row r="10" spans="1:18" s="320" customFormat="1" ht="12" customHeight="1">
      <c r="A10" s="333" t="s">
        <v>764</v>
      </c>
      <c r="B10" s="334"/>
      <c r="C10" s="336"/>
      <c r="E10" s="335"/>
      <c r="F10" s="335"/>
      <c r="G10" s="321"/>
      <c r="M10" s="334"/>
    </row>
    <row r="11" spans="1:18" s="320" customFormat="1" ht="12" customHeight="1">
      <c r="A11" s="338" t="s">
        <v>766</v>
      </c>
      <c r="B11" s="334">
        <v>14.27</v>
      </c>
      <c r="C11" s="335">
        <f>'G-48 Price Out'!G13</f>
        <v>85.61999999999999</v>
      </c>
      <c r="E11" s="335">
        <f>'G-48 Price Out'!K13*References!$H$19</f>
        <v>10.285714285714285</v>
      </c>
      <c r="F11" s="932">
        <f>References!$C$7</f>
        <v>4.333333333333333</v>
      </c>
      <c r="G11" s="340">
        <f>E11*F11</f>
        <v>44.571428571428562</v>
      </c>
      <c r="H11" s="320">
        <f>References!$C$13</f>
        <v>20</v>
      </c>
      <c r="I11" s="934">
        <f>G11*H11</f>
        <v>891.42857142857122</v>
      </c>
      <c r="J11" s="934">
        <f>I11*$E$126</f>
        <v>636.05996536987288</v>
      </c>
      <c r="K11" s="943">
        <f>J11*References!$D$57</f>
        <v>0.47704497402740509</v>
      </c>
      <c r="L11" s="955">
        <f>ROUND((K11/G11)*F11,2)</f>
        <v>0.05</v>
      </c>
      <c r="M11" s="334">
        <f>'G-48 Price Out'!D13</f>
        <v>14.27</v>
      </c>
      <c r="N11" s="336">
        <f>M11+L11</f>
        <v>14.32</v>
      </c>
      <c r="P11" s="992">
        <f>L11*E11</f>
        <v>0.51428571428571423</v>
      </c>
      <c r="R11" s="336"/>
    </row>
    <row r="12" spans="1:18" s="320" customFormat="1" ht="12" customHeight="1">
      <c r="A12" s="338" t="s">
        <v>768</v>
      </c>
      <c r="B12" s="334">
        <v>16.47</v>
      </c>
      <c r="C12" s="335">
        <f>'G-48 Price Out'!G14</f>
        <v>162638</v>
      </c>
      <c r="E12" s="335">
        <f>'G-48 Price Out'!K14*References!$H$19</f>
        <v>10529.779305343425</v>
      </c>
      <c r="F12" s="932">
        <f>References!$C$7</f>
        <v>4.333333333333333</v>
      </c>
      <c r="G12" s="340">
        <f t="shared" ref="G12:G26" si="0">E12*F12</f>
        <v>45629.043656488175</v>
      </c>
      <c r="H12" s="320">
        <f>References!$C$14</f>
        <v>34</v>
      </c>
      <c r="I12" s="934">
        <f t="shared" ref="I12:I26" si="1">G12*H12</f>
        <v>1551387.484320598</v>
      </c>
      <c r="J12" s="934">
        <f t="shared" ref="J12:J26" si="2">I12*$E$126</f>
        <v>1106959.6613566503</v>
      </c>
      <c r="K12" s="943">
        <f>J12*References!$D$57</f>
        <v>830.21974601748843</v>
      </c>
      <c r="L12" s="955">
        <f t="shared" ref="L12:L26" si="3">ROUND((K12/G12)*F12,2)</f>
        <v>0.08</v>
      </c>
      <c r="M12" s="334">
        <f>'G-48 Price Out'!D14</f>
        <v>16.47</v>
      </c>
      <c r="N12" s="336">
        <f t="shared" ref="N12:N26" si="4">M12+L12</f>
        <v>16.549999999999997</v>
      </c>
      <c r="P12" s="992">
        <f>L12*E12</f>
        <v>842.38234442747398</v>
      </c>
      <c r="Q12" s="943"/>
      <c r="R12" s="336"/>
    </row>
    <row r="13" spans="1:18" s="320" customFormat="1" ht="12" customHeight="1">
      <c r="A13" s="338" t="s">
        <v>770</v>
      </c>
      <c r="B13" s="334">
        <v>22.55</v>
      </c>
      <c r="C13" s="335">
        <f>'G-48 Price Out'!G15</f>
        <v>87380.37</v>
      </c>
      <c r="E13" s="335">
        <f>'G-48 Price Out'!K15*References!$H$19</f>
        <v>4161.8386803808244</v>
      </c>
      <c r="F13" s="932">
        <f>References!$C$7</f>
        <v>4.333333333333333</v>
      </c>
      <c r="G13" s="340">
        <f t="shared" si="0"/>
        <v>18034.634281650237</v>
      </c>
      <c r="H13" s="320">
        <f>References!$C$15</f>
        <v>51</v>
      </c>
      <c r="I13" s="934">
        <f t="shared" si="1"/>
        <v>919766.34836416203</v>
      </c>
      <c r="J13" s="934">
        <f t="shared" si="2"/>
        <v>656279.78554842691</v>
      </c>
      <c r="K13" s="943">
        <f>J13*References!$D$57</f>
        <v>492.20983916132064</v>
      </c>
      <c r="L13" s="955">
        <f t="shared" si="3"/>
        <v>0.12</v>
      </c>
      <c r="M13" s="334">
        <f>'G-48 Price Out'!D15</f>
        <v>22.55</v>
      </c>
      <c r="N13" s="336">
        <f t="shared" si="4"/>
        <v>22.67</v>
      </c>
      <c r="P13" s="992">
        <f t="shared" ref="P13:P26" si="5">L13*E13</f>
        <v>499.42064164569888</v>
      </c>
      <c r="R13" s="336"/>
    </row>
    <row r="14" spans="1:18" s="320" customFormat="1" ht="12" customHeight="1">
      <c r="A14" s="338" t="s">
        <v>772</v>
      </c>
      <c r="B14" s="334">
        <v>29.34</v>
      </c>
      <c r="C14" s="335">
        <f>'G-48 Price Out'!G16</f>
        <v>12200.68</v>
      </c>
      <c r="E14" s="335">
        <f>'G-48 Price Out'!K16*References!$H$19</f>
        <v>455.30798288277111</v>
      </c>
      <c r="F14" s="932">
        <f>References!$C$7</f>
        <v>4.333333333333333</v>
      </c>
      <c r="G14" s="340">
        <f t="shared" si="0"/>
        <v>1973.0012591586747</v>
      </c>
      <c r="H14" s="320">
        <f>References!$C$16</f>
        <v>77</v>
      </c>
      <c r="I14" s="934">
        <f t="shared" si="1"/>
        <v>151921.09695521794</v>
      </c>
      <c r="J14" s="934">
        <f t="shared" si="2"/>
        <v>108400.07911506784</v>
      </c>
      <c r="K14" s="943">
        <f>J14*References!$D$57</f>
        <v>81.300059336300947</v>
      </c>
      <c r="L14" s="955">
        <f t="shared" si="3"/>
        <v>0.18</v>
      </c>
      <c r="M14" s="334">
        <f>'G-48 Price Out'!D16</f>
        <v>29.34</v>
      </c>
      <c r="N14" s="336">
        <f t="shared" si="4"/>
        <v>29.52</v>
      </c>
      <c r="P14" s="992">
        <f t="shared" si="5"/>
        <v>81.955436918898798</v>
      </c>
      <c r="R14" s="336"/>
    </row>
    <row r="15" spans="1:18" s="320" customFormat="1" ht="12" customHeight="1">
      <c r="A15" s="338" t="s">
        <v>774</v>
      </c>
      <c r="B15" s="334">
        <v>35.700000000000003</v>
      </c>
      <c r="C15" s="335">
        <f>'G-48 Price Out'!G17</f>
        <v>3146.3900000000003</v>
      </c>
      <c r="E15" s="335">
        <f>'G-48 Price Out'!K17*References!$H$19</f>
        <v>89.648784951703107</v>
      </c>
      <c r="F15" s="932">
        <f>References!$C$7</f>
        <v>4.333333333333333</v>
      </c>
      <c r="G15" s="340">
        <f t="shared" si="0"/>
        <v>388.47806812404679</v>
      </c>
      <c r="H15" s="320">
        <f>References!$C$17</f>
        <v>97</v>
      </c>
      <c r="I15" s="934">
        <f t="shared" si="1"/>
        <v>37682.372608032536</v>
      </c>
      <c r="J15" s="934">
        <f t="shared" si="2"/>
        <v>26887.458383467754</v>
      </c>
      <c r="K15" s="943">
        <f>J15*References!$D$57</f>
        <v>20.165593787600834</v>
      </c>
      <c r="L15" s="955">
        <f t="shared" si="3"/>
        <v>0.22</v>
      </c>
      <c r="M15" s="334">
        <f>'G-48 Price Out'!D17</f>
        <v>35.700000000000003</v>
      </c>
      <c r="N15" s="336">
        <f t="shared" si="4"/>
        <v>35.92</v>
      </c>
      <c r="P15" s="992">
        <f t="shared" si="5"/>
        <v>19.722732689374684</v>
      </c>
      <c r="R15" s="336"/>
    </row>
    <row r="16" spans="1:18" s="320" customFormat="1" ht="12" customHeight="1">
      <c r="A16" s="338" t="s">
        <v>776</v>
      </c>
      <c r="B16" s="334">
        <v>43.27</v>
      </c>
      <c r="C16" s="335">
        <f>'G-48 Price Out'!G18</f>
        <v>257.04000000000002</v>
      </c>
      <c r="E16" s="335">
        <f>'G-48 Price Out'!K18*References!$H$19</f>
        <v>7.7142857142857135</v>
      </c>
      <c r="F16" s="932">
        <f>References!$C$7</f>
        <v>4.333333333333333</v>
      </c>
      <c r="G16" s="340">
        <f t="shared" si="0"/>
        <v>33.428571428571423</v>
      </c>
      <c r="H16" s="320">
        <f>References!$C$18</f>
        <v>117</v>
      </c>
      <c r="I16" s="934">
        <f t="shared" si="1"/>
        <v>3911.1428571428564</v>
      </c>
      <c r="J16" s="934">
        <f t="shared" si="2"/>
        <v>2790.7130980603174</v>
      </c>
      <c r="K16" s="943">
        <f>J16*References!$D$57</f>
        <v>2.0930348235452398</v>
      </c>
      <c r="L16" s="955">
        <f t="shared" si="3"/>
        <v>0.27</v>
      </c>
      <c r="M16" s="334">
        <f>'G-48 Price Out'!D18</f>
        <v>43.27</v>
      </c>
      <c r="N16" s="336">
        <f t="shared" si="4"/>
        <v>43.540000000000006</v>
      </c>
      <c r="P16" s="992">
        <f t="shared" si="5"/>
        <v>2.0828571428571427</v>
      </c>
      <c r="R16" s="336"/>
    </row>
    <row r="17" spans="1:18" s="320" customFormat="1" ht="12" customHeight="1">
      <c r="A17" s="338" t="s">
        <v>778</v>
      </c>
      <c r="B17" s="334">
        <v>51.36</v>
      </c>
      <c r="C17" s="335">
        <f>'G-48 Price Out'!G19</f>
        <v>904.1</v>
      </c>
      <c r="E17" s="335">
        <f>'G-48 Price Out'!K19*References!$H$19</f>
        <v>20.571428571428573</v>
      </c>
      <c r="F17" s="932">
        <f>References!$C$7</f>
        <v>4.333333333333333</v>
      </c>
      <c r="G17" s="340">
        <f t="shared" si="0"/>
        <v>89.142857142857139</v>
      </c>
      <c r="H17" s="320">
        <f>References!$C$19</f>
        <v>137</v>
      </c>
      <c r="I17" s="934">
        <f t="shared" si="1"/>
        <v>12212.571428571428</v>
      </c>
      <c r="J17" s="934">
        <f t="shared" si="2"/>
        <v>8714.0215255672592</v>
      </c>
      <c r="K17" s="943">
        <f>J17*References!$D$57</f>
        <v>6.5355161441754506</v>
      </c>
      <c r="L17" s="955">
        <f t="shared" si="3"/>
        <v>0.32</v>
      </c>
      <c r="M17" s="334">
        <f>'G-48 Price Out'!D19</f>
        <v>51.36</v>
      </c>
      <c r="N17" s="336">
        <f t="shared" si="4"/>
        <v>51.68</v>
      </c>
      <c r="P17" s="992">
        <f t="shared" si="5"/>
        <v>6.5828571428571436</v>
      </c>
      <c r="R17" s="336"/>
    </row>
    <row r="18" spans="1:18" s="320" customFormat="1" ht="12" customHeight="1">
      <c r="A18" s="338" t="s">
        <v>780</v>
      </c>
      <c r="B18" s="334">
        <v>10.44</v>
      </c>
      <c r="C18" s="335">
        <f>'G-48 Price Out'!G20</f>
        <v>10458.91</v>
      </c>
      <c r="E18" s="335">
        <f>'G-48 Price Out'!K20*References!$H$19</f>
        <v>1045.3341572071108</v>
      </c>
      <c r="F18" s="932">
        <f>References!$C$8</f>
        <v>2.1666666666666665</v>
      </c>
      <c r="G18" s="340">
        <f t="shared" si="0"/>
        <v>2264.8906739487397</v>
      </c>
      <c r="H18" s="320">
        <f>References!$C$14</f>
        <v>34</v>
      </c>
      <c r="I18" s="934">
        <f t="shared" si="1"/>
        <v>77006.282914257157</v>
      </c>
      <c r="J18" s="934">
        <f t="shared" si="2"/>
        <v>54946.201202874254</v>
      </c>
      <c r="K18" s="943">
        <f>J18*References!$D$57</f>
        <v>41.20965090215573</v>
      </c>
      <c r="L18" s="955">
        <f t="shared" si="3"/>
        <v>0.04</v>
      </c>
      <c r="M18" s="334">
        <f>'G-48 Price Out'!D20</f>
        <v>10.44</v>
      </c>
      <c r="N18" s="336">
        <f t="shared" si="4"/>
        <v>10.479999999999999</v>
      </c>
      <c r="P18" s="992">
        <f t="shared" si="5"/>
        <v>41.813366288284435</v>
      </c>
      <c r="R18" s="336"/>
    </row>
    <row r="19" spans="1:18" s="320" customFormat="1" ht="12" customHeight="1">
      <c r="A19" s="338" t="s">
        <v>782</v>
      </c>
      <c r="B19" s="334">
        <v>5.22</v>
      </c>
      <c r="C19" s="335">
        <f>'G-48 Price Out'!G21</f>
        <v>1556.3700000000001</v>
      </c>
      <c r="E19" s="335">
        <f>'G-48 Price Out'!K21*References!$H$19</f>
        <v>312.15465838509323</v>
      </c>
      <c r="F19" s="932">
        <f>References!$C$9</f>
        <v>1</v>
      </c>
      <c r="G19" s="340">
        <f t="shared" si="0"/>
        <v>312.15465838509323</v>
      </c>
      <c r="H19" s="320">
        <f>References!$C$14</f>
        <v>34</v>
      </c>
      <c r="I19" s="934">
        <f t="shared" si="1"/>
        <v>10613.25838509317</v>
      </c>
      <c r="J19" s="934">
        <f t="shared" si="2"/>
        <v>7572.8655971453736</v>
      </c>
      <c r="K19" s="943">
        <f>J19*References!$D$57</f>
        <v>5.6796491978590353</v>
      </c>
      <c r="L19" s="955">
        <f t="shared" si="3"/>
        <v>0.02</v>
      </c>
      <c r="M19" s="334">
        <f>'G-48 Price Out'!D21</f>
        <v>5.22</v>
      </c>
      <c r="N19" s="336">
        <f t="shared" si="4"/>
        <v>5.2399999999999993</v>
      </c>
      <c r="P19" s="992">
        <f t="shared" si="5"/>
        <v>6.2430931677018648</v>
      </c>
      <c r="R19" s="336"/>
    </row>
    <row r="20" spans="1:18" s="320" customFormat="1" ht="12" customHeight="1">
      <c r="A20" s="338" t="s">
        <v>784</v>
      </c>
      <c r="B20" s="334">
        <v>26.7</v>
      </c>
      <c r="C20" s="335">
        <f>'G-48 Price Out'!G22</f>
        <v>28931.53</v>
      </c>
      <c r="E20" s="335">
        <f>'G-48 Price Out'!K22*References!$H$19</f>
        <v>1167.4734048825521</v>
      </c>
      <c r="F20" s="932">
        <f>References!$C$7</f>
        <v>4.333333333333333</v>
      </c>
      <c r="G20" s="340">
        <f t="shared" si="0"/>
        <v>5059.0514211577256</v>
      </c>
      <c r="H20" s="320">
        <f>References!$C$20</f>
        <v>40</v>
      </c>
      <c r="I20" s="934">
        <f t="shared" si="1"/>
        <v>202362.05684630902</v>
      </c>
      <c r="J20" s="934">
        <f t="shared" si="2"/>
        <v>144391.15706552519</v>
      </c>
      <c r="K20" s="943">
        <f>J20*References!$D$57</f>
        <v>108.29336779914398</v>
      </c>
      <c r="L20" s="955">
        <f t="shared" si="3"/>
        <v>0.09</v>
      </c>
      <c r="M20" s="334">
        <f>'G-48 Price Out'!D22</f>
        <v>26.7</v>
      </c>
      <c r="N20" s="336">
        <f t="shared" si="4"/>
        <v>26.79</v>
      </c>
      <c r="P20" s="992">
        <f t="shared" si="5"/>
        <v>105.07260643942969</v>
      </c>
      <c r="R20" s="336"/>
    </row>
    <row r="21" spans="1:18" s="320" customFormat="1" ht="12" customHeight="1">
      <c r="A21" s="338" t="s">
        <v>786</v>
      </c>
      <c r="B21" s="334">
        <v>28.85</v>
      </c>
      <c r="C21" s="335">
        <f>'G-48 Price Out'!G23</f>
        <v>696.95</v>
      </c>
      <c r="E21" s="335">
        <f>'G-48 Price Out'!K23*References!$H$19</f>
        <v>29.086720321931594</v>
      </c>
      <c r="F21" s="932">
        <f>References!$C$9</f>
        <v>1</v>
      </c>
      <c r="G21" s="340">
        <f t="shared" si="0"/>
        <v>29.086720321931594</v>
      </c>
      <c r="H21" s="320">
        <f>References!$C$21</f>
        <v>47</v>
      </c>
      <c r="I21" s="934">
        <f t="shared" si="1"/>
        <v>1367.0758551307849</v>
      </c>
      <c r="J21" s="934">
        <f t="shared" si="2"/>
        <v>975.44800440822689</v>
      </c>
      <c r="K21" s="943">
        <f>J21*References!$D$57</f>
        <v>0.73158600330617085</v>
      </c>
      <c r="L21" s="955">
        <f t="shared" si="3"/>
        <v>0.03</v>
      </c>
      <c r="M21" s="334">
        <f>'G-48 Price Out'!D23</f>
        <v>28.85</v>
      </c>
      <c r="N21" s="336">
        <f t="shared" si="4"/>
        <v>28.880000000000003</v>
      </c>
      <c r="P21" s="992">
        <f t="shared" si="5"/>
        <v>0.87260160965794775</v>
      </c>
      <c r="R21" s="336"/>
    </row>
    <row r="22" spans="1:18" s="320" customFormat="1" ht="12" customHeight="1">
      <c r="A22" s="338" t="s">
        <v>788</v>
      </c>
      <c r="B22" s="334">
        <v>33.340000000000003</v>
      </c>
      <c r="C22" s="335">
        <f>'G-48 Price Out'!G24</f>
        <v>2931.75</v>
      </c>
      <c r="E22" s="335">
        <f>'G-48 Price Out'!K24*References!$H$19</f>
        <v>91.076601483479436</v>
      </c>
      <c r="F22" s="932">
        <f>References!$C$7</f>
        <v>4.333333333333333</v>
      </c>
      <c r="G22" s="340">
        <f t="shared" si="0"/>
        <v>394.66527309507751</v>
      </c>
      <c r="H22" s="320">
        <f>References!$C$21</f>
        <v>47</v>
      </c>
      <c r="I22" s="934">
        <f t="shared" si="1"/>
        <v>18549.267835468643</v>
      </c>
      <c r="J22" s="934">
        <f t="shared" si="2"/>
        <v>13235.43695504051</v>
      </c>
      <c r="K22" s="943">
        <f>J22*References!$D$57</f>
        <v>9.9265777162803914</v>
      </c>
      <c r="L22" s="955">
        <f t="shared" si="3"/>
        <v>0.11</v>
      </c>
      <c r="M22" s="334">
        <f>'G-48 Price Out'!D24</f>
        <v>33.340000000000003</v>
      </c>
      <c r="N22" s="336">
        <f t="shared" si="4"/>
        <v>33.450000000000003</v>
      </c>
      <c r="P22" s="992">
        <f t="shared" si="5"/>
        <v>10.018426163182738</v>
      </c>
      <c r="R22" s="336"/>
    </row>
    <row r="23" spans="1:18" s="320" customFormat="1" ht="12" customHeight="1">
      <c r="A23" s="338" t="s">
        <v>790</v>
      </c>
      <c r="B23" s="334">
        <v>5.22</v>
      </c>
      <c r="C23" s="335">
        <f>'G-48 Price Out'!G25</f>
        <v>3005.3</v>
      </c>
      <c r="E23" s="335">
        <f>'G-48 Price Out'!K25*References!$H$19</f>
        <v>613.62722924252171</v>
      </c>
      <c r="F23" s="932">
        <f>References!$C$9</f>
        <v>1</v>
      </c>
      <c r="G23" s="340">
        <f t="shared" si="0"/>
        <v>613.62722924252171</v>
      </c>
      <c r="H23" s="320">
        <f>References!$C$14</f>
        <v>34</v>
      </c>
      <c r="I23" s="934">
        <f t="shared" si="1"/>
        <v>20863.325794245739</v>
      </c>
      <c r="J23" s="934">
        <f t="shared" si="2"/>
        <v>14886.583970403566</v>
      </c>
      <c r="K23" s="943">
        <f>J23*References!$D$57</f>
        <v>11.164937977802685</v>
      </c>
      <c r="L23" s="955">
        <f t="shared" si="3"/>
        <v>0.02</v>
      </c>
      <c r="M23" s="334">
        <f>'G-48 Price Out'!D25</f>
        <v>5.22</v>
      </c>
      <c r="N23" s="336">
        <f t="shared" si="4"/>
        <v>5.2399999999999993</v>
      </c>
      <c r="P23" s="992">
        <f t="shared" si="5"/>
        <v>12.272544584850435</v>
      </c>
      <c r="R23" s="336"/>
    </row>
    <row r="24" spans="1:18" s="320" customFormat="1" ht="12" customHeight="1">
      <c r="A24" s="338" t="s">
        <v>792</v>
      </c>
      <c r="B24" s="334">
        <v>3.82</v>
      </c>
      <c r="C24" s="335">
        <f>'G-48 Price Out'!G26</f>
        <v>20381.23</v>
      </c>
      <c r="E24" s="335">
        <f>'G-48 Price Out'!K26*References!$H$19</f>
        <v>6055.9575589005226</v>
      </c>
      <c r="F24" s="932">
        <f>References!$C$9</f>
        <v>1</v>
      </c>
      <c r="G24" s="340">
        <f t="shared" si="0"/>
        <v>6055.9575589005226</v>
      </c>
      <c r="H24" s="320">
        <f>References!$C$14</f>
        <v>34</v>
      </c>
      <c r="I24" s="934">
        <f t="shared" si="1"/>
        <v>205902.55700261777</v>
      </c>
      <c r="J24" s="934">
        <f t="shared" si="2"/>
        <v>146917.40591932269</v>
      </c>
      <c r="K24" s="943">
        <f>J24*References!$D$57</f>
        <v>110.18805443949211</v>
      </c>
      <c r="L24" s="955">
        <f>ROUND((K24/G24)*F24,2)</f>
        <v>0.02</v>
      </c>
      <c r="M24" s="334">
        <f>'G-48 Price Out'!D26</f>
        <v>3.82</v>
      </c>
      <c r="N24" s="336">
        <f t="shared" si="4"/>
        <v>3.84</v>
      </c>
      <c r="P24" s="992">
        <f t="shared" si="5"/>
        <v>121.11915117801045</v>
      </c>
      <c r="R24" s="336"/>
    </row>
    <row r="25" spans="1:18" s="320" customFormat="1" ht="12" customHeight="1">
      <c r="A25" s="338" t="s">
        <v>794</v>
      </c>
      <c r="B25" s="334">
        <v>3.67</v>
      </c>
      <c r="C25" s="335">
        <f>'G-48 Price Out'!G27</f>
        <v>0</v>
      </c>
      <c r="E25" s="335">
        <v>0.01</v>
      </c>
      <c r="F25" s="932">
        <f>References!$C$9</f>
        <v>1</v>
      </c>
      <c r="G25" s="340">
        <f t="shared" si="0"/>
        <v>0.01</v>
      </c>
      <c r="H25" s="320">
        <f>References!$C$14</f>
        <v>34</v>
      </c>
      <c r="I25" s="934">
        <f t="shared" si="1"/>
        <v>0.34</v>
      </c>
      <c r="J25" s="934">
        <f t="shared" si="2"/>
        <v>0.24259979448402208</v>
      </c>
      <c r="K25" s="943">
        <f>J25*References!$D$57</f>
        <v>1.8194984586301672E-4</v>
      </c>
      <c r="L25" s="955">
        <f t="shared" si="3"/>
        <v>0.02</v>
      </c>
      <c r="M25" s="334">
        <f>'G-48 Price Out'!D27</f>
        <v>3.67</v>
      </c>
      <c r="N25" s="336">
        <f t="shared" si="4"/>
        <v>3.69</v>
      </c>
      <c r="P25" s="992">
        <f t="shared" si="5"/>
        <v>2.0000000000000001E-4</v>
      </c>
      <c r="R25" s="336"/>
    </row>
    <row r="26" spans="1:18" s="320" customFormat="1" ht="12" customHeight="1">
      <c r="A26" s="338" t="s">
        <v>796</v>
      </c>
      <c r="B26" s="334">
        <v>14.81</v>
      </c>
      <c r="C26" s="335">
        <f>'G-48 Price Out'!G28</f>
        <v>134.54000000000002</v>
      </c>
      <c r="E26" s="335">
        <f>'G-48 Price Out'!K28*References!$H$19</f>
        <v>10.154914632970002</v>
      </c>
      <c r="F26" s="932">
        <f>References!$C$9</f>
        <v>1</v>
      </c>
      <c r="G26" s="340">
        <f t="shared" si="0"/>
        <v>10.154914632970002</v>
      </c>
      <c r="H26" s="320">
        <f>References!$C$27</f>
        <v>125</v>
      </c>
      <c r="I26" s="934">
        <f t="shared" si="1"/>
        <v>1269.3643291212502</v>
      </c>
      <c r="J26" s="934">
        <f t="shared" si="2"/>
        <v>905.72801579459951</v>
      </c>
      <c r="K26" s="943">
        <f>J26*References!$D$57</f>
        <v>0.67929601184595023</v>
      </c>
      <c r="L26" s="955">
        <f t="shared" si="3"/>
        <v>7.0000000000000007E-2</v>
      </c>
      <c r="M26" s="334">
        <f>'G-48 Price Out'!D28</f>
        <v>14.81</v>
      </c>
      <c r="N26" s="336">
        <f t="shared" si="4"/>
        <v>14.88</v>
      </c>
      <c r="P26" s="992">
        <f t="shared" si="5"/>
        <v>0.71084402430790017</v>
      </c>
      <c r="R26" s="336"/>
    </row>
    <row r="27" spans="1:18" s="320" customFormat="1" ht="12" customHeight="1">
      <c r="A27" s="338" t="s">
        <v>798</v>
      </c>
      <c r="B27" s="334">
        <v>2</v>
      </c>
      <c r="C27" s="335">
        <f>'G-48 Price Out'!G29</f>
        <v>0</v>
      </c>
      <c r="E27" s="335"/>
      <c r="F27" s="335"/>
      <c r="G27" s="321"/>
      <c r="M27" s="334"/>
    </row>
    <row r="28" spans="1:18" s="320" customFormat="1" ht="12" customHeight="1">
      <c r="A28" s="341" t="s">
        <v>800</v>
      </c>
      <c r="B28" s="334">
        <v>4</v>
      </c>
      <c r="C28" s="335">
        <f>'G-48 Price Out'!G30</f>
        <v>48</v>
      </c>
      <c r="E28" s="335"/>
      <c r="F28" s="335"/>
      <c r="G28" s="321"/>
      <c r="M28" s="334"/>
    </row>
    <row r="29" spans="1:18" s="320" customFormat="1" ht="12" customHeight="1">
      <c r="A29" s="341" t="s">
        <v>802</v>
      </c>
      <c r="B29" s="334">
        <v>2.2999999999999998</v>
      </c>
      <c r="C29" s="335">
        <f>'G-48 Price Out'!G31</f>
        <v>16.100000000000001</v>
      </c>
      <c r="E29" s="335"/>
      <c r="F29" s="335"/>
      <c r="G29" s="321"/>
      <c r="M29" s="334"/>
    </row>
    <row r="30" spans="1:18" s="320" customFormat="1" ht="12" customHeight="1">
      <c r="A30" s="341" t="s">
        <v>804</v>
      </c>
      <c r="B30" s="334">
        <v>4.5999999999999996</v>
      </c>
      <c r="C30" s="335">
        <f>'G-48 Price Out'!G32</f>
        <v>67.850000000000009</v>
      </c>
      <c r="E30" s="335"/>
      <c r="F30" s="335"/>
      <c r="G30" s="321"/>
      <c r="M30" s="334"/>
    </row>
    <row r="31" spans="1:18" s="320" customFormat="1" ht="12" customHeight="1">
      <c r="A31" s="341" t="s">
        <v>806</v>
      </c>
      <c r="B31" s="334">
        <v>4.5999999999999996</v>
      </c>
      <c r="C31" s="335">
        <f>'G-48 Price Out'!G33</f>
        <v>917.2399999999999</v>
      </c>
      <c r="E31" s="335"/>
      <c r="F31" s="335"/>
      <c r="G31" s="321"/>
      <c r="M31" s="334"/>
    </row>
    <row r="32" spans="1:18" s="320" customFormat="1" ht="12" customHeight="1">
      <c r="A32" s="341" t="s">
        <v>808</v>
      </c>
      <c r="B32" s="334">
        <v>2.2999999999999998</v>
      </c>
      <c r="C32" s="335">
        <f>'G-48 Price Out'!G34</f>
        <v>690.25</v>
      </c>
      <c r="G32" s="321"/>
      <c r="M32" s="334"/>
    </row>
    <row r="33" spans="1:18" s="320" customFormat="1" ht="12" customHeight="1">
      <c r="A33" s="338" t="s">
        <v>810</v>
      </c>
      <c r="B33" s="334">
        <v>2.2999999999999998</v>
      </c>
      <c r="C33" s="335">
        <f>'G-48 Price Out'!G35</f>
        <v>1696.61</v>
      </c>
      <c r="E33" s="335"/>
      <c r="F33" s="335"/>
      <c r="G33" s="321"/>
      <c r="M33" s="334"/>
    </row>
    <row r="34" spans="1:18" s="320" customFormat="1" ht="12" customHeight="1">
      <c r="A34" s="338" t="s">
        <v>812</v>
      </c>
      <c r="B34" s="334">
        <v>2.2999999999999998</v>
      </c>
      <c r="C34" s="335">
        <f>'G-48 Price Out'!G36</f>
        <v>46.000000000000007</v>
      </c>
      <c r="E34" s="335"/>
      <c r="F34" s="335"/>
      <c r="G34" s="321"/>
      <c r="M34" s="334"/>
    </row>
    <row r="35" spans="1:18" s="320" customFormat="1" ht="12" customHeight="1">
      <c r="A35" s="338" t="s">
        <v>814</v>
      </c>
      <c r="B35" s="334"/>
      <c r="C35" s="335">
        <f>'G-48 Price Out'!G37</f>
        <v>-507.03</v>
      </c>
      <c r="G35" s="321"/>
      <c r="M35" s="334"/>
    </row>
    <row r="36" spans="1:18" s="320" customFormat="1" ht="12" customHeight="1">
      <c r="A36" s="338" t="s">
        <v>816</v>
      </c>
      <c r="B36" s="334"/>
      <c r="C36" s="335">
        <f>'G-48 Price Out'!G38</f>
        <v>5097.12</v>
      </c>
      <c r="E36" s="335"/>
      <c r="F36" s="335"/>
      <c r="M36" s="334"/>
    </row>
    <row r="37" spans="1:18" s="320" customFormat="1" ht="12" customHeight="1">
      <c r="A37" s="338" t="s">
        <v>818</v>
      </c>
      <c r="B37" s="334"/>
      <c r="C37" s="335">
        <f>'G-48 Price Out'!G39</f>
        <v>2726.0499999999997</v>
      </c>
      <c r="E37" s="335"/>
      <c r="F37" s="335"/>
      <c r="M37" s="334"/>
    </row>
    <row r="38" spans="1:18" s="320" customFormat="1" ht="12" customHeight="1">
      <c r="A38" s="342"/>
      <c r="B38" s="334"/>
      <c r="C38" s="335"/>
      <c r="G38" s="321"/>
      <c r="M38" s="334"/>
    </row>
    <row r="39" spans="1:18" s="343" customFormat="1" ht="12" customHeight="1" thickBot="1">
      <c r="A39" s="344" t="s">
        <v>819</v>
      </c>
      <c r="B39" s="345"/>
      <c r="C39" s="346">
        <f>SUM(C11:C38)</f>
        <v>345506.96999999974</v>
      </c>
      <c r="E39" s="347">
        <f>+SUM(E11:E36)</f>
        <v>24600.021427186333</v>
      </c>
      <c r="F39" s="347"/>
      <c r="G39" s="347">
        <f>+SUM(G11:G36)</f>
        <v>80931.898572248567</v>
      </c>
      <c r="I39" s="347">
        <f>+SUM(I11:I36)</f>
        <v>3215705.974067396</v>
      </c>
      <c r="J39" s="347">
        <f>+SUM(J11:J36)</f>
        <v>2294498.8483229191</v>
      </c>
      <c r="K39" s="946">
        <f>+SUM(K11:K36)</f>
        <v>1720.8741362421911</v>
      </c>
      <c r="M39" s="345"/>
      <c r="P39" s="946">
        <f>+SUM(P11:P36)</f>
        <v>1750.7839891368717</v>
      </c>
      <c r="R39" s="946"/>
    </row>
    <row r="40" spans="1:18" s="320" customFormat="1" ht="12" customHeight="1">
      <c r="A40" s="348"/>
      <c r="B40" s="334"/>
      <c r="C40" s="336"/>
      <c r="E40" s="335"/>
      <c r="F40" s="335"/>
      <c r="G40" s="321"/>
      <c r="M40" s="334"/>
      <c r="P40" s="993"/>
    </row>
    <row r="41" spans="1:18" s="320" customFormat="1" ht="12" customHeight="1">
      <c r="A41" s="351"/>
      <c r="B41" s="334"/>
      <c r="C41" s="336"/>
      <c r="E41" s="335"/>
      <c r="F41" s="335"/>
      <c r="G41" s="321"/>
      <c r="M41" s="334"/>
    </row>
    <row r="42" spans="1:18" s="320" customFormat="1" ht="12" customHeight="1">
      <c r="B42" s="334"/>
      <c r="C42" s="336"/>
      <c r="E42" s="335"/>
      <c r="F42" s="335"/>
      <c r="G42" s="321"/>
      <c r="M42" s="334"/>
    </row>
    <row r="43" spans="1:18" ht="12" customHeight="1">
      <c r="A43" s="332" t="s">
        <v>820</v>
      </c>
    </row>
    <row r="44" spans="1:18" ht="12" customHeight="1">
      <c r="A44" s="332"/>
    </row>
    <row r="45" spans="1:18" s="320" customFormat="1" ht="12" customHeight="1">
      <c r="A45" s="333" t="s">
        <v>821</v>
      </c>
      <c r="B45" s="334"/>
      <c r="C45" s="336"/>
      <c r="E45" s="335"/>
      <c r="F45" s="335"/>
      <c r="G45" s="321"/>
      <c r="L45" s="1111" t="s">
        <v>1617</v>
      </c>
      <c r="M45" s="1112" t="s">
        <v>1617</v>
      </c>
      <c r="N45" s="1111" t="s">
        <v>1617</v>
      </c>
      <c r="O45" s="1111"/>
      <c r="P45" s="1111"/>
      <c r="Q45" s="1111" t="s">
        <v>1618</v>
      </c>
    </row>
    <row r="46" spans="1:18" s="320" customFormat="1" ht="12" customHeight="1">
      <c r="A46" s="352" t="s">
        <v>823</v>
      </c>
      <c r="B46" s="334">
        <v>61.14</v>
      </c>
      <c r="C46" s="335">
        <f>'G-48 Price Out'!G48</f>
        <v>20008.410000000003</v>
      </c>
      <c r="E46" s="335">
        <f>'G-48 Price Out'!K48*References!$H$19</f>
        <v>360.53852478326866</v>
      </c>
      <c r="F46" s="932">
        <f>References!$C$7</f>
        <v>4.333333333333333</v>
      </c>
      <c r="G46" s="340">
        <f t="shared" ref="G46:G87" si="6">E46*F46</f>
        <v>1562.3336073941641</v>
      </c>
      <c r="H46" s="320">
        <f>References!$C$28</f>
        <v>175</v>
      </c>
      <c r="I46" s="934">
        <f t="shared" ref="I46:I87" si="7">G46*H46</f>
        <v>273408.38129397872</v>
      </c>
      <c r="J46" s="934">
        <f t="shared" ref="J46:J87" si="8">I46*$E$126</f>
        <v>195084.7562121423</v>
      </c>
      <c r="K46" s="943">
        <f>J46*References!$D$57</f>
        <v>146.31356715910684</v>
      </c>
      <c r="L46" s="955">
        <f>K46/G46*F46</f>
        <v>0.40581950915525777</v>
      </c>
      <c r="M46" s="334">
        <f>'G-48 Price Out'!D48</f>
        <v>61.14</v>
      </c>
      <c r="N46" s="336">
        <f>M46+L46</f>
        <v>61.545819509155258</v>
      </c>
      <c r="P46" s="336">
        <f>L46*E46</f>
        <v>146.31356715910684</v>
      </c>
      <c r="Q46" s="955">
        <f>L46/F46</f>
        <v>9.3650655958905649E-2</v>
      </c>
    </row>
    <row r="47" spans="1:18" s="320" customFormat="1" ht="12" customHeight="1">
      <c r="A47" s="352" t="s">
        <v>825</v>
      </c>
      <c r="B47" s="334">
        <v>122.28</v>
      </c>
      <c r="C47" s="335">
        <f>'G-48 Price Out'!G49</f>
        <v>1756.84</v>
      </c>
      <c r="E47" s="335">
        <f>'G-48 Price Out'!K49*References!$H$19</f>
        <v>17.399936728883265</v>
      </c>
      <c r="F47" s="932">
        <f>References!$C$6</f>
        <v>8.6666666666666661</v>
      </c>
      <c r="G47" s="340">
        <f t="shared" si="6"/>
        <v>150.79945165032163</v>
      </c>
      <c r="H47" s="320">
        <f>References!$C$28</f>
        <v>175</v>
      </c>
      <c r="I47" s="934">
        <f t="shared" si="7"/>
        <v>26389.904038806286</v>
      </c>
      <c r="J47" s="934">
        <f t="shared" si="8"/>
        <v>18829.956753727849</v>
      </c>
      <c r="K47" s="943">
        <f>J47*References!$D$57</f>
        <v>14.122467565295899</v>
      </c>
      <c r="L47" s="955">
        <f t="shared" ref="L47:L86" si="9">K47/G47*F47</f>
        <v>0.81163901831051566</v>
      </c>
      <c r="M47" s="334">
        <f>'G-48 Price Out'!D49</f>
        <v>122.28</v>
      </c>
      <c r="N47" s="336">
        <f t="shared" ref="N47:N87" si="10">M47+L47</f>
        <v>123.09163901831052</v>
      </c>
      <c r="P47" s="336">
        <f t="shared" ref="P47:P87" si="11">L47*E47</f>
        <v>14.122467565295898</v>
      </c>
      <c r="Q47" s="955">
        <f t="shared" ref="Q47:Q87" si="12">L47/F47</f>
        <v>9.3650655958905663E-2</v>
      </c>
    </row>
    <row r="48" spans="1:18" s="320" customFormat="1" ht="12" customHeight="1">
      <c r="A48" s="352" t="s">
        <v>827</v>
      </c>
      <c r="B48" s="334">
        <v>122.28</v>
      </c>
      <c r="C48" s="335">
        <f>'G-48 Price Out'!G50</f>
        <v>2660.22</v>
      </c>
      <c r="E48" s="335">
        <f>'G-48 Price Out'!K50*References!$H$19</f>
        <v>24</v>
      </c>
      <c r="F48" s="932">
        <f>References!$D$7</f>
        <v>8.6666666666666661</v>
      </c>
      <c r="G48" s="340">
        <f t="shared" si="6"/>
        <v>208</v>
      </c>
      <c r="H48" s="320">
        <f>References!$C$30</f>
        <v>324</v>
      </c>
      <c r="I48" s="934">
        <f t="shared" si="7"/>
        <v>67392</v>
      </c>
      <c r="J48" s="934">
        <f t="shared" si="8"/>
        <v>48086.133381962398</v>
      </c>
      <c r="K48" s="943">
        <f>J48*References!$D$57</f>
        <v>36.06460003647183</v>
      </c>
      <c r="L48" s="955">
        <f t="shared" si="9"/>
        <v>1.5026916681863263</v>
      </c>
      <c r="M48" s="334">
        <f>'G-48 Price Out'!D50</f>
        <v>122.28</v>
      </c>
      <c r="N48" s="336">
        <f t="shared" si="10"/>
        <v>123.78269166818633</v>
      </c>
      <c r="P48" s="336">
        <f t="shared" si="11"/>
        <v>36.06460003647183</v>
      </c>
      <c r="Q48" s="955">
        <f t="shared" si="12"/>
        <v>0.17338750017534535</v>
      </c>
    </row>
    <row r="49" spans="1:17" s="320" customFormat="1" ht="12" customHeight="1">
      <c r="A49" s="352" t="s">
        <v>829</v>
      </c>
      <c r="B49" s="334">
        <v>30.64</v>
      </c>
      <c r="C49" s="335">
        <f>'G-48 Price Out'!G51</f>
        <v>7000.76</v>
      </c>
      <c r="E49" s="335">
        <f>'G-48 Price Out'!K51*References!$H$19</f>
        <v>250.71428571428572</v>
      </c>
      <c r="F49" s="932">
        <f>References!$C$8</f>
        <v>2.1666666666666665</v>
      </c>
      <c r="G49" s="340">
        <f t="shared" si="6"/>
        <v>543.21428571428567</v>
      </c>
      <c r="H49" s="320">
        <f>References!$C$28</f>
        <v>175</v>
      </c>
      <c r="I49" s="934">
        <f t="shared" si="7"/>
        <v>95062.499999999985</v>
      </c>
      <c r="J49" s="934">
        <f t="shared" si="8"/>
        <v>67829.832244521604</v>
      </c>
      <c r="K49" s="943">
        <f>J49*References!$D$57</f>
        <v>50.872374183391251</v>
      </c>
      <c r="L49" s="955">
        <f t="shared" si="9"/>
        <v>0.20290975457762891</v>
      </c>
      <c r="M49" s="334">
        <f>'G-48 Price Out'!D51</f>
        <v>30.64</v>
      </c>
      <c r="N49" s="336">
        <f t="shared" si="10"/>
        <v>30.842909754577629</v>
      </c>
      <c r="P49" s="336">
        <f t="shared" si="11"/>
        <v>50.872374183391251</v>
      </c>
      <c r="Q49" s="955">
        <f t="shared" si="12"/>
        <v>9.3650655958905663E-2</v>
      </c>
    </row>
    <row r="50" spans="1:17" s="320" customFormat="1" ht="12" customHeight="1">
      <c r="A50" s="352" t="s">
        <v>831</v>
      </c>
      <c r="B50" s="334">
        <v>90.15</v>
      </c>
      <c r="C50" s="335">
        <f>'G-48 Price Out'!G52</f>
        <v>19026.97</v>
      </c>
      <c r="E50" s="335">
        <f>'G-48 Price Out'!K52*References!$H$19</f>
        <v>228.59450173552659</v>
      </c>
      <c r="F50" s="932">
        <f>References!$C$7</f>
        <v>4.333333333333333</v>
      </c>
      <c r="G50" s="340">
        <f t="shared" si="6"/>
        <v>990.57617418728182</v>
      </c>
      <c r="H50" s="320">
        <f>References!$C$29</f>
        <v>250</v>
      </c>
      <c r="I50" s="934">
        <f t="shared" si="7"/>
        <v>247644.04354682047</v>
      </c>
      <c r="J50" s="934">
        <f t="shared" si="8"/>
        <v>176701.15902838486</v>
      </c>
      <c r="K50" s="943">
        <f>J50*References!$D$57</f>
        <v>132.52586927128877</v>
      </c>
      <c r="L50" s="955">
        <f t="shared" si="9"/>
        <v>0.57974215593608258</v>
      </c>
      <c r="M50" s="334">
        <f>'G-48 Price Out'!D52</f>
        <v>90.15</v>
      </c>
      <c r="N50" s="336">
        <f t="shared" si="10"/>
        <v>90.729742155936094</v>
      </c>
      <c r="P50" s="336">
        <f t="shared" si="11"/>
        <v>132.52586927128877</v>
      </c>
      <c r="Q50" s="955">
        <f t="shared" si="12"/>
        <v>0.13378665136986523</v>
      </c>
    </row>
    <row r="51" spans="1:17" s="320" customFormat="1" ht="12" customHeight="1">
      <c r="A51" s="352" t="s">
        <v>833</v>
      </c>
      <c r="B51" s="334">
        <v>180.3</v>
      </c>
      <c r="C51" s="335">
        <f>'G-48 Price Out'!G53</f>
        <v>4398.42</v>
      </c>
      <c r="E51" s="335">
        <f>'G-48 Price Out'!K53*References!$H$19</f>
        <v>27.257142857142856</v>
      </c>
      <c r="F51" s="932">
        <f>References!$D$7</f>
        <v>8.6666666666666661</v>
      </c>
      <c r="G51" s="340">
        <f t="shared" si="6"/>
        <v>236.2285714285714</v>
      </c>
      <c r="H51" s="320">
        <f>References!$C$29</f>
        <v>250</v>
      </c>
      <c r="I51" s="934">
        <f t="shared" si="7"/>
        <v>59057.142857142848</v>
      </c>
      <c r="J51" s="934">
        <f t="shared" si="8"/>
        <v>42138.97270575408</v>
      </c>
      <c r="K51" s="943">
        <f>J51*References!$D$57</f>
        <v>31.604229529315589</v>
      </c>
      <c r="L51" s="955">
        <f t="shared" si="9"/>
        <v>1.1594843118721652</v>
      </c>
      <c r="M51" s="334">
        <f>'G-48 Price Out'!D53</f>
        <v>180.3</v>
      </c>
      <c r="N51" s="336">
        <f t="shared" si="10"/>
        <v>181.45948431187219</v>
      </c>
      <c r="P51" s="336">
        <f t="shared" si="11"/>
        <v>31.604229529315585</v>
      </c>
      <c r="Q51" s="955">
        <f t="shared" si="12"/>
        <v>0.13378665136986523</v>
      </c>
    </row>
    <row r="52" spans="1:17" s="320" customFormat="1" ht="12" customHeight="1">
      <c r="A52" s="352" t="s">
        <v>835</v>
      </c>
      <c r="B52" s="334">
        <v>180.3</v>
      </c>
      <c r="C52" s="335">
        <f>'G-48 Price Out'!G54</f>
        <v>7419.5500000000011</v>
      </c>
      <c r="E52" s="335">
        <f>'G-48 Price Out'!K54*References!$H$19</f>
        <v>46.850065513744212</v>
      </c>
      <c r="F52" s="932">
        <f>References!$C$6</f>
        <v>8.6666666666666661</v>
      </c>
      <c r="G52" s="340">
        <f t="shared" si="6"/>
        <v>406.03390111911648</v>
      </c>
      <c r="H52" s="320">
        <f>References!$C$29</f>
        <v>250</v>
      </c>
      <c r="I52" s="934">
        <f t="shared" si="7"/>
        <v>101508.47527977912</v>
      </c>
      <c r="J52" s="934">
        <f t="shared" si="8"/>
        <v>72429.221297826021</v>
      </c>
      <c r="K52" s="943">
        <f>J52*References!$D$57</f>
        <v>54.321915973369563</v>
      </c>
      <c r="L52" s="955">
        <f t="shared" si="9"/>
        <v>1.1594843118721652</v>
      </c>
      <c r="M52" s="334">
        <f>'G-48 Price Out'!D54</f>
        <v>180.3</v>
      </c>
      <c r="N52" s="336">
        <f t="shared" si="10"/>
        <v>181.45948431187219</v>
      </c>
      <c r="P52" s="336">
        <f t="shared" si="11"/>
        <v>54.321915973369563</v>
      </c>
      <c r="Q52" s="955">
        <f t="shared" si="12"/>
        <v>0.13378665136986523</v>
      </c>
    </row>
    <row r="53" spans="1:17" s="320" customFormat="1" ht="12" customHeight="1">
      <c r="A53" s="352" t="s">
        <v>837</v>
      </c>
      <c r="B53" s="334">
        <v>270.45</v>
      </c>
      <c r="C53" s="335">
        <f>'G-48 Price Out'!G55</f>
        <v>3379.2200000000003</v>
      </c>
      <c r="E53" s="335">
        <f>'G-48 Price Out'!K55*References!$H$19</f>
        <v>13.694501400992095</v>
      </c>
      <c r="F53" s="932">
        <f>References!$C$5</f>
        <v>13</v>
      </c>
      <c r="G53" s="340">
        <f t="shared" si="6"/>
        <v>178.02851821289724</v>
      </c>
      <c r="H53" s="320">
        <f>References!$C$29</f>
        <v>250</v>
      </c>
      <c r="I53" s="934">
        <f t="shared" si="7"/>
        <v>44507.129553224309</v>
      </c>
      <c r="J53" s="934">
        <f t="shared" si="8"/>
        <v>31757.119066723419</v>
      </c>
      <c r="K53" s="943">
        <f>J53*References!$D$57</f>
        <v>23.817839300042586</v>
      </c>
      <c r="L53" s="955">
        <f t="shared" si="9"/>
        <v>1.7392264678082481</v>
      </c>
      <c r="M53" s="334">
        <f>'G-48 Price Out'!D55</f>
        <v>270.45</v>
      </c>
      <c r="N53" s="336">
        <f t="shared" si="10"/>
        <v>272.18922646780823</v>
      </c>
      <c r="P53" s="336">
        <f t="shared" si="11"/>
        <v>23.817839300042586</v>
      </c>
      <c r="Q53" s="955">
        <f t="shared" si="12"/>
        <v>0.13378665136986523</v>
      </c>
    </row>
    <row r="54" spans="1:17" s="320" customFormat="1" ht="12" customHeight="1">
      <c r="A54" s="352" t="s">
        <v>839</v>
      </c>
      <c r="B54" s="334">
        <v>540.9</v>
      </c>
      <c r="C54" s="335">
        <f>'G-48 Price Out'!G56</f>
        <v>5268.4500000000007</v>
      </c>
      <c r="E54" s="335">
        <f>'G-48 Price Out'!K56*References!$H$19</f>
        <v>10.200014168654217</v>
      </c>
      <c r="F54" s="932">
        <f>References!$D$5</f>
        <v>26</v>
      </c>
      <c r="G54" s="340">
        <f t="shared" si="6"/>
        <v>265.20036838500965</v>
      </c>
      <c r="H54" s="320">
        <f>References!$C$29</f>
        <v>250</v>
      </c>
      <c r="I54" s="934">
        <f t="shared" si="7"/>
        <v>66300.092096252411</v>
      </c>
      <c r="J54" s="934">
        <f t="shared" si="8"/>
        <v>47307.025637713443</v>
      </c>
      <c r="K54" s="943">
        <f>J54*References!$D$57</f>
        <v>35.480269228285117</v>
      </c>
      <c r="L54" s="955">
        <f t="shared" si="9"/>
        <v>3.4784529356164962</v>
      </c>
      <c r="M54" s="334">
        <f>'G-48 Price Out'!D56</f>
        <v>540.9</v>
      </c>
      <c r="N54" s="336">
        <f t="shared" si="10"/>
        <v>544.37845293561645</v>
      </c>
      <c r="P54" s="336">
        <f t="shared" si="11"/>
        <v>35.480269228285117</v>
      </c>
      <c r="Q54" s="955">
        <f t="shared" si="12"/>
        <v>0.13378665136986523</v>
      </c>
    </row>
    <row r="55" spans="1:17" s="320" customFormat="1" ht="12" customHeight="1">
      <c r="A55" s="352" t="s">
        <v>841</v>
      </c>
      <c r="B55" s="334">
        <v>45.18</v>
      </c>
      <c r="C55" s="335">
        <f>'G-48 Price Out'!G57</f>
        <v>8092.94</v>
      </c>
      <c r="E55" s="335">
        <f>'G-48 Price Out'!K57*References!$H$19</f>
        <v>187.66454250850711</v>
      </c>
      <c r="F55" s="932">
        <f>References!$C$8</f>
        <v>2.1666666666666665</v>
      </c>
      <c r="G55" s="340">
        <f t="shared" si="6"/>
        <v>406.60650876843204</v>
      </c>
      <c r="H55" s="320">
        <f>References!$C$29</f>
        <v>250</v>
      </c>
      <c r="I55" s="934">
        <f t="shared" si="7"/>
        <v>101651.627192108</v>
      </c>
      <c r="J55" s="934">
        <f t="shared" si="8"/>
        <v>72531.364311093625</v>
      </c>
      <c r="K55" s="943">
        <f>J55*References!$D$57</f>
        <v>54.398523233320269</v>
      </c>
      <c r="L55" s="955">
        <f t="shared" si="9"/>
        <v>0.28987107796804129</v>
      </c>
      <c r="M55" s="334">
        <f>'G-48 Price Out'!D57</f>
        <v>45.18</v>
      </c>
      <c r="N55" s="336">
        <f t="shared" si="10"/>
        <v>45.469871077968044</v>
      </c>
      <c r="P55" s="336">
        <f t="shared" si="11"/>
        <v>54.398523233320262</v>
      </c>
      <c r="Q55" s="955">
        <f t="shared" si="12"/>
        <v>0.13378665136986523</v>
      </c>
    </row>
    <row r="56" spans="1:17" s="320" customFormat="1" ht="12" customHeight="1">
      <c r="A56" s="352" t="s">
        <v>843</v>
      </c>
      <c r="B56" s="334">
        <v>117.82</v>
      </c>
      <c r="C56" s="335">
        <f>'G-48 Price Out'!G58</f>
        <v>60746.520000000004</v>
      </c>
      <c r="E56" s="335">
        <f>'G-48 Price Out'!K58*References!$H$19</f>
        <v>571.1568313847747</v>
      </c>
      <c r="F56" s="932">
        <f>References!$C$7</f>
        <v>4.333333333333333</v>
      </c>
      <c r="G56" s="340">
        <f t="shared" si="6"/>
        <v>2475.0129360006904</v>
      </c>
      <c r="H56" s="320">
        <f>References!$C$30</f>
        <v>324</v>
      </c>
      <c r="I56" s="934">
        <f t="shared" si="7"/>
        <v>801904.19126422366</v>
      </c>
      <c r="J56" s="934">
        <f t="shared" si="8"/>
        <v>572181.74116640177</v>
      </c>
      <c r="K56" s="943">
        <f>J56*References!$D$57</f>
        <v>429.13630587480174</v>
      </c>
      <c r="L56" s="955">
        <f t="shared" si="9"/>
        <v>0.75134583409316313</v>
      </c>
      <c r="M56" s="334">
        <f>'G-48 Price Out'!D58</f>
        <v>117.82</v>
      </c>
      <c r="N56" s="336">
        <f t="shared" si="10"/>
        <v>118.57134583409315</v>
      </c>
      <c r="P56" s="336">
        <f t="shared" si="11"/>
        <v>429.13630587480168</v>
      </c>
      <c r="Q56" s="955">
        <f t="shared" si="12"/>
        <v>0.17338750017534535</v>
      </c>
    </row>
    <row r="57" spans="1:17" s="320" customFormat="1" ht="12" customHeight="1">
      <c r="A57" s="352" t="s">
        <v>845</v>
      </c>
      <c r="B57" s="334">
        <v>235.64</v>
      </c>
      <c r="C57" s="335">
        <f>'G-48 Price Out'!G59</f>
        <v>7663.8599999999988</v>
      </c>
      <c r="E57" s="335">
        <f>'G-48 Price Out'!K59*References!$H$19</f>
        <v>41.987007346644859</v>
      </c>
      <c r="F57" s="932">
        <f>References!$D$7</f>
        <v>8.6666666666666661</v>
      </c>
      <c r="G57" s="340">
        <f t="shared" si="6"/>
        <v>363.88739700425543</v>
      </c>
      <c r="H57" s="320">
        <f>References!$C$30</f>
        <v>324</v>
      </c>
      <c r="I57" s="934">
        <f t="shared" si="7"/>
        <v>117899.51662937876</v>
      </c>
      <c r="J57" s="934">
        <f t="shared" si="8"/>
        <v>84124.701482508317</v>
      </c>
      <c r="K57" s="943">
        <f>J57*References!$D$57</f>
        <v>63.093526111881296</v>
      </c>
      <c r="L57" s="955">
        <f t="shared" si="9"/>
        <v>1.502691668186326</v>
      </c>
      <c r="M57" s="334">
        <f>'G-48 Price Out'!D59</f>
        <v>235.64</v>
      </c>
      <c r="N57" s="336">
        <f t="shared" si="10"/>
        <v>237.1426916681863</v>
      </c>
      <c r="P57" s="336">
        <f t="shared" si="11"/>
        <v>63.093526111881289</v>
      </c>
      <c r="Q57" s="955">
        <f t="shared" si="12"/>
        <v>0.17338750017534532</v>
      </c>
    </row>
    <row r="58" spans="1:17" s="320" customFormat="1" ht="12" customHeight="1">
      <c r="A58" s="352" t="s">
        <v>847</v>
      </c>
      <c r="B58" s="334">
        <v>353.46</v>
      </c>
      <c r="C58" s="335">
        <f>'G-48 Price Out'!G60</f>
        <v>10332.1</v>
      </c>
      <c r="E58" s="335">
        <f>'G-48 Price Out'!K60*References!$H$19</f>
        <v>34.022057478729749</v>
      </c>
      <c r="F58" s="935">
        <f>References!$E$7</f>
        <v>13</v>
      </c>
      <c r="G58" s="340">
        <f t="shared" si="6"/>
        <v>442.28674722348671</v>
      </c>
      <c r="H58" s="320">
        <f>References!$C$30</f>
        <v>324</v>
      </c>
      <c r="I58" s="934">
        <f t="shared" si="7"/>
        <v>143300.90610040969</v>
      </c>
      <c r="J58" s="934">
        <f t="shared" si="8"/>
        <v>102249.32461568687</v>
      </c>
      <c r="K58" s="943">
        <f>J58*References!$D$57</f>
        <v>76.686993461765226</v>
      </c>
      <c r="L58" s="955">
        <f t="shared" si="9"/>
        <v>2.2540375022794894</v>
      </c>
      <c r="M58" s="334">
        <f>'G-48 Price Out'!D60</f>
        <v>353.46</v>
      </c>
      <c r="N58" s="336">
        <f t="shared" si="10"/>
        <v>355.7140375022795</v>
      </c>
      <c r="P58" s="336">
        <f t="shared" si="11"/>
        <v>76.686993461765226</v>
      </c>
      <c r="Q58" s="955">
        <f t="shared" si="12"/>
        <v>0.17338750017534535</v>
      </c>
    </row>
    <row r="59" spans="1:17" s="320" customFormat="1" ht="12" customHeight="1">
      <c r="A59" s="352" t="s">
        <v>849</v>
      </c>
      <c r="B59" s="334">
        <v>471.28</v>
      </c>
      <c r="C59" s="335">
        <f>'G-48 Price Out'!G61</f>
        <v>5450.58</v>
      </c>
      <c r="E59" s="335">
        <f>'G-48 Price Out'!K61*References!$H$19</f>
        <v>12.814318166013768</v>
      </c>
      <c r="F59" s="936">
        <f>References!$F$7</f>
        <v>17.333333333333332</v>
      </c>
      <c r="G59" s="340">
        <f t="shared" si="6"/>
        <v>222.11484821090531</v>
      </c>
      <c r="H59" s="320">
        <f>References!$C$30</f>
        <v>324</v>
      </c>
      <c r="I59" s="934">
        <f t="shared" si="7"/>
        <v>71965.210820333319</v>
      </c>
      <c r="J59" s="934">
        <f t="shared" si="8"/>
        <v>51349.251044153483</v>
      </c>
      <c r="K59" s="943">
        <f>J59*References!$D$57</f>
        <v>38.51193828311515</v>
      </c>
      <c r="L59" s="955">
        <f t="shared" si="9"/>
        <v>3.0053833363726525</v>
      </c>
      <c r="M59" s="334">
        <f>'G-48 Price Out'!D61</f>
        <v>471.28</v>
      </c>
      <c r="N59" s="336">
        <f t="shared" si="10"/>
        <v>474.2853833363726</v>
      </c>
      <c r="P59" s="336">
        <f t="shared" si="11"/>
        <v>38.51193828311515</v>
      </c>
      <c r="Q59" s="955">
        <f t="shared" si="12"/>
        <v>0.17338750017534535</v>
      </c>
    </row>
    <row r="60" spans="1:17" s="320" customFormat="1" ht="12" customHeight="1">
      <c r="A60" s="352" t="s">
        <v>851</v>
      </c>
      <c r="B60" s="334">
        <v>824.74</v>
      </c>
      <c r="C60" s="335">
        <f>'G-48 Price Out'!G62</f>
        <v>9008.7799999999988</v>
      </c>
      <c r="E60" s="335">
        <f>'G-48 Price Out'!K62*References!$H$19</f>
        <v>12</v>
      </c>
      <c r="F60" s="935">
        <f>References!$I$7</f>
        <v>30.333333333333332</v>
      </c>
      <c r="G60" s="340">
        <f t="shared" si="6"/>
        <v>364</v>
      </c>
      <c r="H60" s="320">
        <f>References!$C$30</f>
        <v>324</v>
      </c>
      <c r="I60" s="934">
        <f t="shared" si="7"/>
        <v>117936</v>
      </c>
      <c r="J60" s="934">
        <f t="shared" si="8"/>
        <v>84150.733418434189</v>
      </c>
      <c r="K60" s="943">
        <f>J60*References!$D$57</f>
        <v>63.113050063825696</v>
      </c>
      <c r="L60" s="955">
        <f t="shared" si="9"/>
        <v>5.2594208386521411</v>
      </c>
      <c r="M60" s="334">
        <f>'G-48 Price Out'!D62</f>
        <v>824.74</v>
      </c>
      <c r="N60" s="336">
        <f t="shared" si="10"/>
        <v>829.9994208386521</v>
      </c>
      <c r="P60" s="336">
        <f t="shared" si="11"/>
        <v>63.113050063825696</v>
      </c>
      <c r="Q60" s="955">
        <f t="shared" si="12"/>
        <v>0.17338750017534532</v>
      </c>
    </row>
    <row r="61" spans="1:17" s="320" customFormat="1" ht="12" customHeight="1">
      <c r="A61" s="352" t="s">
        <v>853</v>
      </c>
      <c r="B61" s="334">
        <v>235.64</v>
      </c>
      <c r="C61" s="335">
        <f>'G-48 Price Out'!G63</f>
        <v>12520.71</v>
      </c>
      <c r="E61" s="335">
        <f>'G-48 Price Out'!K63*References!$H$19</f>
        <v>58.203295012338899</v>
      </c>
      <c r="F61" s="932">
        <f>References!$C$6</f>
        <v>8.6666666666666661</v>
      </c>
      <c r="G61" s="340">
        <f t="shared" si="6"/>
        <v>504.42855677360376</v>
      </c>
      <c r="H61" s="320">
        <f>References!$C$30</f>
        <v>324</v>
      </c>
      <c r="I61" s="934">
        <f t="shared" si="7"/>
        <v>163434.85239464761</v>
      </c>
      <c r="J61" s="934">
        <f t="shared" si="8"/>
        <v>116615.47530137644</v>
      </c>
      <c r="K61" s="943">
        <f>J61*References!$D$57</f>
        <v>87.461606476032415</v>
      </c>
      <c r="L61" s="955">
        <f t="shared" si="9"/>
        <v>1.502691668186326</v>
      </c>
      <c r="M61" s="334">
        <f>'G-48 Price Out'!D63</f>
        <v>235.64</v>
      </c>
      <c r="N61" s="336">
        <f t="shared" si="10"/>
        <v>237.1426916681863</v>
      </c>
      <c r="P61" s="336">
        <f t="shared" si="11"/>
        <v>87.461606476032415</v>
      </c>
      <c r="Q61" s="955">
        <f t="shared" si="12"/>
        <v>0.17338750017534532</v>
      </c>
    </row>
    <row r="62" spans="1:17" s="320" customFormat="1" ht="12" customHeight="1">
      <c r="A62" s="352" t="s">
        <v>855</v>
      </c>
      <c r="B62" s="334">
        <v>471.28</v>
      </c>
      <c r="C62" s="335">
        <f>'G-48 Price Out'!G64</f>
        <v>8315.7599999999984</v>
      </c>
      <c r="E62" s="335">
        <f>'G-48 Price Out'!K64*References!$H$19</f>
        <v>19.402627803606066</v>
      </c>
      <c r="F62" s="935">
        <f>References!$D$6</f>
        <v>17.333333333333332</v>
      </c>
      <c r="G62" s="340">
        <f t="shared" si="6"/>
        <v>336.31221526250511</v>
      </c>
      <c r="H62" s="320">
        <f>References!$C$30</f>
        <v>324</v>
      </c>
      <c r="I62" s="934">
        <f t="shared" si="7"/>
        <v>108965.15774505165</v>
      </c>
      <c r="J62" s="934">
        <f t="shared" si="8"/>
        <v>77749.779043731105</v>
      </c>
      <c r="K62" s="943">
        <f>J62*References!$D$57</f>
        <v>58.312334282798382</v>
      </c>
      <c r="L62" s="955">
        <f t="shared" si="9"/>
        <v>3.0053833363726521</v>
      </c>
      <c r="M62" s="334">
        <f>'G-48 Price Out'!D64</f>
        <v>471.28</v>
      </c>
      <c r="N62" s="336">
        <f t="shared" si="10"/>
        <v>474.2853833363726</v>
      </c>
      <c r="P62" s="336">
        <f t="shared" si="11"/>
        <v>58.312334282798382</v>
      </c>
      <c r="Q62" s="955">
        <f t="shared" si="12"/>
        <v>0.17338750017534532</v>
      </c>
    </row>
    <row r="63" spans="1:17" s="320" customFormat="1" ht="12" customHeight="1">
      <c r="A63" s="352" t="s">
        <v>857</v>
      </c>
      <c r="B63" s="334">
        <v>706.92</v>
      </c>
      <c r="C63" s="335">
        <f>'G-48 Price Out'!G65</f>
        <v>1109.3399999999999</v>
      </c>
      <c r="E63" s="335">
        <f>'G-48 Price Out'!K65*References!$H$19</f>
        <v>4.8000000000000007</v>
      </c>
      <c r="F63" s="935">
        <f>References!$E$6</f>
        <v>26</v>
      </c>
      <c r="G63" s="340">
        <f t="shared" si="6"/>
        <v>124.80000000000001</v>
      </c>
      <c r="H63" s="320">
        <f>References!$C$30</f>
        <v>324</v>
      </c>
      <c r="I63" s="934">
        <f t="shared" si="7"/>
        <v>40435.200000000004</v>
      </c>
      <c r="J63" s="934">
        <f t="shared" si="8"/>
        <v>28851.680029177442</v>
      </c>
      <c r="K63" s="943">
        <f>J63*References!$D$57</f>
        <v>21.638760021883101</v>
      </c>
      <c r="L63" s="955">
        <f t="shared" si="9"/>
        <v>4.5080750045589788</v>
      </c>
      <c r="M63" s="334">
        <f>'G-48 Price Out'!D65</f>
        <v>706.92</v>
      </c>
      <c r="N63" s="336">
        <f t="shared" si="10"/>
        <v>711.42807500455899</v>
      </c>
      <c r="P63" s="336">
        <f t="shared" si="11"/>
        <v>21.638760021883101</v>
      </c>
      <c r="Q63" s="955">
        <f t="shared" si="12"/>
        <v>0.17338750017534535</v>
      </c>
    </row>
    <row r="64" spans="1:17" s="320" customFormat="1" ht="12" customHeight="1">
      <c r="A64" s="352" t="s">
        <v>859</v>
      </c>
      <c r="B64" s="334">
        <v>1649.47</v>
      </c>
      <c r="C64" s="335">
        <f>'G-48 Price Out'!G66</f>
        <v>18017.489999999998</v>
      </c>
      <c r="E64" s="335">
        <f>'G-48 Price Out'!K66*References!$H$19</f>
        <v>12</v>
      </c>
      <c r="F64" s="935">
        <f>References!$I$6</f>
        <v>60.666666666666664</v>
      </c>
      <c r="G64" s="340">
        <f t="shared" si="6"/>
        <v>728</v>
      </c>
      <c r="H64" s="320">
        <f>References!$C$30</f>
        <v>324</v>
      </c>
      <c r="I64" s="934">
        <f t="shared" si="7"/>
        <v>235872</v>
      </c>
      <c r="J64" s="934">
        <f t="shared" si="8"/>
        <v>168301.46683686838</v>
      </c>
      <c r="K64" s="943">
        <f>J64*References!$D$57</f>
        <v>126.22610012765139</v>
      </c>
      <c r="L64" s="955">
        <f t="shared" si="9"/>
        <v>10.518841677304282</v>
      </c>
      <c r="M64" s="334">
        <f>'G-48 Price Out'!D66</f>
        <v>1649.47</v>
      </c>
      <c r="N64" s="336">
        <f t="shared" si="10"/>
        <v>1659.9888416773042</v>
      </c>
      <c r="P64" s="336">
        <f t="shared" si="11"/>
        <v>126.22610012765139</v>
      </c>
      <c r="Q64" s="955">
        <f t="shared" si="12"/>
        <v>0.17338750017534532</v>
      </c>
    </row>
    <row r="65" spans="1:18" s="320" customFormat="1" ht="12" customHeight="1">
      <c r="A65" s="352" t="s">
        <v>861</v>
      </c>
      <c r="B65" s="334">
        <v>353.46</v>
      </c>
      <c r="C65" s="335">
        <f>'G-48 Price Out'!G67</f>
        <v>13945.45</v>
      </c>
      <c r="E65" s="335">
        <f>'G-48 Price Out'!K67*References!$H$19</f>
        <v>38.828571428571436</v>
      </c>
      <c r="F65" s="935">
        <f>References!$E$7</f>
        <v>13</v>
      </c>
      <c r="G65" s="340">
        <f t="shared" si="6"/>
        <v>504.77142857142866</v>
      </c>
      <c r="H65" s="320">
        <f>References!$C$30</f>
        <v>324</v>
      </c>
      <c r="I65" s="934">
        <f t="shared" si="7"/>
        <v>163545.94285714289</v>
      </c>
      <c r="J65" s="934">
        <f t="shared" si="8"/>
        <v>116694.74154658377</v>
      </c>
      <c r="K65" s="943">
        <f>J65*References!$D$57</f>
        <v>87.521056159937899</v>
      </c>
      <c r="L65" s="955">
        <f t="shared" si="9"/>
        <v>2.2540375022794894</v>
      </c>
      <c r="M65" s="334">
        <f>'G-48 Price Out'!D67</f>
        <v>353.46</v>
      </c>
      <c r="N65" s="336">
        <f t="shared" si="10"/>
        <v>355.7140375022795</v>
      </c>
      <c r="P65" s="336">
        <f t="shared" si="11"/>
        <v>87.521056159937899</v>
      </c>
      <c r="Q65" s="955">
        <f t="shared" si="12"/>
        <v>0.17338750017534535</v>
      </c>
    </row>
    <row r="66" spans="1:18" s="320" customFormat="1" ht="12" customHeight="1">
      <c r="A66" s="352" t="s">
        <v>863</v>
      </c>
      <c r="B66" s="334">
        <v>706.92</v>
      </c>
      <c r="C66" s="335">
        <f>'G-48 Price Out'!G68</f>
        <v>16136.919999999998</v>
      </c>
      <c r="E66" s="335">
        <f>'G-48 Price Out'!K68*References!$H$19</f>
        <v>25.500005408621341</v>
      </c>
      <c r="F66" s="935">
        <f>References!$E$6</f>
        <v>26</v>
      </c>
      <c r="G66" s="340">
        <f t="shared" si="6"/>
        <v>663.00014062415482</v>
      </c>
      <c r="H66" s="320">
        <f>References!$C$30</f>
        <v>324</v>
      </c>
      <c r="I66" s="934">
        <f t="shared" si="7"/>
        <v>214812.04556222615</v>
      </c>
      <c r="J66" s="934">
        <f t="shared" si="8"/>
        <v>153274.58266496603</v>
      </c>
      <c r="K66" s="943">
        <f>J66*References!$D$57</f>
        <v>114.95593699872462</v>
      </c>
      <c r="L66" s="955">
        <f t="shared" si="9"/>
        <v>4.5080750045589788</v>
      </c>
      <c r="M66" s="334">
        <f>'G-48 Price Out'!D68</f>
        <v>706.92</v>
      </c>
      <c r="N66" s="336">
        <f t="shared" si="10"/>
        <v>711.42807500455899</v>
      </c>
      <c r="P66" s="336">
        <f t="shared" si="11"/>
        <v>114.95593699872464</v>
      </c>
      <c r="Q66" s="955">
        <f t="shared" si="12"/>
        <v>0.17338750017534535</v>
      </c>
    </row>
    <row r="67" spans="1:18" s="320" customFormat="1" ht="12" customHeight="1">
      <c r="A67" s="352" t="s">
        <v>865</v>
      </c>
      <c r="B67" s="334">
        <v>471.28</v>
      </c>
      <c r="C67" s="335">
        <f>'G-48 Price Out'!G69</f>
        <v>8236.5899999999983</v>
      </c>
      <c r="E67" s="335">
        <f>'G-48 Price Out'!K69*References!$H$19</f>
        <v>20.006736051551883</v>
      </c>
      <c r="F67" s="935">
        <f>References!$F$7</f>
        <v>17.333333333333332</v>
      </c>
      <c r="G67" s="340">
        <f t="shared" si="6"/>
        <v>346.78342489356595</v>
      </c>
      <c r="H67" s="320">
        <f>References!$C$30</f>
        <v>324</v>
      </c>
      <c r="I67" s="934">
        <f t="shared" si="7"/>
        <v>112357.82966551537</v>
      </c>
      <c r="J67" s="934">
        <f t="shared" si="8"/>
        <v>80170.548192719958</v>
      </c>
      <c r="K67" s="943">
        <f>J67*References!$D$57</f>
        <v>60.127911144540022</v>
      </c>
      <c r="L67" s="955">
        <f t="shared" si="9"/>
        <v>3.0053833363726521</v>
      </c>
      <c r="M67" s="334">
        <f>'G-48 Price Out'!D69</f>
        <v>471.28</v>
      </c>
      <c r="N67" s="336">
        <f t="shared" si="10"/>
        <v>474.2853833363726</v>
      </c>
      <c r="P67" s="336">
        <f t="shared" si="11"/>
        <v>60.127911144540015</v>
      </c>
      <c r="Q67" s="955">
        <f t="shared" si="12"/>
        <v>0.17338750017534532</v>
      </c>
    </row>
    <row r="68" spans="1:18" s="320" customFormat="1" ht="12" customHeight="1">
      <c r="A68" s="352" t="s">
        <v>867</v>
      </c>
      <c r="B68" s="334">
        <v>59.05</v>
      </c>
      <c r="C68" s="335">
        <f>'G-48 Price Out'!G70</f>
        <v>13453.59</v>
      </c>
      <c r="E68" s="335">
        <f>'G-48 Price Out'!K70*References!$H$19</f>
        <v>255.51508836150572</v>
      </c>
      <c r="F68" s="935">
        <f>References!$C$8</f>
        <v>2.1666666666666665</v>
      </c>
      <c r="G68" s="340">
        <f t="shared" si="6"/>
        <v>553.61602478326233</v>
      </c>
      <c r="H68" s="320">
        <f>References!$C$30</f>
        <v>324</v>
      </c>
      <c r="I68" s="934">
        <f t="shared" si="7"/>
        <v>179371.59202977701</v>
      </c>
      <c r="J68" s="934">
        <f t="shared" si="8"/>
        <v>127986.79812557575</v>
      </c>
      <c r="K68" s="943">
        <f>J68*References!$D$57</f>
        <v>95.990098594181902</v>
      </c>
      <c r="L68" s="955">
        <f t="shared" si="9"/>
        <v>0.37567291704658162</v>
      </c>
      <c r="M68" s="334">
        <f>'G-48 Price Out'!D70</f>
        <v>59.05</v>
      </c>
      <c r="N68" s="336">
        <f t="shared" si="10"/>
        <v>59.425672917046576</v>
      </c>
      <c r="P68" s="336">
        <f t="shared" si="11"/>
        <v>95.990098594181916</v>
      </c>
      <c r="Q68" s="955">
        <f t="shared" si="12"/>
        <v>0.17338750017534538</v>
      </c>
    </row>
    <row r="69" spans="1:18" s="320" customFormat="1" ht="12" customHeight="1">
      <c r="A69" s="352" t="s">
        <v>869</v>
      </c>
      <c r="B69" s="334">
        <v>198.05</v>
      </c>
      <c r="C69" s="335">
        <f>'G-48 Price Out'!G71</f>
        <v>4650.83</v>
      </c>
      <c r="E69" s="335">
        <f>'G-48 Price Out'!K71*References!$H$19</f>
        <v>27.011941748412312</v>
      </c>
      <c r="F69" s="932">
        <f>References!$C$7</f>
        <v>4.333333333333333</v>
      </c>
      <c r="G69" s="340">
        <f t="shared" si="6"/>
        <v>117.05174757645334</v>
      </c>
      <c r="H69" s="320">
        <f>References!$C$32</f>
        <v>613</v>
      </c>
      <c r="I69" s="934">
        <f t="shared" si="7"/>
        <v>71752.7212643659</v>
      </c>
      <c r="J69" s="934">
        <f t="shared" si="8"/>
        <v>51197.633624719077</v>
      </c>
      <c r="K69" s="943">
        <f>J69*References!$D$57</f>
        <v>38.398225218539345</v>
      </c>
      <c r="L69" s="955">
        <f t="shared" si="9"/>
        <v>1.4215277663552748</v>
      </c>
      <c r="M69" s="334">
        <f>'G-48 Price Out'!D71</f>
        <v>198.05</v>
      </c>
      <c r="N69" s="336">
        <f t="shared" si="10"/>
        <v>199.47152776635528</v>
      </c>
      <c r="P69" s="336">
        <f t="shared" si="11"/>
        <v>38.398225218539352</v>
      </c>
      <c r="Q69" s="955">
        <f t="shared" si="12"/>
        <v>0.32804486915890957</v>
      </c>
    </row>
    <row r="70" spans="1:18" s="320" customFormat="1" ht="12" customHeight="1">
      <c r="A70" s="352" t="s">
        <v>871</v>
      </c>
      <c r="B70" s="334">
        <v>99.26</v>
      </c>
      <c r="C70" s="335">
        <f>'G-48 Price Out'!G72</f>
        <v>99.26</v>
      </c>
      <c r="E70" s="335">
        <v>0.1</v>
      </c>
      <c r="F70" s="932">
        <f>References!$C$8</f>
        <v>2.1666666666666665</v>
      </c>
      <c r="G70" s="340">
        <f t="shared" si="6"/>
        <v>0.21666666666666667</v>
      </c>
      <c r="H70" s="320">
        <f>References!$C$32</f>
        <v>613</v>
      </c>
      <c r="I70" s="934">
        <f t="shared" si="7"/>
        <v>132.81666666666666</v>
      </c>
      <c r="J70" s="934">
        <f t="shared" si="8"/>
        <v>94.76851775701823</v>
      </c>
      <c r="K70" s="943">
        <f>J70*References!$D$57</f>
        <v>7.1076388317763736E-2</v>
      </c>
      <c r="L70" s="955">
        <f t="shared" si="9"/>
        <v>0.71076388317763728</v>
      </c>
      <c r="M70" s="334">
        <f>'G-48 Price Out'!D72</f>
        <v>99.26</v>
      </c>
      <c r="N70" s="336">
        <f t="shared" si="10"/>
        <v>99.970763883177639</v>
      </c>
      <c r="P70" s="336">
        <f t="shared" si="11"/>
        <v>7.1076388317763736E-2</v>
      </c>
      <c r="Q70" s="955">
        <f t="shared" si="12"/>
        <v>0.32804486915890951</v>
      </c>
    </row>
    <row r="71" spans="1:18" s="320" customFormat="1" ht="12" customHeight="1">
      <c r="A71" s="352" t="s">
        <v>873</v>
      </c>
      <c r="B71" s="334">
        <v>16.170000000000002</v>
      </c>
      <c r="C71" s="335">
        <f>'G-48 Price Out'!G73</f>
        <v>9310.2999999999993</v>
      </c>
      <c r="E71" s="335">
        <f>'G-48 Price Out'!K73*References!$H$19</f>
        <v>622.72057553956824</v>
      </c>
      <c r="F71" s="935">
        <f>F46</f>
        <v>4.333333333333333</v>
      </c>
      <c r="G71" s="340">
        <f t="shared" si="6"/>
        <v>2698.455827338129</v>
      </c>
      <c r="H71" s="320">
        <f>References!$C$26</f>
        <v>29</v>
      </c>
      <c r="I71" s="934">
        <f t="shared" si="7"/>
        <v>78255.218992805734</v>
      </c>
      <c r="J71" s="934">
        <f t="shared" si="8"/>
        <v>55837.353073402388</v>
      </c>
      <c r="K71" s="943">
        <f>J71*References!$D$57</f>
        <v>41.878014805051826</v>
      </c>
      <c r="L71" s="955">
        <f t="shared" si="9"/>
        <v>6.7250090088585582E-2</v>
      </c>
      <c r="M71" s="334">
        <f>'G-48 Price Out'!D73</f>
        <v>16.170000000000002</v>
      </c>
      <c r="N71" s="336">
        <f t="shared" si="10"/>
        <v>16.237250090088587</v>
      </c>
      <c r="P71" s="336">
        <f t="shared" si="11"/>
        <v>41.878014805051826</v>
      </c>
      <c r="Q71" s="955">
        <f>L71</f>
        <v>6.7250090088585582E-2</v>
      </c>
      <c r="R71" s="320" t="s">
        <v>471</v>
      </c>
    </row>
    <row r="72" spans="1:18" s="320" customFormat="1" ht="12" customHeight="1">
      <c r="A72" s="352" t="s">
        <v>770</v>
      </c>
      <c r="B72" s="334">
        <v>28.32</v>
      </c>
      <c r="C72" s="335">
        <f>'G-48 Price Out'!G74</f>
        <v>2122.09</v>
      </c>
      <c r="E72" s="335">
        <f>'G-48 Price Out'!K74*References!$H$19</f>
        <v>77.866123627365056</v>
      </c>
      <c r="F72" s="935">
        <f t="shared" ref="F72" si="13">F47</f>
        <v>8.6666666666666661</v>
      </c>
      <c r="G72" s="340">
        <f t="shared" si="6"/>
        <v>674.83973810383043</v>
      </c>
      <c r="H72" s="320">
        <f>References!$C$26</f>
        <v>29</v>
      </c>
      <c r="I72" s="934">
        <f t="shared" si="7"/>
        <v>19570.352405011083</v>
      </c>
      <c r="J72" s="934">
        <f t="shared" si="8"/>
        <v>13964.010210104634</v>
      </c>
      <c r="K72" s="943">
        <f>J72*References!$D$57</f>
        <v>10.473007657578485</v>
      </c>
      <c r="L72" s="955">
        <f t="shared" si="9"/>
        <v>0.13450018017717116</v>
      </c>
      <c r="M72" s="334">
        <f>'G-48 Price Out'!D74</f>
        <v>28.32</v>
      </c>
      <c r="N72" s="336">
        <f t="shared" si="10"/>
        <v>28.45450018017717</v>
      </c>
      <c r="P72" s="336">
        <f t="shared" si="11"/>
        <v>10.473007657578485</v>
      </c>
      <c r="Q72" s="955">
        <f>L72</f>
        <v>0.13450018017717116</v>
      </c>
    </row>
    <row r="73" spans="1:18" s="320" customFormat="1" ht="12" customHeight="1">
      <c r="A73" s="352" t="s">
        <v>772</v>
      </c>
      <c r="B73" s="334">
        <v>42.48</v>
      </c>
      <c r="C73" s="335">
        <f>'G-48 Price Out'!G75</f>
        <v>505.20999999999992</v>
      </c>
      <c r="E73" s="335">
        <f>'G-48 Price Out'!K75*References!$H$19</f>
        <v>12</v>
      </c>
      <c r="F73" s="935">
        <f>References!$E$7</f>
        <v>13</v>
      </c>
      <c r="G73" s="340">
        <f t="shared" si="6"/>
        <v>156</v>
      </c>
      <c r="H73" s="320">
        <f>References!$C$26</f>
        <v>29</v>
      </c>
      <c r="I73" s="934">
        <f t="shared" si="7"/>
        <v>4524</v>
      </c>
      <c r="J73" s="934">
        <f t="shared" si="8"/>
        <v>3228.0043242521056</v>
      </c>
      <c r="K73" s="943">
        <f>J73*References!$D$57</f>
        <v>2.4210032431890811</v>
      </c>
      <c r="L73" s="955">
        <f t="shared" si="9"/>
        <v>0.20175027026575676</v>
      </c>
      <c r="M73" s="334">
        <f>'G-48 Price Out'!D75</f>
        <v>42.48</v>
      </c>
      <c r="N73" s="336">
        <f t="shared" si="10"/>
        <v>42.681750270265752</v>
      </c>
      <c r="P73" s="336">
        <f t="shared" si="11"/>
        <v>2.4210032431890811</v>
      </c>
      <c r="Q73" s="955">
        <f>L73</f>
        <v>0.20175027026575676</v>
      </c>
    </row>
    <row r="74" spans="1:18" s="320" customFormat="1" ht="12" customHeight="1">
      <c r="A74" s="352" t="s">
        <v>877</v>
      </c>
      <c r="B74" s="334">
        <v>56.64</v>
      </c>
      <c r="C74" s="335">
        <f>'G-48 Price Out'!G76</f>
        <v>673.57999999999993</v>
      </c>
      <c r="E74" s="335">
        <f>'G-48 Price Out'!K76*References!$H$19</f>
        <v>12</v>
      </c>
      <c r="F74" s="935">
        <f>References!$F$7</f>
        <v>17.333333333333332</v>
      </c>
      <c r="G74" s="340">
        <f t="shared" si="6"/>
        <v>208</v>
      </c>
      <c r="H74" s="320">
        <f>References!$C$26</f>
        <v>29</v>
      </c>
      <c r="I74" s="934">
        <f t="shared" si="7"/>
        <v>6032</v>
      </c>
      <c r="J74" s="934">
        <f t="shared" si="8"/>
        <v>4304.0057656694735</v>
      </c>
      <c r="K74" s="943">
        <f>J74*References!$D$57</f>
        <v>3.2280043242521081</v>
      </c>
      <c r="L74" s="955">
        <f t="shared" si="9"/>
        <v>0.26900036035434233</v>
      </c>
      <c r="M74" s="334">
        <f>'G-48 Price Out'!D76</f>
        <v>56.64</v>
      </c>
      <c r="N74" s="336">
        <f t="shared" si="10"/>
        <v>56.909000360354341</v>
      </c>
      <c r="P74" s="336">
        <f t="shared" si="11"/>
        <v>3.2280043242521081</v>
      </c>
      <c r="Q74" s="955">
        <f>L74</f>
        <v>0.26900036035434233</v>
      </c>
    </row>
    <row r="75" spans="1:18" s="320" customFormat="1" ht="12" customHeight="1">
      <c r="A75" s="352" t="s">
        <v>780</v>
      </c>
      <c r="B75" s="334">
        <v>16.170000000000002</v>
      </c>
      <c r="C75" s="335">
        <f>'G-48 Price Out'!G77</f>
        <v>41.7</v>
      </c>
      <c r="E75" s="335">
        <f>'G-48 Price Out'!K77*References!$H$19</f>
        <v>7.1999999999999993</v>
      </c>
      <c r="F75" s="935">
        <f>References!$C$8</f>
        <v>2.1666666666666665</v>
      </c>
      <c r="G75" s="340">
        <f t="shared" si="6"/>
        <v>15.599999999999998</v>
      </c>
      <c r="H75" s="320">
        <f>References!$C$26</f>
        <v>29</v>
      </c>
      <c r="I75" s="934">
        <f t="shared" si="7"/>
        <v>452.39999999999992</v>
      </c>
      <c r="J75" s="934">
        <f t="shared" si="8"/>
        <v>322.80043242521049</v>
      </c>
      <c r="K75" s="943">
        <f>J75*References!$D$57</f>
        <v>0.24210032431890807</v>
      </c>
      <c r="L75" s="955">
        <f t="shared" si="9"/>
        <v>3.3625045044292791E-2</v>
      </c>
      <c r="M75" s="334">
        <f>'G-48 Price Out'!D77</f>
        <v>16.170000000000002</v>
      </c>
      <c r="N75" s="336">
        <f t="shared" si="10"/>
        <v>16.203625045044294</v>
      </c>
      <c r="P75" s="336">
        <f t="shared" si="11"/>
        <v>0.24210032431890807</v>
      </c>
      <c r="Q75" s="955">
        <f t="shared" si="12"/>
        <v>1.5519251558904367E-2</v>
      </c>
    </row>
    <row r="76" spans="1:18" s="320" customFormat="1" ht="12" customHeight="1">
      <c r="A76" s="352" t="s">
        <v>880</v>
      </c>
      <c r="B76" s="334">
        <v>16.170000000000002</v>
      </c>
      <c r="C76" s="335">
        <f>'G-48 Price Out'!G78</f>
        <v>0</v>
      </c>
      <c r="E76" s="335">
        <v>0.1</v>
      </c>
      <c r="F76" s="935">
        <f>References!$C$9</f>
        <v>1</v>
      </c>
      <c r="G76" s="340">
        <f t="shared" si="6"/>
        <v>0.1</v>
      </c>
      <c r="H76" s="320">
        <f>References!$C$26</f>
        <v>29</v>
      </c>
      <c r="I76" s="934">
        <f t="shared" si="7"/>
        <v>2.9000000000000004</v>
      </c>
      <c r="J76" s="934">
        <f t="shared" si="8"/>
        <v>2.0692335411872471</v>
      </c>
      <c r="K76" s="943">
        <f>J76*References!$D$57</f>
        <v>1.5519251558904366E-3</v>
      </c>
      <c r="L76" s="955">
        <f t="shared" si="9"/>
        <v>1.5519251558904365E-2</v>
      </c>
      <c r="M76" s="334">
        <f>'G-48 Price Out'!D78</f>
        <v>16.170000000000002</v>
      </c>
      <c r="N76" s="336">
        <f t="shared" si="10"/>
        <v>16.185519251558905</v>
      </c>
      <c r="P76" s="336">
        <f t="shared" si="11"/>
        <v>1.5519251558904366E-3</v>
      </c>
      <c r="Q76" s="955">
        <f t="shared" si="12"/>
        <v>1.5519251558904365E-2</v>
      </c>
    </row>
    <row r="77" spans="1:18" s="320" customFormat="1" ht="12" customHeight="1">
      <c r="A77" s="352" t="s">
        <v>882</v>
      </c>
      <c r="B77" s="334">
        <v>23.09</v>
      </c>
      <c r="C77" s="335">
        <f>'G-48 Price Out'!G79</f>
        <v>77.400000000000006</v>
      </c>
      <c r="E77" s="335">
        <f>'G-48 Price Out'!K79*References!$H$19</f>
        <v>9.6000000000000014</v>
      </c>
      <c r="F77" s="935">
        <f>References!$C$9</f>
        <v>1</v>
      </c>
      <c r="G77" s="340">
        <f t="shared" si="6"/>
        <v>9.6000000000000014</v>
      </c>
      <c r="H77" s="320">
        <f>References!$C$20</f>
        <v>40</v>
      </c>
      <c r="I77" s="934">
        <f t="shared" si="7"/>
        <v>384.00000000000006</v>
      </c>
      <c r="J77" s="934">
        <f t="shared" si="8"/>
        <v>273.99506200548376</v>
      </c>
      <c r="K77" s="943">
        <f>J77*References!$D$57</f>
        <v>0.205496296504113</v>
      </c>
      <c r="L77" s="955">
        <f t="shared" si="9"/>
        <v>2.1405864219178432E-2</v>
      </c>
      <c r="M77" s="334">
        <f>'G-48 Price Out'!D79</f>
        <v>23.09</v>
      </c>
      <c r="N77" s="336">
        <f t="shared" si="10"/>
        <v>23.111405864219179</v>
      </c>
      <c r="P77" s="336">
        <f t="shared" si="11"/>
        <v>0.20549629650411297</v>
      </c>
      <c r="Q77" s="955">
        <f t="shared" si="12"/>
        <v>2.1405864219178432E-2</v>
      </c>
    </row>
    <row r="78" spans="1:18" s="320" customFormat="1" ht="12" customHeight="1">
      <c r="A78" s="352" t="s">
        <v>884</v>
      </c>
      <c r="B78" s="334">
        <v>26.67</v>
      </c>
      <c r="C78" s="335">
        <f>'G-48 Price Out'!G80</f>
        <v>556.98000000000013</v>
      </c>
      <c r="E78" s="335">
        <f>'G-48 Price Out'!K80*References!$H$19</f>
        <v>21.6</v>
      </c>
      <c r="F78" s="932">
        <f>References!$C$7</f>
        <v>4.333333333333333</v>
      </c>
      <c r="G78" s="340">
        <f t="shared" si="6"/>
        <v>93.6</v>
      </c>
      <c r="H78" s="320">
        <f>References!$C$20</f>
        <v>40</v>
      </c>
      <c r="I78" s="934">
        <f t="shared" si="7"/>
        <v>3744</v>
      </c>
      <c r="J78" s="934">
        <f t="shared" si="8"/>
        <v>2671.4518545534665</v>
      </c>
      <c r="K78" s="943">
        <f>J78*References!$D$57</f>
        <v>2.0035888909151018</v>
      </c>
      <c r="L78" s="955">
        <f t="shared" si="9"/>
        <v>9.2758744949773236E-2</v>
      </c>
      <c r="M78" s="334">
        <f>'G-48 Price Out'!D80</f>
        <v>26.67</v>
      </c>
      <c r="N78" s="336">
        <f t="shared" si="10"/>
        <v>26.762758744949775</v>
      </c>
      <c r="P78" s="336">
        <f t="shared" si="11"/>
        <v>2.0035888909151018</v>
      </c>
      <c r="Q78" s="955">
        <f t="shared" si="12"/>
        <v>2.1405864219178439E-2</v>
      </c>
    </row>
    <row r="79" spans="1:18" s="320" customFormat="1" ht="12" customHeight="1">
      <c r="A79" s="352" t="s">
        <v>886</v>
      </c>
      <c r="B79" s="334">
        <v>3.72</v>
      </c>
      <c r="C79" s="335">
        <f>'G-48 Price Out'!G81</f>
        <v>3375.3399999999997</v>
      </c>
      <c r="E79" s="335">
        <f>'G-48 Price Out'!K81*References!$H$19</f>
        <v>994.25898617511518</v>
      </c>
      <c r="F79" s="932">
        <f>References!$C$9</f>
        <v>1</v>
      </c>
      <c r="G79" s="340">
        <f t="shared" si="6"/>
        <v>994.25898617511518</v>
      </c>
      <c r="H79" s="320">
        <f>References!$C$26</f>
        <v>29</v>
      </c>
      <c r="I79" s="934">
        <f t="shared" si="7"/>
        <v>28833.510599078341</v>
      </c>
      <c r="J79" s="934">
        <f t="shared" si="8"/>
        <v>20573.540428203756</v>
      </c>
      <c r="K79" s="943">
        <f>J79*References!$D$57</f>
        <v>15.430155321152832</v>
      </c>
      <c r="L79" s="955">
        <f t="shared" si="9"/>
        <v>1.5519251558904367E-2</v>
      </c>
      <c r="M79" s="334">
        <f>'G-48 Price Out'!D81</f>
        <v>3.72</v>
      </c>
      <c r="N79" s="336">
        <f t="shared" si="10"/>
        <v>3.7355192515589044</v>
      </c>
      <c r="P79" s="336">
        <f t="shared" si="11"/>
        <v>15.430155321152832</v>
      </c>
      <c r="Q79" s="955">
        <f t="shared" si="12"/>
        <v>1.5519251558904367E-2</v>
      </c>
    </row>
    <row r="80" spans="1:18" s="320" customFormat="1" ht="11.25" customHeight="1">
      <c r="A80" s="352" t="s">
        <v>790</v>
      </c>
      <c r="B80" s="334">
        <v>4.5199999999999996</v>
      </c>
      <c r="C80" s="335">
        <f>'G-48 Price Out'!G82</f>
        <v>190.2</v>
      </c>
      <c r="E80" s="335">
        <f>'G-48 Price Out'!K82*References!$H$19</f>
        <v>44.698938053097351</v>
      </c>
      <c r="F80" s="932">
        <f>References!$C$9</f>
        <v>1</v>
      </c>
      <c r="G80" s="340">
        <f t="shared" si="6"/>
        <v>44.698938053097351</v>
      </c>
      <c r="H80" s="320">
        <f>References!$C$26</f>
        <v>29</v>
      </c>
      <c r="I80" s="934">
        <f t="shared" si="7"/>
        <v>1296.2692035398231</v>
      </c>
      <c r="J80" s="934">
        <f t="shared" si="8"/>
        <v>924.92541874920016</v>
      </c>
      <c r="K80" s="943">
        <f>J80*References!$D$57</f>
        <v>0.69369406406190071</v>
      </c>
      <c r="L80" s="955">
        <f t="shared" si="9"/>
        <v>1.5519251558904365E-2</v>
      </c>
      <c r="M80" s="334">
        <f>'G-48 Price Out'!D82</f>
        <v>4.5199999999999996</v>
      </c>
      <c r="N80" s="336">
        <f t="shared" si="10"/>
        <v>4.5355192515589042</v>
      </c>
      <c r="P80" s="336">
        <f t="shared" si="11"/>
        <v>0.69369406406190071</v>
      </c>
      <c r="Q80" s="955">
        <f t="shared" si="12"/>
        <v>1.5519251558904365E-2</v>
      </c>
    </row>
    <row r="81" spans="1:17" s="320" customFormat="1" ht="12" customHeight="1">
      <c r="A81" s="352" t="s">
        <v>889</v>
      </c>
      <c r="B81" s="334">
        <v>19.62</v>
      </c>
      <c r="C81" s="335">
        <f>'G-48 Price Out'!G83</f>
        <v>544.22</v>
      </c>
      <c r="E81" s="335">
        <f>'G-48 Price Out'!K83*References!$H$19</f>
        <v>30.032940148536479</v>
      </c>
      <c r="F81" s="932">
        <f>References!$C$9</f>
        <v>1</v>
      </c>
      <c r="G81" s="340">
        <f t="shared" si="6"/>
        <v>30.032940148536479</v>
      </c>
      <c r="H81" s="320">
        <f>References!$C$28</f>
        <v>175</v>
      </c>
      <c r="I81" s="934">
        <f t="shared" si="7"/>
        <v>5255.7645259938836</v>
      </c>
      <c r="J81" s="934">
        <f t="shared" si="8"/>
        <v>3750.139393713323</v>
      </c>
      <c r="K81" s="943">
        <f>J81*References!$D$57</f>
        <v>2.8126045452849948</v>
      </c>
      <c r="L81" s="955">
        <f t="shared" si="9"/>
        <v>9.3650655958905663E-2</v>
      </c>
      <c r="M81" s="334">
        <f>'G-48 Price Out'!D83</f>
        <v>19.62</v>
      </c>
      <c r="N81" s="336">
        <f t="shared" si="10"/>
        <v>19.713650655958908</v>
      </c>
      <c r="P81" s="336">
        <f t="shared" si="11"/>
        <v>2.8126045452849948</v>
      </c>
      <c r="Q81" s="955">
        <f t="shared" si="12"/>
        <v>9.3650655958905663E-2</v>
      </c>
    </row>
    <row r="82" spans="1:17" s="320" customFormat="1" ht="12" customHeight="1">
      <c r="A82" s="352" t="s">
        <v>891</v>
      </c>
      <c r="B82" s="334">
        <v>28.87</v>
      </c>
      <c r="C82" s="335">
        <f>'G-48 Price Out'!G84</f>
        <v>1099.54</v>
      </c>
      <c r="E82" s="335">
        <f>'G-48 Price Out'!K84*References!$H$19</f>
        <v>43.617319016279872</v>
      </c>
      <c r="F82" s="932">
        <f>References!$C$9</f>
        <v>1</v>
      </c>
      <c r="G82" s="340">
        <f t="shared" si="6"/>
        <v>43.617319016279872</v>
      </c>
      <c r="H82" s="320">
        <f>References!$C$29</f>
        <v>250</v>
      </c>
      <c r="I82" s="934">
        <f t="shared" si="7"/>
        <v>10904.329754069968</v>
      </c>
      <c r="J82" s="934">
        <f t="shared" si="8"/>
        <v>7780.553403892297</v>
      </c>
      <c r="K82" s="943">
        <f>J82*References!$D$57</f>
        <v>5.8354150529192275</v>
      </c>
      <c r="L82" s="955">
        <f t="shared" si="9"/>
        <v>0.1337866513698652</v>
      </c>
      <c r="M82" s="334">
        <f>'G-48 Price Out'!D84</f>
        <v>28.87</v>
      </c>
      <c r="N82" s="336">
        <f t="shared" si="10"/>
        <v>29.003786651369865</v>
      </c>
      <c r="P82" s="336">
        <f t="shared" si="11"/>
        <v>5.8354150529192266</v>
      </c>
      <c r="Q82" s="955">
        <f t="shared" si="12"/>
        <v>0.1337866513698652</v>
      </c>
    </row>
    <row r="83" spans="1:17" s="320" customFormat="1" ht="12" customHeight="1">
      <c r="A83" s="352" t="s">
        <v>893</v>
      </c>
      <c r="B83" s="334">
        <v>38.01</v>
      </c>
      <c r="C83" s="335">
        <f>'G-48 Price Out'!G85</f>
        <v>6189.33</v>
      </c>
      <c r="E83" s="335">
        <f>'G-48 Price Out'!K85*References!$H$19</f>
        <v>179.85674150109935</v>
      </c>
      <c r="F83" s="932">
        <f>References!$C$9</f>
        <v>1</v>
      </c>
      <c r="G83" s="340">
        <f t="shared" si="6"/>
        <v>179.85674150109935</v>
      </c>
      <c r="H83" s="320">
        <f>References!$C$30</f>
        <v>324</v>
      </c>
      <c r="I83" s="934">
        <f t="shared" si="7"/>
        <v>58273.584246356186</v>
      </c>
      <c r="J83" s="934">
        <f t="shared" si="8"/>
        <v>41579.881064745168</v>
      </c>
      <c r="K83" s="943">
        <f>J83*References!$D$57</f>
        <v>31.184910798558903</v>
      </c>
      <c r="L83" s="955">
        <f t="shared" si="9"/>
        <v>0.17338750017534532</v>
      </c>
      <c r="M83" s="334">
        <f>'G-48 Price Out'!D85</f>
        <v>38.01</v>
      </c>
      <c r="N83" s="336">
        <f t="shared" si="10"/>
        <v>38.183387500175343</v>
      </c>
      <c r="P83" s="336">
        <f t="shared" si="11"/>
        <v>31.184910798558903</v>
      </c>
      <c r="Q83" s="955">
        <f t="shared" si="12"/>
        <v>0.17338750017534532</v>
      </c>
    </row>
    <row r="84" spans="1:17" s="320" customFormat="1" ht="12" customHeight="1">
      <c r="A84" s="352" t="s">
        <v>895</v>
      </c>
      <c r="B84" s="334">
        <v>28.87</v>
      </c>
      <c r="C84" s="335">
        <f>'G-48 Price Out'!G86</f>
        <v>48.7</v>
      </c>
      <c r="E84" s="335">
        <f>'G-48 Price Out'!K86*References!$H$19</f>
        <v>4.8000000000000007</v>
      </c>
      <c r="F84" s="932">
        <f>References!$C$9</f>
        <v>1</v>
      </c>
      <c r="G84" s="340">
        <f t="shared" si="6"/>
        <v>4.8000000000000007</v>
      </c>
      <c r="H84" s="320">
        <f>References!$C$29</f>
        <v>250</v>
      </c>
      <c r="I84" s="934">
        <f t="shared" si="7"/>
        <v>1200.0000000000002</v>
      </c>
      <c r="J84" s="934">
        <f t="shared" si="8"/>
        <v>856.23456876713692</v>
      </c>
      <c r="K84" s="943">
        <f>J84*References!$D$57</f>
        <v>0.64217592657535327</v>
      </c>
      <c r="L84" s="955">
        <f t="shared" si="9"/>
        <v>0.13378665136986526</v>
      </c>
      <c r="M84" s="334">
        <f>'G-48 Price Out'!D86</f>
        <v>28.87</v>
      </c>
      <c r="N84" s="336">
        <f t="shared" si="10"/>
        <v>29.003786651369865</v>
      </c>
      <c r="P84" s="336">
        <f t="shared" si="11"/>
        <v>0.64217592657535327</v>
      </c>
      <c r="Q84" s="955">
        <f t="shared" si="12"/>
        <v>0.13378665136986526</v>
      </c>
    </row>
    <row r="85" spans="1:17" s="320" customFormat="1" ht="12" customHeight="1">
      <c r="A85" s="352" t="s">
        <v>897</v>
      </c>
      <c r="B85" s="334">
        <v>19.62</v>
      </c>
      <c r="C85" s="335">
        <f>'G-48 Price Out'!G87</f>
        <v>315.84000000000003</v>
      </c>
      <c r="E85" s="335">
        <f>'G-48 Price Out'!K87*References!$H$19</f>
        <v>19.021276595744681</v>
      </c>
      <c r="F85" s="932">
        <f>References!$C$9</f>
        <v>1</v>
      </c>
      <c r="G85" s="340">
        <f t="shared" si="6"/>
        <v>19.021276595744681</v>
      </c>
      <c r="H85" s="320">
        <f>References!$C$28</f>
        <v>175</v>
      </c>
      <c r="I85" s="934">
        <f t="shared" si="7"/>
        <v>3328.7234042553191</v>
      </c>
      <c r="J85" s="934">
        <f t="shared" si="8"/>
        <v>2375.1400404896904</v>
      </c>
      <c r="K85" s="943">
        <f>J85*References!$D$57</f>
        <v>1.7813550303672694</v>
      </c>
      <c r="L85" s="955">
        <f t="shared" si="9"/>
        <v>9.3650655958905663E-2</v>
      </c>
      <c r="M85" s="334">
        <f>'G-48 Price Out'!D87</f>
        <v>19.62</v>
      </c>
      <c r="N85" s="336">
        <f t="shared" si="10"/>
        <v>19.713650655958908</v>
      </c>
      <c r="P85" s="336">
        <f t="shared" si="11"/>
        <v>1.7813550303672694</v>
      </c>
      <c r="Q85" s="955">
        <f t="shared" si="12"/>
        <v>9.3650655958905663E-2</v>
      </c>
    </row>
    <row r="86" spans="1:17" s="320" customFormat="1" ht="12" customHeight="1">
      <c r="A86" s="352" t="s">
        <v>899</v>
      </c>
      <c r="B86" s="334">
        <v>38.01</v>
      </c>
      <c r="C86" s="335">
        <f>'G-48 Price Out'!G88</f>
        <v>27.950000000000003</v>
      </c>
      <c r="E86" s="335">
        <f>'G-48 Price Out'!K88*References!$H$19</f>
        <v>2.0864696734059098</v>
      </c>
      <c r="F86" s="932">
        <f>References!$C$9</f>
        <v>1</v>
      </c>
      <c r="G86" s="340">
        <f t="shared" si="6"/>
        <v>2.0864696734059098</v>
      </c>
      <c r="H86" s="320">
        <f>References!$C$30</f>
        <v>324</v>
      </c>
      <c r="I86" s="934">
        <f t="shared" si="7"/>
        <v>676.01617418351475</v>
      </c>
      <c r="J86" s="934">
        <f t="shared" si="8"/>
        <v>482.3570144846928</v>
      </c>
      <c r="K86" s="943">
        <f>J86*References!$D$57</f>
        <v>0.36176776086351992</v>
      </c>
      <c r="L86" s="955">
        <f t="shared" si="9"/>
        <v>0.17338750017534535</v>
      </c>
      <c r="M86" s="334">
        <f>'G-48 Price Out'!D88</f>
        <v>38.01</v>
      </c>
      <c r="N86" s="336">
        <f t="shared" si="10"/>
        <v>38.183387500175343</v>
      </c>
      <c r="P86" s="336">
        <f t="shared" si="11"/>
        <v>0.36176776086351997</v>
      </c>
      <c r="Q86" s="955">
        <f t="shared" si="12"/>
        <v>0.17338750017534535</v>
      </c>
    </row>
    <row r="87" spans="1:17" s="320" customFormat="1" ht="12" customHeight="1">
      <c r="A87" s="352" t="s">
        <v>901</v>
      </c>
      <c r="B87" s="334">
        <v>14.81</v>
      </c>
      <c r="C87" s="335">
        <f>'G-48 Price Out'!G89</f>
        <v>133.72999999999999</v>
      </c>
      <c r="E87" s="335">
        <f>'G-48 Price Out'!K89*References!$H$19</f>
        <v>10.581691907012633</v>
      </c>
      <c r="F87" s="932">
        <f>References!$C$9</f>
        <v>1</v>
      </c>
      <c r="G87" s="340">
        <f t="shared" si="6"/>
        <v>10.581691907012633</v>
      </c>
      <c r="H87" s="320">
        <f>References!$C$27</f>
        <v>125</v>
      </c>
      <c r="I87" s="934">
        <f t="shared" si="7"/>
        <v>1322.7114883765792</v>
      </c>
      <c r="J87" s="934">
        <f t="shared" si="8"/>
        <v>943.79275071121481</v>
      </c>
      <c r="K87" s="943">
        <f>J87*References!$D$57</f>
        <v>0.7078445630334117</v>
      </c>
      <c r="L87" s="955">
        <f t="shared" ref="L87" si="14">K87/G87/F87</f>
        <v>6.6893325684932614E-2</v>
      </c>
      <c r="M87" s="334">
        <f>'G-48 Price Out'!D89</f>
        <v>14.81</v>
      </c>
      <c r="N87" s="336">
        <f t="shared" si="10"/>
        <v>14.876893325684932</v>
      </c>
      <c r="P87" s="336">
        <f t="shared" si="11"/>
        <v>0.7078445630334117</v>
      </c>
      <c r="Q87" s="955">
        <f t="shared" si="12"/>
        <v>6.6893325684932614E-2</v>
      </c>
    </row>
    <row r="88" spans="1:17" s="320" customFormat="1" ht="12" customHeight="1">
      <c r="A88" s="352" t="s">
        <v>903</v>
      </c>
      <c r="B88" s="334">
        <v>13.65</v>
      </c>
      <c r="C88" s="335">
        <f>'G-48 Price Out'!G90</f>
        <v>9019.98</v>
      </c>
      <c r="G88" s="321"/>
      <c r="J88" s="934"/>
      <c r="M88" s="334"/>
    </row>
    <row r="89" spans="1:17" s="320" customFormat="1" ht="12" customHeight="1">
      <c r="A89" s="352" t="s">
        <v>905</v>
      </c>
      <c r="B89" s="334">
        <v>21.25</v>
      </c>
      <c r="C89" s="335">
        <f>'G-48 Price Out'!G91</f>
        <v>488.75</v>
      </c>
      <c r="G89" s="321"/>
      <c r="M89" s="334"/>
    </row>
    <row r="90" spans="1:17" s="320" customFormat="1" ht="12" customHeight="1">
      <c r="A90" s="352" t="s">
        <v>907</v>
      </c>
      <c r="B90" s="334">
        <v>16.649999999999999</v>
      </c>
      <c r="C90" s="335">
        <f>'G-48 Price Out'!G92</f>
        <v>9203.239999999998</v>
      </c>
      <c r="E90" s="335"/>
      <c r="F90" s="335"/>
      <c r="G90" s="340"/>
      <c r="M90" s="334"/>
    </row>
    <row r="91" spans="1:17" s="320" customFormat="1" ht="12" customHeight="1">
      <c r="A91" s="352" t="s">
        <v>909</v>
      </c>
      <c r="B91" s="334">
        <v>24.45</v>
      </c>
      <c r="C91" s="335">
        <f>'G-48 Price Out'!G93</f>
        <v>51.05</v>
      </c>
      <c r="G91" s="353"/>
      <c r="M91" s="334"/>
    </row>
    <row r="92" spans="1:17" s="320" customFormat="1" ht="12" customHeight="1">
      <c r="A92" s="352" t="s">
        <v>911</v>
      </c>
      <c r="B92" s="334">
        <v>19.7</v>
      </c>
      <c r="C92" s="335">
        <f>'G-48 Price Out'!G94</f>
        <v>26237.989999999998</v>
      </c>
      <c r="E92" s="335"/>
      <c r="F92" s="335"/>
      <c r="M92" s="334"/>
    </row>
    <row r="93" spans="1:17" s="320" customFormat="1" ht="12" customHeight="1">
      <c r="A93" s="352" t="s">
        <v>913</v>
      </c>
      <c r="B93" s="334">
        <v>28.6</v>
      </c>
      <c r="C93" s="335">
        <f>'G-48 Price Out'!G95</f>
        <v>1019.9000000000001</v>
      </c>
      <c r="E93" s="335"/>
      <c r="F93" s="335"/>
      <c r="G93" s="321"/>
      <c r="M93" s="334"/>
    </row>
    <row r="94" spans="1:17" s="320" customFormat="1" ht="12" customHeight="1">
      <c r="A94" s="352" t="s">
        <v>915</v>
      </c>
      <c r="B94" s="334">
        <v>31.25</v>
      </c>
      <c r="C94" s="335">
        <f>'G-48 Price Out'!G96</f>
        <v>890.63</v>
      </c>
      <c r="E94" s="335"/>
      <c r="F94" s="335"/>
      <c r="G94" s="321"/>
      <c r="M94" s="334"/>
    </row>
    <row r="95" spans="1:17" s="320" customFormat="1" ht="12" customHeight="1">
      <c r="A95" s="352" t="s">
        <v>917</v>
      </c>
      <c r="B95" s="334">
        <v>12.7</v>
      </c>
      <c r="C95" s="335">
        <f>'G-48 Price Out'!G97</f>
        <v>76.199999999999989</v>
      </c>
      <c r="E95" s="335"/>
      <c r="F95" s="335"/>
      <c r="G95" s="340"/>
      <c r="M95" s="334"/>
    </row>
    <row r="96" spans="1:17" s="320" customFormat="1" ht="12" customHeight="1">
      <c r="A96" s="352" t="s">
        <v>919</v>
      </c>
      <c r="B96" s="334">
        <v>13.45</v>
      </c>
      <c r="C96" s="335">
        <f>'G-48 Price Out'!G98</f>
        <v>242.1</v>
      </c>
      <c r="E96" s="335"/>
      <c r="F96" s="335"/>
      <c r="G96" s="340"/>
      <c r="M96" s="334"/>
    </row>
    <row r="97" spans="1:13" s="320" customFormat="1" ht="12" customHeight="1">
      <c r="A97" s="352" t="s">
        <v>921</v>
      </c>
      <c r="B97" s="334">
        <v>14.25</v>
      </c>
      <c r="C97" s="335">
        <f>'G-48 Price Out'!G99</f>
        <v>588.20000000000005</v>
      </c>
      <c r="E97" s="335"/>
      <c r="F97" s="335"/>
      <c r="G97" s="340"/>
      <c r="M97" s="334"/>
    </row>
    <row r="98" spans="1:13" s="320" customFormat="1" ht="12" customHeight="1">
      <c r="A98" s="352" t="s">
        <v>923</v>
      </c>
      <c r="B98" s="334">
        <v>4</v>
      </c>
      <c r="C98" s="335">
        <f>'G-48 Price Out'!G100</f>
        <v>198</v>
      </c>
      <c r="E98" s="335"/>
      <c r="F98" s="335"/>
      <c r="G98" s="340"/>
      <c r="M98" s="334"/>
    </row>
    <row r="99" spans="1:13" s="320" customFormat="1" ht="12" customHeight="1">
      <c r="A99" s="352" t="s">
        <v>925</v>
      </c>
      <c r="B99" s="334">
        <v>8</v>
      </c>
      <c r="C99" s="335">
        <f>'G-48 Price Out'!G101</f>
        <v>180</v>
      </c>
      <c r="E99" s="335"/>
      <c r="F99" s="335"/>
      <c r="G99" s="340"/>
      <c r="M99" s="334"/>
    </row>
    <row r="100" spans="1:13" s="320" customFormat="1" ht="12" customHeight="1">
      <c r="A100" s="352" t="s">
        <v>927</v>
      </c>
      <c r="B100" s="334">
        <v>12</v>
      </c>
      <c r="C100" s="335">
        <f>'G-48 Price Out'!G102</f>
        <v>0</v>
      </c>
      <c r="E100" s="335"/>
      <c r="F100" s="335"/>
      <c r="G100" s="340"/>
      <c r="M100" s="334"/>
    </row>
    <row r="101" spans="1:13" s="320" customFormat="1" ht="12" customHeight="1">
      <c r="A101" s="352" t="s">
        <v>798</v>
      </c>
      <c r="B101" s="334">
        <v>2</v>
      </c>
      <c r="C101" s="335">
        <f>'G-48 Price Out'!G103</f>
        <v>24</v>
      </c>
      <c r="E101" s="335"/>
      <c r="F101" s="335"/>
      <c r="G101" s="340"/>
      <c r="M101" s="334"/>
    </row>
    <row r="102" spans="1:13" s="320" customFormat="1" ht="12" customHeight="1">
      <c r="A102" s="352" t="s">
        <v>930</v>
      </c>
      <c r="B102" s="334">
        <v>2.5</v>
      </c>
      <c r="C102" s="335">
        <f>'G-48 Price Out'!G104</f>
        <v>81.25</v>
      </c>
      <c r="E102" s="335"/>
      <c r="F102" s="335"/>
      <c r="G102" s="340"/>
      <c r="M102" s="334"/>
    </row>
    <row r="103" spans="1:13" s="320" customFormat="1" ht="12" customHeight="1">
      <c r="A103" s="352" t="s">
        <v>932</v>
      </c>
      <c r="B103" s="334">
        <v>5</v>
      </c>
      <c r="C103" s="335">
        <f>'G-48 Price Out'!G105</f>
        <v>60</v>
      </c>
      <c r="E103" s="335"/>
      <c r="F103" s="335"/>
      <c r="G103" s="340"/>
      <c r="M103" s="334"/>
    </row>
    <row r="104" spans="1:13" s="320" customFormat="1" ht="12" customHeight="1">
      <c r="A104" s="352" t="s">
        <v>934</v>
      </c>
      <c r="B104" s="334">
        <v>1.5</v>
      </c>
      <c r="C104" s="335">
        <f>'G-48 Price Out'!G106</f>
        <v>4.5</v>
      </c>
      <c r="E104" s="335"/>
      <c r="F104" s="335"/>
      <c r="G104" s="340"/>
      <c r="M104" s="334"/>
    </row>
    <row r="105" spans="1:13" s="320" customFormat="1" ht="12" customHeight="1">
      <c r="A105" s="352" t="s">
        <v>936</v>
      </c>
      <c r="B105" s="334">
        <v>3.46</v>
      </c>
      <c r="C105" s="335">
        <f>'G-48 Price Out'!G107</f>
        <v>41.52</v>
      </c>
      <c r="E105" s="335"/>
      <c r="F105" s="335"/>
      <c r="G105" s="321"/>
      <c r="M105" s="334"/>
    </row>
    <row r="106" spans="1:13" s="320" customFormat="1" ht="12" customHeight="1">
      <c r="A106" s="321" t="s">
        <v>938</v>
      </c>
      <c r="B106" s="334">
        <v>0.8</v>
      </c>
      <c r="C106" s="335">
        <f>'G-48 Price Out'!G108</f>
        <v>9.1999999999999993</v>
      </c>
      <c r="E106" s="335"/>
      <c r="F106" s="335"/>
      <c r="G106" s="321"/>
      <c r="M106" s="334"/>
    </row>
    <row r="107" spans="1:13" s="320" customFormat="1" ht="12" customHeight="1">
      <c r="A107" s="352" t="s">
        <v>806</v>
      </c>
      <c r="B107" s="334">
        <v>7.36</v>
      </c>
      <c r="C107" s="335">
        <f>'G-48 Price Out'!G109</f>
        <v>88.320000000000007</v>
      </c>
      <c r="E107" s="335"/>
      <c r="F107" s="335"/>
      <c r="G107" s="340"/>
      <c r="M107" s="334"/>
    </row>
    <row r="108" spans="1:13" s="320" customFormat="1" ht="12" customHeight="1">
      <c r="A108" s="321" t="s">
        <v>941</v>
      </c>
      <c r="B108" s="334">
        <v>13.86</v>
      </c>
      <c r="C108" s="335">
        <f>'G-48 Price Out'!G110</f>
        <v>3205.1299999999992</v>
      </c>
      <c r="E108" s="335"/>
      <c r="F108" s="335"/>
      <c r="G108" s="321"/>
      <c r="M108" s="334"/>
    </row>
    <row r="109" spans="1:13" s="320" customFormat="1" ht="12" customHeight="1">
      <c r="A109" s="321" t="s">
        <v>943</v>
      </c>
      <c r="B109" s="334">
        <v>41.58</v>
      </c>
      <c r="C109" s="335">
        <f>'G-48 Price Out'!G111</f>
        <v>0</v>
      </c>
      <c r="E109" s="335"/>
      <c r="F109" s="335"/>
      <c r="G109" s="321"/>
      <c r="M109" s="334"/>
    </row>
    <row r="110" spans="1:13" s="320" customFormat="1" ht="12" customHeight="1">
      <c r="A110" s="352" t="s">
        <v>945</v>
      </c>
      <c r="B110" s="334">
        <v>3.2</v>
      </c>
      <c r="C110" s="335">
        <f>'G-48 Price Out'!G112</f>
        <v>332.64</v>
      </c>
      <c r="E110" s="335"/>
      <c r="F110" s="335"/>
      <c r="G110" s="321"/>
      <c r="M110" s="334"/>
    </row>
    <row r="111" spans="1:13" s="320" customFormat="1" ht="12" customHeight="1">
      <c r="A111" s="352" t="s">
        <v>947</v>
      </c>
      <c r="B111" s="334">
        <v>6.94</v>
      </c>
      <c r="C111" s="335">
        <f>'G-48 Price Out'!G113</f>
        <v>187.38</v>
      </c>
      <c r="E111" s="335"/>
      <c r="F111" s="335"/>
      <c r="G111" s="321"/>
      <c r="M111" s="334"/>
    </row>
    <row r="112" spans="1:13" s="320" customFormat="1" ht="12" customHeight="1">
      <c r="A112" s="352" t="s">
        <v>949</v>
      </c>
      <c r="B112" s="334"/>
      <c r="C112" s="335"/>
      <c r="E112" s="335"/>
      <c r="F112" s="335"/>
      <c r="G112" s="321"/>
      <c r="M112" s="334"/>
    </row>
    <row r="113" spans="1:16" s="320" customFormat="1" ht="12" customHeight="1">
      <c r="A113" s="342"/>
      <c r="B113" s="334"/>
      <c r="C113" s="336"/>
      <c r="G113" s="321"/>
      <c r="M113" s="334"/>
    </row>
    <row r="114" spans="1:16" s="356" customFormat="1" ht="12" customHeight="1" thickBot="1">
      <c r="A114" s="344" t="s">
        <v>950</v>
      </c>
      <c r="B114" s="355"/>
      <c r="C114" s="346">
        <f>SUM(C46:C113)</f>
        <v>346141.65000000014</v>
      </c>
      <c r="E114" s="357">
        <f t="shared" ref="E114:I114" si="15">SUM(E46:E113)</f>
        <v>4392.3030578390008</v>
      </c>
      <c r="F114" s="357"/>
      <c r="G114" s="357">
        <f t="shared" si="15"/>
        <v>17878.453448963304</v>
      </c>
      <c r="I114" s="357">
        <f t="shared" si="15"/>
        <v>3850663.059651521</v>
      </c>
      <c r="J114" s="357">
        <f t="shared" ref="J114:K114" si="16">SUM(J46:J113)</f>
        <v>2747559.0202902192</v>
      </c>
      <c r="K114" s="944">
        <f t="shared" si="16"/>
        <v>2060.6692652176675</v>
      </c>
      <c r="M114" s="355"/>
      <c r="P114" s="944">
        <f t="shared" ref="P114" si="17">SUM(P46:P113)</f>
        <v>2060.6692652176675</v>
      </c>
    </row>
    <row r="115" spans="1:16" s="320" customFormat="1" ht="12" customHeight="1">
      <c r="A115" s="358"/>
      <c r="B115" s="334"/>
      <c r="C115" s="336"/>
      <c r="G115" s="321"/>
      <c r="H115" s="320" t="s">
        <v>1556</v>
      </c>
      <c r="I115" s="937">
        <f>I39+I114</f>
        <v>7066369.0337189175</v>
      </c>
      <c r="J115" s="937">
        <f>J39+J114</f>
        <v>5042057.8686131388</v>
      </c>
      <c r="K115" s="945">
        <f>K39+K114</f>
        <v>3781.5434014598586</v>
      </c>
    </row>
    <row r="116" spans="1:16" s="320" customFormat="1" ht="12" customHeight="1">
      <c r="A116" s="358"/>
      <c r="B116" s="334"/>
      <c r="C116" s="336"/>
      <c r="G116" s="321"/>
      <c r="I116" s="937"/>
      <c r="J116" s="937"/>
      <c r="K116" s="945"/>
    </row>
    <row r="117" spans="1:16" s="320" customFormat="1" ht="12" customHeight="1">
      <c r="A117" s="358" t="s">
        <v>1593</v>
      </c>
      <c r="B117" s="334"/>
      <c r="C117" s="336"/>
      <c r="G117" s="321"/>
      <c r="I117" s="937"/>
      <c r="J117" s="937"/>
      <c r="K117" s="945"/>
    </row>
    <row r="118" spans="1:16" s="320" customFormat="1" ht="12" customHeight="1">
      <c r="A118" s="352" t="s">
        <v>1594</v>
      </c>
      <c r="B118" s="334">
        <v>37.01</v>
      </c>
      <c r="C118" s="335">
        <f>'G-48 Price Out'!G120</f>
        <v>0</v>
      </c>
      <c r="E118" s="335">
        <f>'G-48 Price Out'!K120*References!$H$19</f>
        <v>0</v>
      </c>
      <c r="F118" s="932">
        <v>1</v>
      </c>
      <c r="G118" s="340">
        <v>12</v>
      </c>
      <c r="H118" s="320">
        <f>References!C31</f>
        <v>473</v>
      </c>
      <c r="I118" s="934">
        <f t="shared" ref="I118" si="18">G118*H118</f>
        <v>5676</v>
      </c>
      <c r="J118" s="934">
        <f t="shared" ref="J118" si="19">I118*$E$126</f>
        <v>4049.9895102685568</v>
      </c>
      <c r="K118" s="943">
        <f>J118*References!$D$57</f>
        <v>3.0374921327014204</v>
      </c>
      <c r="L118" s="955">
        <f t="shared" ref="L118" si="20">K118/G118*F118</f>
        <v>0.25312434439178505</v>
      </c>
      <c r="M118" s="334">
        <v>37.01</v>
      </c>
      <c r="N118" s="336">
        <f t="shared" ref="N118" si="21">M118+L118</f>
        <v>37.263124344391784</v>
      </c>
    </row>
    <row r="119" spans="1:16" s="320" customFormat="1" ht="12" customHeight="1">
      <c r="A119" s="358"/>
      <c r="B119" s="334"/>
      <c r="C119" s="336"/>
      <c r="G119" s="321"/>
      <c r="I119" s="937"/>
      <c r="J119" s="937"/>
      <c r="K119" s="945"/>
    </row>
    <row r="120" spans="1:16" s="320" customFormat="1" ht="12" customHeight="1">
      <c r="A120" s="358"/>
      <c r="B120" s="334"/>
      <c r="C120" s="336"/>
      <c r="G120" s="321"/>
      <c r="I120" s="937"/>
      <c r="J120" s="937"/>
      <c r="K120" s="945"/>
    </row>
    <row r="121" spans="1:16" ht="13.5" thickBot="1"/>
    <row r="122" spans="1:16">
      <c r="C122" s="947"/>
      <c r="D122" s="948"/>
      <c r="E122" s="949"/>
    </row>
    <row r="123" spans="1:16">
      <c r="C123" s="950" t="s">
        <v>1552</v>
      </c>
      <c r="D123" s="337"/>
      <c r="E123" s="951">
        <f>'DF Schedule'!C56</f>
        <v>2521.0289343065688</v>
      </c>
    </row>
    <row r="124" spans="1:16">
      <c r="C124" s="950" t="s">
        <v>1553</v>
      </c>
      <c r="D124" s="337"/>
      <c r="E124" s="951">
        <f>E123*References!$H$16</f>
        <v>5042057.8686131379</v>
      </c>
    </row>
    <row r="125" spans="1:16">
      <c r="C125" s="950" t="s">
        <v>1554</v>
      </c>
      <c r="D125" s="337"/>
      <c r="E125" s="951">
        <f>G39+G114</f>
        <v>98810.352021211875</v>
      </c>
    </row>
    <row r="126" spans="1:16" ht="13.5" thickBot="1">
      <c r="C126" s="952" t="s">
        <v>1555</v>
      </c>
      <c r="D126" s="953"/>
      <c r="E126" s="954">
        <f>E124/I115</f>
        <v>0.71352880730594725</v>
      </c>
    </row>
  </sheetData>
  <pageMargins left="0.7" right="0.7" top="0.75" bottom="0.75" header="0.3" footer="0.3"/>
  <pageSetup scale="58" fitToHeight="8" orientation="landscape"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R70"/>
  <sheetViews>
    <sheetView zoomScale="85" zoomScaleNormal="85" workbookViewId="0">
      <selection sqref="A1:O72"/>
    </sheetView>
  </sheetViews>
  <sheetFormatPr defaultRowHeight="15"/>
  <cols>
    <col min="1" max="1" width="2.28515625" customWidth="1"/>
    <col min="2" max="2" width="29.7109375" customWidth="1"/>
    <col min="3" max="3" width="16.140625" customWidth="1"/>
    <col min="4" max="4" width="12.5703125" bestFit="1" customWidth="1"/>
    <col min="5" max="5" width="14.140625" customWidth="1"/>
    <col min="6" max="6" width="11.5703125" bestFit="1" customWidth="1"/>
    <col min="7" max="7" width="15" customWidth="1"/>
    <col min="8" max="8" width="11.5703125" bestFit="1" customWidth="1"/>
    <col min="9" max="9" width="15.28515625" customWidth="1"/>
    <col min="10" max="14" width="11.5703125" bestFit="1" customWidth="1"/>
    <col min="15" max="15" width="12.5703125" bestFit="1" customWidth="1"/>
    <col min="17" max="17" width="11.28515625" bestFit="1" customWidth="1"/>
    <col min="18" max="18" width="10.5703125" bestFit="1" customWidth="1"/>
  </cols>
  <sheetData>
    <row r="1" spans="1:18">
      <c r="B1" s="418" t="s">
        <v>218</v>
      </c>
    </row>
    <row r="2" spans="1:18">
      <c r="B2" s="418" t="s">
        <v>1557</v>
      </c>
    </row>
    <row r="4" spans="1:18">
      <c r="B4" s="867"/>
      <c r="C4" s="956"/>
      <c r="D4" s="956"/>
      <c r="E4" s="956"/>
      <c r="F4" s="956"/>
      <c r="G4" s="956"/>
      <c r="H4" s="956"/>
      <c r="I4" s="956"/>
      <c r="J4" s="956"/>
      <c r="K4" s="956"/>
      <c r="L4" s="956"/>
      <c r="M4" s="956"/>
      <c r="N4" s="956"/>
      <c r="O4" s="957"/>
    </row>
    <row r="5" spans="1:18">
      <c r="B5" s="869"/>
      <c r="C5" s="958"/>
      <c r="D5" s="958"/>
      <c r="E5" s="958"/>
      <c r="F5" s="958"/>
      <c r="G5" s="958"/>
      <c r="H5" s="958"/>
      <c r="I5" s="958"/>
      <c r="J5" s="958"/>
      <c r="K5" s="958"/>
      <c r="L5" s="958"/>
      <c r="M5" s="958"/>
      <c r="N5" s="958"/>
      <c r="O5" s="959"/>
    </row>
    <row r="6" spans="1:18">
      <c r="B6" s="960" t="s">
        <v>1558</v>
      </c>
      <c r="C6" s="958"/>
      <c r="D6" s="958"/>
      <c r="E6" s="958"/>
      <c r="F6" s="958"/>
      <c r="G6" s="958"/>
      <c r="H6" s="958"/>
      <c r="I6" s="958"/>
      <c r="J6" s="958"/>
      <c r="K6" s="958"/>
      <c r="L6" s="958"/>
      <c r="M6" s="958"/>
      <c r="N6" s="958"/>
      <c r="O6" s="959"/>
    </row>
    <row r="7" spans="1:18">
      <c r="B7" s="869"/>
      <c r="C7" s="958"/>
      <c r="D7" s="958"/>
      <c r="E7" s="958"/>
      <c r="F7" s="958"/>
      <c r="G7" s="958"/>
      <c r="H7" s="958"/>
      <c r="I7" s="958"/>
      <c r="J7" s="958"/>
      <c r="K7" s="958"/>
      <c r="L7" s="958"/>
      <c r="M7" s="958"/>
      <c r="N7" s="958"/>
      <c r="O7" s="959"/>
    </row>
    <row r="8" spans="1:18" s="418" customFormat="1">
      <c r="B8" s="961"/>
      <c r="C8" s="962">
        <v>42095</v>
      </c>
      <c r="D8" s="962">
        <v>42125</v>
      </c>
      <c r="E8" s="962">
        <v>42156</v>
      </c>
      <c r="F8" s="962">
        <v>42186</v>
      </c>
      <c r="G8" s="962">
        <v>42217</v>
      </c>
      <c r="H8" s="962">
        <v>42248</v>
      </c>
      <c r="I8" s="962">
        <v>42278</v>
      </c>
      <c r="J8" s="962">
        <v>42309</v>
      </c>
      <c r="K8" s="962">
        <v>42339</v>
      </c>
      <c r="L8" s="962">
        <v>42370</v>
      </c>
      <c r="M8" s="962">
        <v>42401</v>
      </c>
      <c r="N8" s="962">
        <v>42430</v>
      </c>
      <c r="O8" s="963" t="s">
        <v>1559</v>
      </c>
    </row>
    <row r="9" spans="1:18">
      <c r="A9" s="964"/>
      <c r="B9" s="961" t="s">
        <v>1560</v>
      </c>
      <c r="C9" s="958">
        <v>28.9</v>
      </c>
      <c r="D9" s="965">
        <f>D13/68.5</f>
        <v>153.3240875912409</v>
      </c>
      <c r="E9" s="965">
        <f t="shared" ref="E9:N10" si="0">E13/68.5</f>
        <v>86.964671532846708</v>
      </c>
      <c r="F9" s="965">
        <f t="shared" si="0"/>
        <v>108.82715328467152</v>
      </c>
      <c r="G9" s="965">
        <f t="shared" si="0"/>
        <v>100.90102189781022</v>
      </c>
      <c r="H9" s="965">
        <f t="shared" si="0"/>
        <v>79.456058394160578</v>
      </c>
      <c r="I9" s="965">
        <f t="shared" si="0"/>
        <v>110.59036496350366</v>
      </c>
      <c r="J9" s="965">
        <f t="shared" si="0"/>
        <v>86.179999999999993</v>
      </c>
      <c r="K9" s="965">
        <f t="shared" si="0"/>
        <v>116.13080291970802</v>
      </c>
      <c r="L9" s="965">
        <f t="shared" si="0"/>
        <v>78.93007299270073</v>
      </c>
      <c r="M9" s="965">
        <f t="shared" si="0"/>
        <v>166.81985401459858</v>
      </c>
      <c r="N9" s="965">
        <f t="shared" si="0"/>
        <v>115.40116788321167</v>
      </c>
      <c r="O9" s="966">
        <f>SUM(C9:N9)</f>
        <v>1232.4252554744526</v>
      </c>
    </row>
    <row r="10" spans="1:18">
      <c r="A10" s="964"/>
      <c r="B10" s="961" t="s">
        <v>1561</v>
      </c>
      <c r="C10" s="958">
        <v>0</v>
      </c>
      <c r="D10" s="965">
        <f>D14/68.5</f>
        <v>193.23474452554746</v>
      </c>
      <c r="E10" s="965">
        <f t="shared" si="0"/>
        <v>209.3007299270073</v>
      </c>
      <c r="F10" s="965">
        <f t="shared" si="0"/>
        <v>226.24291970802918</v>
      </c>
      <c r="G10" s="965">
        <f t="shared" si="0"/>
        <v>213.63051094890511</v>
      </c>
      <c r="H10" s="965">
        <f t="shared" si="0"/>
        <v>222.67153284671534</v>
      </c>
      <c r="I10" s="965">
        <f t="shared" si="0"/>
        <v>186.44554744525547</v>
      </c>
      <c r="J10" s="965">
        <f t="shared" si="0"/>
        <v>201.83744525547445</v>
      </c>
      <c r="K10" s="965">
        <f t="shared" si="0"/>
        <v>207.61518248175182</v>
      </c>
      <c r="L10" s="965">
        <f t="shared" si="0"/>
        <v>198.86846715328466</v>
      </c>
      <c r="M10" s="965">
        <f t="shared" si="0"/>
        <v>265.40700729927005</v>
      </c>
      <c r="N10" s="965">
        <f t="shared" si="0"/>
        <v>168.83810218978101</v>
      </c>
      <c r="O10" s="967">
        <f>SUM(C10:N10)</f>
        <v>2294.0921897810222</v>
      </c>
    </row>
    <row r="11" spans="1:18">
      <c r="A11" s="964"/>
      <c r="B11" s="961"/>
      <c r="C11" s="958">
        <f t="shared" ref="C11:N11" si="1">SUM(C9:C10)</f>
        <v>28.9</v>
      </c>
      <c r="D11" s="965">
        <f t="shared" si="1"/>
        <v>346.55883211678838</v>
      </c>
      <c r="E11" s="965">
        <f t="shared" si="1"/>
        <v>296.26540145985399</v>
      </c>
      <c r="F11" s="965">
        <f t="shared" si="1"/>
        <v>335.07007299270072</v>
      </c>
      <c r="G11" s="965">
        <f t="shared" si="1"/>
        <v>314.53153284671532</v>
      </c>
      <c r="H11" s="965">
        <f t="shared" si="1"/>
        <v>302.12759124087592</v>
      </c>
      <c r="I11" s="965">
        <f t="shared" si="1"/>
        <v>297.03591240875915</v>
      </c>
      <c r="J11" s="965">
        <f t="shared" si="1"/>
        <v>288.01744525547446</v>
      </c>
      <c r="K11" s="965">
        <f t="shared" si="1"/>
        <v>323.74598540145985</v>
      </c>
      <c r="L11" s="965">
        <f t="shared" si="1"/>
        <v>277.79854014598538</v>
      </c>
      <c r="M11" s="965">
        <f t="shared" si="1"/>
        <v>432.22686131386865</v>
      </c>
      <c r="N11" s="965">
        <f t="shared" si="1"/>
        <v>284.23927007299267</v>
      </c>
      <c r="O11" s="968">
        <f>SUM(O9:O10)</f>
        <v>3526.5174452554747</v>
      </c>
    </row>
    <row r="12" spans="1:18">
      <c r="A12" s="964"/>
      <c r="B12" s="961"/>
      <c r="C12" s="958"/>
      <c r="D12" s="958"/>
      <c r="E12" s="958"/>
      <c r="F12" s="958"/>
      <c r="G12" s="958"/>
      <c r="H12" s="958"/>
      <c r="I12" s="958"/>
      <c r="J12" s="958"/>
      <c r="K12" s="958"/>
      <c r="L12" s="958"/>
      <c r="M12" s="958"/>
      <c r="N12" s="958"/>
      <c r="O12" s="959"/>
    </row>
    <row r="13" spans="1:18">
      <c r="B13" s="961" t="s">
        <v>1562</v>
      </c>
      <c r="C13" s="969">
        <f>3697.9-520-295</f>
        <v>2882.9</v>
      </c>
      <c r="D13" s="969">
        <f>10762.7-260</f>
        <v>10502.7</v>
      </c>
      <c r="E13" s="969">
        <f>6886-1540.12+684.2-73</f>
        <v>5957.08</v>
      </c>
      <c r="F13" s="969">
        <f>7283.61-277.52+448.57</f>
        <v>7454.66</v>
      </c>
      <c r="G13" s="969">
        <f>6520.52-355.2+746.4</f>
        <v>6911.72</v>
      </c>
      <c r="H13" s="969">
        <f>5980.05-338.31+622-821</f>
        <v>5442.74</v>
      </c>
      <c r="I13" s="969">
        <f>8077.52-208.55+239.47-533</f>
        <v>7575.4400000000005</v>
      </c>
      <c r="J13" s="969">
        <v>5903.33</v>
      </c>
      <c r="K13" s="969">
        <f>7951.48-120.92+124.4</f>
        <v>7954.9599999999991</v>
      </c>
      <c r="L13" s="969">
        <f>5406.71</f>
        <v>5406.71</v>
      </c>
      <c r="M13" s="969">
        <f>13175.98-1008.88+62.2-802.14</f>
        <v>11427.160000000002</v>
      </c>
      <c r="N13" s="969">
        <f>7836.4+6.38+62.2</f>
        <v>7904.98</v>
      </c>
      <c r="O13" s="970">
        <f>SUM(C13:N13)</f>
        <v>85324.38</v>
      </c>
      <c r="Q13" s="977"/>
      <c r="R13" s="977"/>
    </row>
    <row r="14" spans="1:18">
      <c r="B14" s="961" t="s">
        <v>1563</v>
      </c>
      <c r="C14" s="969">
        <f t="shared" ref="C14" si="2">C10*68.5</f>
        <v>0</v>
      </c>
      <c r="D14" s="969">
        <f>13414.27-177.69</f>
        <v>13236.58</v>
      </c>
      <c r="E14" s="969">
        <f>16472.88-2135.78</f>
        <v>14337.1</v>
      </c>
      <c r="F14" s="969">
        <f>15010.06+487.58</f>
        <v>15497.64</v>
      </c>
      <c r="G14" s="969">
        <f>14750.79-117.1</f>
        <v>14633.69</v>
      </c>
      <c r="H14" s="969">
        <f>15900.22-647.22</f>
        <v>15253</v>
      </c>
      <c r="I14" s="969">
        <f>14404.18-1632.66</f>
        <v>12771.52</v>
      </c>
      <c r="J14" s="969">
        <f>14388.425-562.56</f>
        <v>13825.865</v>
      </c>
      <c r="K14" s="969">
        <f>14225.84-4.2</f>
        <v>14221.64</v>
      </c>
      <c r="L14" s="969">
        <f>13112.96+509.53</f>
        <v>13622.49</v>
      </c>
      <c r="M14" s="969">
        <f>13259.55+4920.83</f>
        <v>18180.379999999997</v>
      </c>
      <c r="N14" s="969">
        <f>15999.55-4434.14</f>
        <v>11565.41</v>
      </c>
      <c r="O14" s="971">
        <f>SUM(C14:N14)</f>
        <v>157145.31500000003</v>
      </c>
    </row>
    <row r="15" spans="1:18">
      <c r="B15" s="961"/>
      <c r="C15" s="969"/>
      <c r="D15" s="969"/>
      <c r="E15" s="969"/>
      <c r="F15" s="969"/>
      <c r="G15" s="969"/>
      <c r="H15" s="969"/>
      <c r="I15" s="969"/>
      <c r="J15" s="969"/>
      <c r="K15" s="969"/>
      <c r="L15" s="969"/>
      <c r="M15" s="969"/>
      <c r="N15" s="969"/>
      <c r="O15" s="970">
        <f>SUM(O13:O14)</f>
        <v>242469.69500000004</v>
      </c>
      <c r="Q15" s="977"/>
    </row>
    <row r="16" spans="1:18">
      <c r="B16" s="961"/>
      <c r="C16" s="958"/>
      <c r="D16" s="958"/>
      <c r="E16" s="958"/>
      <c r="F16" s="958"/>
      <c r="G16" s="958"/>
      <c r="H16" s="958"/>
      <c r="I16" s="958"/>
      <c r="J16" s="958"/>
      <c r="K16" s="958"/>
      <c r="L16" s="958"/>
      <c r="M16" s="958"/>
      <c r="N16" s="958"/>
      <c r="O16" s="959"/>
      <c r="Q16" s="977"/>
    </row>
    <row r="17" spans="2:18">
      <c r="B17" s="972"/>
      <c r="C17" s="973"/>
      <c r="D17" s="973"/>
      <c r="E17" s="973"/>
      <c r="F17" s="973"/>
      <c r="G17" s="973"/>
      <c r="H17" s="973"/>
      <c r="I17" s="973"/>
      <c r="J17" s="973"/>
      <c r="K17" s="973"/>
      <c r="L17" s="973"/>
      <c r="M17" s="973"/>
      <c r="N17" s="973"/>
      <c r="O17" s="974"/>
    </row>
    <row r="18" spans="2:18">
      <c r="B18" s="961"/>
      <c r="C18" s="958"/>
      <c r="D18" s="958"/>
      <c r="E18" s="958"/>
      <c r="F18" s="958"/>
      <c r="G18" s="958"/>
      <c r="H18" s="958"/>
      <c r="I18" s="958"/>
      <c r="J18" s="958"/>
      <c r="K18" s="958"/>
      <c r="L18" s="958"/>
      <c r="M18" s="958"/>
      <c r="N18" s="958"/>
      <c r="O18" s="959"/>
    </row>
    <row r="19" spans="2:18">
      <c r="B19" s="975" t="s">
        <v>1564</v>
      </c>
      <c r="C19" s="958"/>
      <c r="D19" s="958"/>
      <c r="E19" s="958"/>
      <c r="F19" s="958"/>
      <c r="G19" s="958"/>
      <c r="H19" s="958"/>
      <c r="I19" s="958"/>
      <c r="J19" s="958"/>
      <c r="K19" s="958"/>
      <c r="L19" s="958"/>
      <c r="M19" s="958"/>
      <c r="N19" s="958"/>
      <c r="O19" s="959"/>
    </row>
    <row r="20" spans="2:18">
      <c r="B20" s="961"/>
      <c r="C20" s="958"/>
      <c r="D20" s="958"/>
      <c r="E20" s="958"/>
      <c r="F20" s="958"/>
      <c r="G20" s="958"/>
      <c r="H20" s="958"/>
      <c r="I20" s="958"/>
      <c r="J20" s="958"/>
      <c r="K20" s="958"/>
      <c r="L20" s="958"/>
      <c r="M20" s="958"/>
      <c r="N20" s="958"/>
      <c r="O20" s="959"/>
    </row>
    <row r="21" spans="2:18" s="418" customFormat="1">
      <c r="B21" s="961"/>
      <c r="C21" s="962">
        <v>42095</v>
      </c>
      <c r="D21" s="962">
        <v>42125</v>
      </c>
      <c r="E21" s="962">
        <v>42156</v>
      </c>
      <c r="F21" s="962">
        <v>42186</v>
      </c>
      <c r="G21" s="962">
        <v>42217</v>
      </c>
      <c r="H21" s="962">
        <v>42248</v>
      </c>
      <c r="I21" s="962">
        <v>42278</v>
      </c>
      <c r="J21" s="962">
        <v>42309</v>
      </c>
      <c r="K21" s="962">
        <v>42339</v>
      </c>
      <c r="L21" s="962">
        <v>42370</v>
      </c>
      <c r="M21" s="962">
        <v>42401</v>
      </c>
      <c r="N21" s="962">
        <v>42430</v>
      </c>
      <c r="O21" s="963" t="s">
        <v>1559</v>
      </c>
    </row>
    <row r="22" spans="2:18">
      <c r="B22" s="961" t="s">
        <v>1565</v>
      </c>
      <c r="C22" s="976">
        <f>C30/3.11</f>
        <v>390.05787781350483</v>
      </c>
      <c r="D22" s="976">
        <f t="shared" ref="D22:N23" si="3">D30/3.11</f>
        <v>203.60128617363347</v>
      </c>
      <c r="E22" s="976">
        <f t="shared" si="3"/>
        <v>243.47266881028941</v>
      </c>
      <c r="F22" s="976">
        <f t="shared" si="3"/>
        <v>144.23472668810291</v>
      </c>
      <c r="G22" s="976">
        <f t="shared" si="3"/>
        <v>240</v>
      </c>
      <c r="H22" s="976">
        <f t="shared" si="3"/>
        <v>463.9871382636656</v>
      </c>
      <c r="I22" s="976">
        <f t="shared" si="3"/>
        <v>248.38263665594857</v>
      </c>
      <c r="J22" s="976">
        <f t="shared" si="3"/>
        <v>0</v>
      </c>
      <c r="K22" s="976">
        <f t="shared" si="3"/>
        <v>40</v>
      </c>
      <c r="L22" s="976">
        <f t="shared" si="3"/>
        <v>20</v>
      </c>
      <c r="M22" s="976">
        <f t="shared" si="3"/>
        <v>277.9228295819936</v>
      </c>
      <c r="N22" s="976">
        <f t="shared" si="3"/>
        <v>20</v>
      </c>
      <c r="O22" s="966">
        <f>SUM(C22:N22)</f>
        <v>2291.6591639871385</v>
      </c>
      <c r="P22" s="977"/>
    </row>
    <row r="23" spans="2:18">
      <c r="B23" s="961" t="s">
        <v>1566</v>
      </c>
      <c r="C23" s="976">
        <f>C31/3.11</f>
        <v>138.64630225080387</v>
      </c>
      <c r="D23" s="976">
        <f t="shared" si="3"/>
        <v>79</v>
      </c>
      <c r="E23" s="976">
        <f t="shared" si="3"/>
        <v>71</v>
      </c>
      <c r="F23" s="976">
        <f t="shared" si="3"/>
        <v>83</v>
      </c>
      <c r="G23" s="976">
        <f t="shared" si="3"/>
        <v>76.000000000000014</v>
      </c>
      <c r="H23" s="976">
        <f t="shared" si="3"/>
        <v>64</v>
      </c>
      <c r="I23" s="976">
        <f t="shared" si="3"/>
        <v>79</v>
      </c>
      <c r="J23" s="976">
        <f t="shared" si="3"/>
        <v>48</v>
      </c>
      <c r="K23" s="976">
        <f t="shared" si="3"/>
        <v>51.000000000000007</v>
      </c>
      <c r="L23" s="976">
        <f t="shared" si="3"/>
        <v>64</v>
      </c>
      <c r="M23" s="976">
        <f t="shared" si="3"/>
        <v>64</v>
      </c>
      <c r="N23" s="976">
        <f t="shared" si="3"/>
        <v>80</v>
      </c>
      <c r="O23" s="967">
        <f>SUM(C23:N23)</f>
        <v>897.64630225080384</v>
      </c>
    </row>
    <row r="24" spans="2:18">
      <c r="B24" s="961"/>
      <c r="C24" s="976"/>
      <c r="D24" s="976"/>
      <c r="E24" s="976"/>
      <c r="F24" s="976"/>
      <c r="G24" s="976"/>
      <c r="H24" s="976"/>
      <c r="I24" s="976"/>
      <c r="J24" s="976"/>
      <c r="K24" s="976"/>
      <c r="L24" s="976"/>
      <c r="M24" s="976"/>
      <c r="N24" s="976"/>
      <c r="O24" s="968">
        <f>SUM(O22:O23)</f>
        <v>3189.3054662379423</v>
      </c>
    </row>
    <row r="25" spans="2:18">
      <c r="B25" s="961"/>
      <c r="C25" s="976"/>
      <c r="D25" s="976"/>
      <c r="E25" s="976"/>
      <c r="F25" s="976"/>
      <c r="G25" s="976"/>
      <c r="H25" s="976"/>
      <c r="I25" s="976"/>
      <c r="J25" s="976"/>
      <c r="K25" s="976"/>
      <c r="L25" s="976"/>
      <c r="M25" s="976"/>
      <c r="N25" s="976"/>
      <c r="O25" s="968"/>
    </row>
    <row r="26" spans="2:18">
      <c r="B26" s="961" t="s">
        <v>1567</v>
      </c>
      <c r="C26" s="976">
        <f>C34/13</f>
        <v>46.309230769230801</v>
      </c>
      <c r="D26" s="976">
        <f t="shared" ref="D26:N27" si="4">D34/13</f>
        <v>211.09999999999997</v>
      </c>
      <c r="E26" s="976">
        <f t="shared" si="4"/>
        <v>0</v>
      </c>
      <c r="F26" s="976">
        <f t="shared" si="4"/>
        <v>0</v>
      </c>
      <c r="G26" s="976">
        <f t="shared" si="4"/>
        <v>0</v>
      </c>
      <c r="H26" s="976">
        <f t="shared" si="4"/>
        <v>0</v>
      </c>
      <c r="I26" s="976">
        <f t="shared" si="4"/>
        <v>0</v>
      </c>
      <c r="J26" s="976">
        <f t="shared" si="4"/>
        <v>0</v>
      </c>
      <c r="K26" s="976">
        <f t="shared" si="4"/>
        <v>0</v>
      </c>
      <c r="L26" s="976">
        <f t="shared" si="4"/>
        <v>0</v>
      </c>
      <c r="M26" s="976">
        <f t="shared" si="4"/>
        <v>0</v>
      </c>
      <c r="N26" s="976">
        <f t="shared" si="4"/>
        <v>0</v>
      </c>
      <c r="O26" s="966">
        <f>SUM(C26:N26)</f>
        <v>257.40923076923076</v>
      </c>
    </row>
    <row r="27" spans="2:18">
      <c r="B27" s="961" t="s">
        <v>1568</v>
      </c>
      <c r="C27" s="976">
        <f>C35/13</f>
        <v>1621.9084615384613</v>
      </c>
      <c r="D27" s="976">
        <f t="shared" si="4"/>
        <v>31</v>
      </c>
      <c r="E27" s="976">
        <f t="shared" si="4"/>
        <v>0</v>
      </c>
      <c r="F27" s="976">
        <f t="shared" si="4"/>
        <v>0</v>
      </c>
      <c r="G27" s="976">
        <f t="shared" si="4"/>
        <v>0</v>
      </c>
      <c r="H27" s="976">
        <f t="shared" si="4"/>
        <v>0</v>
      </c>
      <c r="I27" s="976">
        <f t="shared" si="4"/>
        <v>0</v>
      </c>
      <c r="J27" s="976">
        <f t="shared" si="4"/>
        <v>0</v>
      </c>
      <c r="K27" s="976">
        <f t="shared" si="4"/>
        <v>0</v>
      </c>
      <c r="L27" s="976">
        <f t="shared" si="4"/>
        <v>0</v>
      </c>
      <c r="M27" s="976">
        <f t="shared" si="4"/>
        <v>0</v>
      </c>
      <c r="N27" s="976">
        <f t="shared" si="4"/>
        <v>0</v>
      </c>
      <c r="O27" s="967">
        <f>SUM(C27:N27)</f>
        <v>1652.9084615384613</v>
      </c>
    </row>
    <row r="28" spans="2:18">
      <c r="B28" s="961"/>
      <c r="C28" s="958"/>
      <c r="D28" s="958"/>
      <c r="E28" s="958"/>
      <c r="F28" s="958"/>
      <c r="G28" s="958"/>
      <c r="H28" s="958"/>
      <c r="I28" s="958"/>
      <c r="J28" s="958"/>
      <c r="K28" s="958"/>
      <c r="L28" s="958"/>
      <c r="M28" s="958"/>
      <c r="N28" s="958"/>
      <c r="O28" s="968">
        <f>SUM(O26:O27)</f>
        <v>1910.3176923076921</v>
      </c>
    </row>
    <row r="29" spans="2:18">
      <c r="B29" s="961"/>
      <c r="C29" s="958"/>
      <c r="D29" s="958"/>
      <c r="E29" s="958"/>
      <c r="F29" s="958"/>
      <c r="G29" s="958"/>
      <c r="H29" s="958"/>
      <c r="I29" s="958"/>
      <c r="J29" s="958"/>
      <c r="K29" s="958"/>
      <c r="L29" s="958"/>
      <c r="M29" s="958"/>
      <c r="N29" s="958"/>
      <c r="O29" s="959"/>
    </row>
    <row r="30" spans="2:18">
      <c r="B30" s="961" t="s">
        <v>1569</v>
      </c>
      <c r="C30" s="969">
        <f>398.08+520+295</f>
        <v>1213.08</v>
      </c>
      <c r="D30" s="969">
        <f>373.2+260</f>
        <v>633.20000000000005</v>
      </c>
      <c r="E30" s="969">
        <f>684.2+73</f>
        <v>757.2</v>
      </c>
      <c r="F30" s="969">
        <f>171.05+277.52</f>
        <v>448.57</v>
      </c>
      <c r="G30" s="969">
        <v>746.4</v>
      </c>
      <c r="H30" s="969">
        <f>622+821</f>
        <v>1443</v>
      </c>
      <c r="I30" s="969">
        <f>239.47+533</f>
        <v>772.47</v>
      </c>
      <c r="J30" s="969">
        <v>0</v>
      </c>
      <c r="K30" s="969">
        <v>124.4</v>
      </c>
      <c r="L30" s="969">
        <v>62.2</v>
      </c>
      <c r="M30" s="978">
        <f>62.2+802.14</f>
        <v>864.34</v>
      </c>
      <c r="N30" s="969">
        <v>62.2</v>
      </c>
      <c r="O30" s="970">
        <f>SUM(C30:N30)</f>
        <v>7127.06</v>
      </c>
      <c r="Q30" s="977"/>
      <c r="R30" s="977"/>
    </row>
    <row r="31" spans="2:18">
      <c r="B31" s="961" t="s">
        <v>1570</v>
      </c>
      <c r="C31" s="969">
        <v>431.19</v>
      </c>
      <c r="D31" s="969">
        <v>245.69</v>
      </c>
      <c r="E31" s="969">
        <v>220.81</v>
      </c>
      <c r="F31" s="969">
        <v>258.13</v>
      </c>
      <c r="G31" s="969">
        <v>236.36</v>
      </c>
      <c r="H31" s="969">
        <v>199.04</v>
      </c>
      <c r="I31" s="969">
        <v>245.69</v>
      </c>
      <c r="J31" s="969">
        <v>149.28</v>
      </c>
      <c r="K31" s="969">
        <f>158.61</f>
        <v>158.61000000000001</v>
      </c>
      <c r="L31" s="969">
        <v>199.04</v>
      </c>
      <c r="M31" s="978">
        <v>199.04</v>
      </c>
      <c r="N31" s="969">
        <v>248.8</v>
      </c>
      <c r="O31" s="971">
        <f>SUM(C31:N31)</f>
        <v>2791.6800000000003</v>
      </c>
      <c r="Q31" s="977"/>
    </row>
    <row r="32" spans="2:18">
      <c r="B32" s="961"/>
      <c r="C32" s="969"/>
      <c r="D32" s="969"/>
      <c r="E32" s="969"/>
      <c r="F32" s="969"/>
      <c r="G32" s="969"/>
      <c r="H32" s="969"/>
      <c r="I32" s="969"/>
      <c r="J32" s="969"/>
      <c r="K32" s="969"/>
      <c r="L32" s="969"/>
      <c r="M32" s="969"/>
      <c r="N32" s="969"/>
      <c r="O32" s="970">
        <f>SUM(O30:O31)</f>
        <v>9918.7400000000016</v>
      </c>
    </row>
    <row r="33" spans="2:15">
      <c r="B33" s="961"/>
      <c r="C33" s="969"/>
      <c r="D33" s="969"/>
      <c r="E33" s="969"/>
      <c r="F33" s="969"/>
      <c r="G33" s="969"/>
      <c r="H33" s="969"/>
      <c r="I33" s="969"/>
      <c r="J33" s="969"/>
      <c r="K33" s="969"/>
      <c r="L33" s="969"/>
      <c r="M33" s="969"/>
      <c r="N33" s="969"/>
      <c r="O33" s="970"/>
    </row>
    <row r="34" spans="2:15">
      <c r="B34" s="961" t="s">
        <v>1571</v>
      </c>
      <c r="C34" s="969">
        <f>10413-10209.06+398.08</f>
        <v>602.02000000000044</v>
      </c>
      <c r="D34" s="969">
        <f>1040+1331.1+373.2</f>
        <v>2744.2999999999997</v>
      </c>
      <c r="E34" s="969">
        <v>0</v>
      </c>
      <c r="F34" s="969">
        <v>0</v>
      </c>
      <c r="G34" s="969">
        <v>0</v>
      </c>
      <c r="H34" s="969">
        <v>0</v>
      </c>
      <c r="I34" s="969">
        <v>0</v>
      </c>
      <c r="J34" s="969">
        <v>0</v>
      </c>
      <c r="K34" s="969">
        <v>0</v>
      </c>
      <c r="L34" s="969">
        <v>0</v>
      </c>
      <c r="M34" s="969">
        <v>0</v>
      </c>
      <c r="N34" s="969">
        <v>0</v>
      </c>
      <c r="O34" s="970">
        <f>SUM(C34:N34)</f>
        <v>3346.32</v>
      </c>
    </row>
    <row r="35" spans="2:15">
      <c r="B35" s="961" t="s">
        <v>1572</v>
      </c>
      <c r="C35" s="969">
        <f>6708+14376.81</f>
        <v>21084.809999999998</v>
      </c>
      <c r="D35" s="969">
        <v>403</v>
      </c>
      <c r="E35" s="969">
        <v>0</v>
      </c>
      <c r="F35" s="969">
        <v>0</v>
      </c>
      <c r="G35" s="969">
        <v>0</v>
      </c>
      <c r="H35" s="969">
        <v>0</v>
      </c>
      <c r="I35" s="969">
        <v>0</v>
      </c>
      <c r="J35" s="969">
        <v>0</v>
      </c>
      <c r="K35" s="969">
        <v>0</v>
      </c>
      <c r="L35" s="969">
        <v>0</v>
      </c>
      <c r="M35" s="969">
        <v>0</v>
      </c>
      <c r="N35" s="969">
        <v>0</v>
      </c>
      <c r="O35" s="971">
        <f>SUM(C35:N35)</f>
        <v>21487.809999999998</v>
      </c>
    </row>
    <row r="36" spans="2:15">
      <c r="B36" s="961"/>
      <c r="C36" s="958"/>
      <c r="D36" s="958"/>
      <c r="E36" s="958"/>
      <c r="F36" s="958"/>
      <c r="G36" s="958"/>
      <c r="H36" s="958"/>
      <c r="I36" s="958"/>
      <c r="J36" s="958"/>
      <c r="K36" s="958"/>
      <c r="L36" s="958"/>
      <c r="M36" s="958"/>
      <c r="N36" s="958"/>
      <c r="O36" s="970">
        <f>SUM(O34:O35)</f>
        <v>24834.129999999997</v>
      </c>
    </row>
    <row r="37" spans="2:15">
      <c r="B37" s="961"/>
      <c r="C37" s="958"/>
      <c r="D37" s="958"/>
      <c r="E37" s="958"/>
      <c r="F37" s="958"/>
      <c r="G37" s="958"/>
      <c r="H37" s="958"/>
      <c r="I37" s="958"/>
      <c r="J37" s="958"/>
      <c r="K37" s="958"/>
      <c r="L37" s="958"/>
      <c r="M37" s="958"/>
      <c r="N37" s="958"/>
      <c r="O37" s="970"/>
    </row>
    <row r="38" spans="2:15">
      <c r="B38" s="961" t="s">
        <v>1562</v>
      </c>
      <c r="C38" s="969">
        <f>C30+C34</f>
        <v>1815.1000000000004</v>
      </c>
      <c r="D38" s="969">
        <f t="shared" ref="D38:N39" si="5">D30+D34</f>
        <v>3377.5</v>
      </c>
      <c r="E38" s="969">
        <f t="shared" si="5"/>
        <v>757.2</v>
      </c>
      <c r="F38" s="969">
        <f t="shared" si="5"/>
        <v>448.57</v>
      </c>
      <c r="G38" s="969">
        <f t="shared" si="5"/>
        <v>746.4</v>
      </c>
      <c r="H38" s="969">
        <f t="shared" si="5"/>
        <v>1443</v>
      </c>
      <c r="I38" s="969">
        <f t="shared" si="5"/>
        <v>772.47</v>
      </c>
      <c r="J38" s="969">
        <f t="shared" si="5"/>
        <v>0</v>
      </c>
      <c r="K38" s="969">
        <f t="shared" si="5"/>
        <v>124.4</v>
      </c>
      <c r="L38" s="969">
        <f t="shared" si="5"/>
        <v>62.2</v>
      </c>
      <c r="M38" s="969">
        <f t="shared" si="5"/>
        <v>864.34</v>
      </c>
      <c r="N38" s="969">
        <f t="shared" si="5"/>
        <v>62.2</v>
      </c>
      <c r="O38" s="970">
        <f>SUM(C38:N38)</f>
        <v>10473.380000000001</v>
      </c>
    </row>
    <row r="39" spans="2:15">
      <c r="B39" s="961" t="s">
        <v>1563</v>
      </c>
      <c r="C39" s="969">
        <f>C31+C35</f>
        <v>21515.999999999996</v>
      </c>
      <c r="D39" s="969">
        <f t="shared" si="5"/>
        <v>648.69000000000005</v>
      </c>
      <c r="E39" s="969">
        <f t="shared" si="5"/>
        <v>220.81</v>
      </c>
      <c r="F39" s="969">
        <f t="shared" si="5"/>
        <v>258.13</v>
      </c>
      <c r="G39" s="969">
        <f t="shared" si="5"/>
        <v>236.36</v>
      </c>
      <c r="H39" s="969">
        <f t="shared" si="5"/>
        <v>199.04</v>
      </c>
      <c r="I39" s="969">
        <f t="shared" si="5"/>
        <v>245.69</v>
      </c>
      <c r="J39" s="969">
        <f t="shared" si="5"/>
        <v>149.28</v>
      </c>
      <c r="K39" s="969">
        <f t="shared" si="5"/>
        <v>158.61000000000001</v>
      </c>
      <c r="L39" s="969">
        <f t="shared" si="5"/>
        <v>199.04</v>
      </c>
      <c r="M39" s="969">
        <f t="shared" si="5"/>
        <v>199.04</v>
      </c>
      <c r="N39" s="969">
        <f t="shared" si="5"/>
        <v>248.8</v>
      </c>
      <c r="O39" s="971">
        <f>SUM(C39:N39)</f>
        <v>24279.489999999998</v>
      </c>
    </row>
    <row r="40" spans="2:15">
      <c r="B40" s="869"/>
      <c r="C40" s="958"/>
      <c r="D40" s="958"/>
      <c r="E40" s="958"/>
      <c r="F40" s="958"/>
      <c r="G40" s="958"/>
      <c r="H40" s="958"/>
      <c r="I40" s="958"/>
      <c r="J40" s="958"/>
      <c r="K40" s="958"/>
      <c r="L40" s="958"/>
      <c r="M40" s="958"/>
      <c r="N40" s="958"/>
      <c r="O40" s="970">
        <f>SUM(O38:O39)</f>
        <v>34752.869999999995</v>
      </c>
    </row>
    <row r="41" spans="2:15">
      <c r="B41" s="870"/>
      <c r="C41" s="973"/>
      <c r="D41" s="973"/>
      <c r="E41" s="973"/>
      <c r="F41" s="973"/>
      <c r="G41" s="973"/>
      <c r="H41" s="973"/>
      <c r="I41" s="973"/>
      <c r="J41" s="973"/>
      <c r="K41" s="973"/>
      <c r="L41" s="973"/>
      <c r="M41" s="973"/>
      <c r="N41" s="973"/>
      <c r="O41" s="971"/>
    </row>
    <row r="42" spans="2:15">
      <c r="B42" s="869"/>
      <c r="C42" s="958"/>
      <c r="D42" s="958"/>
      <c r="E42" s="958"/>
      <c r="F42" s="958"/>
      <c r="G42" s="958"/>
      <c r="H42" s="958"/>
      <c r="I42" s="958"/>
      <c r="J42" s="958"/>
      <c r="K42" s="958"/>
      <c r="L42" s="958"/>
      <c r="M42" s="958"/>
      <c r="N42" s="958"/>
      <c r="O42" s="959"/>
    </row>
    <row r="43" spans="2:15">
      <c r="B43" s="961" t="s">
        <v>1573</v>
      </c>
      <c r="C43" s="979">
        <f>C13+C38</f>
        <v>4698</v>
      </c>
      <c r="D43" s="979">
        <f t="shared" ref="D43:N43" si="6">D13+D38</f>
        <v>13880.2</v>
      </c>
      <c r="E43" s="979">
        <f t="shared" si="6"/>
        <v>6714.28</v>
      </c>
      <c r="F43" s="979">
        <f t="shared" si="6"/>
        <v>7903.23</v>
      </c>
      <c r="G43" s="979">
        <f t="shared" si="6"/>
        <v>7658.12</v>
      </c>
      <c r="H43" s="979">
        <f t="shared" si="6"/>
        <v>6885.74</v>
      </c>
      <c r="I43" s="979">
        <f t="shared" si="6"/>
        <v>8347.91</v>
      </c>
      <c r="J43" s="979">
        <f t="shared" si="6"/>
        <v>5903.33</v>
      </c>
      <c r="K43" s="979">
        <f t="shared" si="6"/>
        <v>8079.3599999999988</v>
      </c>
      <c r="L43" s="979">
        <f t="shared" si="6"/>
        <v>5468.91</v>
      </c>
      <c r="M43" s="979">
        <f t="shared" si="6"/>
        <v>12291.500000000002</v>
      </c>
      <c r="N43" s="979">
        <f t="shared" si="6"/>
        <v>7967.1799999999994</v>
      </c>
      <c r="O43" s="970">
        <f>SUM(C43:N43)</f>
        <v>95797.759999999995</v>
      </c>
    </row>
    <row r="44" spans="2:15">
      <c r="B44" s="961" t="s">
        <v>1574</v>
      </c>
      <c r="C44" s="979">
        <f>C14+C39</f>
        <v>21515.999999999996</v>
      </c>
      <c r="D44" s="979">
        <f t="shared" ref="D44:N44" si="7">D14+D39</f>
        <v>13885.27</v>
      </c>
      <c r="E44" s="979">
        <f t="shared" si="7"/>
        <v>14557.91</v>
      </c>
      <c r="F44" s="979">
        <f t="shared" si="7"/>
        <v>15755.769999999999</v>
      </c>
      <c r="G44" s="979">
        <f t="shared" si="7"/>
        <v>14870.050000000001</v>
      </c>
      <c r="H44" s="979">
        <f t="shared" si="7"/>
        <v>15452.04</v>
      </c>
      <c r="I44" s="979">
        <f t="shared" si="7"/>
        <v>13017.210000000001</v>
      </c>
      <c r="J44" s="979">
        <f t="shared" si="7"/>
        <v>13975.145</v>
      </c>
      <c r="K44" s="979">
        <f t="shared" si="7"/>
        <v>14380.25</v>
      </c>
      <c r="L44" s="979">
        <f t="shared" si="7"/>
        <v>13821.53</v>
      </c>
      <c r="M44" s="979">
        <f t="shared" si="7"/>
        <v>18379.419999999998</v>
      </c>
      <c r="N44" s="979">
        <f t="shared" si="7"/>
        <v>11814.21</v>
      </c>
      <c r="O44" s="971">
        <f>SUM(C44:N44)</f>
        <v>181424.80500000002</v>
      </c>
    </row>
    <row r="45" spans="2:15">
      <c r="B45" s="972" t="s">
        <v>1575</v>
      </c>
      <c r="C45" s="980">
        <f>SUM(C43:C44)</f>
        <v>26213.999999999996</v>
      </c>
      <c r="D45" s="980">
        <f t="shared" ref="D45:N45" si="8">SUM(D43:D44)</f>
        <v>27765.47</v>
      </c>
      <c r="E45" s="980">
        <f t="shared" si="8"/>
        <v>21272.19</v>
      </c>
      <c r="F45" s="980">
        <f t="shared" si="8"/>
        <v>23659</v>
      </c>
      <c r="G45" s="980">
        <f t="shared" si="8"/>
        <v>22528.170000000002</v>
      </c>
      <c r="H45" s="980">
        <f t="shared" si="8"/>
        <v>22337.78</v>
      </c>
      <c r="I45" s="980">
        <f t="shared" si="8"/>
        <v>21365.120000000003</v>
      </c>
      <c r="J45" s="980">
        <f t="shared" si="8"/>
        <v>19878.474999999999</v>
      </c>
      <c r="K45" s="980">
        <f t="shared" si="8"/>
        <v>22459.61</v>
      </c>
      <c r="L45" s="980">
        <f t="shared" si="8"/>
        <v>19290.440000000002</v>
      </c>
      <c r="M45" s="980">
        <f t="shared" si="8"/>
        <v>30670.92</v>
      </c>
      <c r="N45" s="980">
        <f t="shared" si="8"/>
        <v>19781.39</v>
      </c>
      <c r="O45" s="971">
        <f>SUM(O43:O44)</f>
        <v>277222.565</v>
      </c>
    </row>
    <row r="47" spans="2:15">
      <c r="B47" s="981" t="s">
        <v>1576</v>
      </c>
      <c r="C47" s="8">
        <f>'2025 IS'!G47</f>
        <v>26213.59</v>
      </c>
      <c r="D47" s="8">
        <f>'2025 IS'!I47</f>
        <v>27765.49</v>
      </c>
      <c r="E47" s="8">
        <f>'2025 IS'!K47</f>
        <v>21272.19</v>
      </c>
      <c r="F47" s="8">
        <f>'2025 IS'!M47</f>
        <v>23659</v>
      </c>
      <c r="G47" s="8">
        <f>'2025 IS'!O47</f>
        <v>22528.17</v>
      </c>
      <c r="H47" s="8">
        <f>'2025 IS'!Q47</f>
        <v>22337.78</v>
      </c>
      <c r="I47" s="8">
        <f>'2025 IS'!S47</f>
        <v>21365.119999999999</v>
      </c>
      <c r="J47" s="8">
        <f>'2025 IS'!U47</f>
        <v>19878.47</v>
      </c>
      <c r="K47" s="8">
        <f>'2025 IS'!W47</f>
        <v>22459.61</v>
      </c>
      <c r="L47" s="8">
        <f>'2025 IS'!Y47</f>
        <v>19290.48</v>
      </c>
      <c r="M47" s="8">
        <f>'2025 IS'!AA47</f>
        <v>30670.92</v>
      </c>
      <c r="N47" s="8">
        <f>'2025 IS'!AC47</f>
        <v>19781.39</v>
      </c>
    </row>
    <row r="48" spans="2:15">
      <c r="B48" s="981" t="s">
        <v>1577</v>
      </c>
      <c r="C48" s="8">
        <f>'2025 IS'!G10</f>
        <v>4697.8500000000004</v>
      </c>
      <c r="D48" s="8">
        <f>'2025 IS'!I10</f>
        <v>13880.22</v>
      </c>
      <c r="E48" s="8">
        <f>'2025 IS'!K10</f>
        <v>6714.28</v>
      </c>
      <c r="F48" s="8">
        <f>'2025 IS'!M10</f>
        <v>7903.23</v>
      </c>
      <c r="G48" s="8">
        <f>'2025 IS'!O10</f>
        <v>7658.12</v>
      </c>
      <c r="H48" s="8">
        <f>'2025 IS'!Q10</f>
        <v>6885.74</v>
      </c>
      <c r="I48" s="8">
        <f>'2025 IS'!S10</f>
        <v>8347.91</v>
      </c>
      <c r="J48" s="8">
        <f>'2025 IS'!U10</f>
        <v>5903.41</v>
      </c>
      <c r="K48" s="8">
        <f>'2025 IS'!W10</f>
        <v>8079.36</v>
      </c>
      <c r="L48" s="8">
        <f>'2025 IS'!Y10</f>
        <v>5468.95</v>
      </c>
      <c r="M48" s="8">
        <f>'2025 IS'!AA10</f>
        <v>12291.5</v>
      </c>
      <c r="N48" s="8">
        <f>'2025 IS'!AC10</f>
        <v>7967.18</v>
      </c>
    </row>
    <row r="49" spans="2:14">
      <c r="B49" s="981" t="s">
        <v>1578</v>
      </c>
      <c r="C49" s="634">
        <f>C47-C48</f>
        <v>21515.739999999998</v>
      </c>
      <c r="D49" s="634">
        <f t="shared" ref="D49:N49" si="9">D47-D48</f>
        <v>13885.270000000002</v>
      </c>
      <c r="E49" s="634">
        <f t="shared" si="9"/>
        <v>14557.91</v>
      </c>
      <c r="F49" s="634">
        <f t="shared" si="9"/>
        <v>15755.77</v>
      </c>
      <c r="G49" s="634">
        <f t="shared" si="9"/>
        <v>14870.05</v>
      </c>
      <c r="H49" s="634">
        <f t="shared" si="9"/>
        <v>15452.039999999999</v>
      </c>
      <c r="I49" s="634">
        <f t="shared" si="9"/>
        <v>13017.21</v>
      </c>
      <c r="J49" s="634">
        <f t="shared" si="9"/>
        <v>13975.060000000001</v>
      </c>
      <c r="K49" s="634">
        <f t="shared" si="9"/>
        <v>14380.25</v>
      </c>
      <c r="L49" s="634">
        <f t="shared" si="9"/>
        <v>13821.529999999999</v>
      </c>
      <c r="M49" s="634">
        <f t="shared" si="9"/>
        <v>18379.419999999998</v>
      </c>
      <c r="N49" s="634">
        <f t="shared" si="9"/>
        <v>11814.21</v>
      </c>
    </row>
    <row r="51" spans="2:14">
      <c r="B51" s="981" t="s">
        <v>1579</v>
      </c>
      <c r="C51" s="977">
        <f>C43-C48</f>
        <v>0.1499999999996362</v>
      </c>
      <c r="D51" s="977">
        <f t="shared" ref="D51:N51" si="10">D43-D48</f>
        <v>-1.9999999998617568E-2</v>
      </c>
      <c r="E51" s="977">
        <f t="shared" si="10"/>
        <v>0</v>
      </c>
      <c r="F51" s="977">
        <f t="shared" si="10"/>
        <v>0</v>
      </c>
      <c r="G51" s="977">
        <f t="shared" si="10"/>
        <v>0</v>
      </c>
      <c r="H51" s="977">
        <f t="shared" si="10"/>
        <v>0</v>
      </c>
      <c r="I51" s="977">
        <f t="shared" si="10"/>
        <v>0</v>
      </c>
      <c r="J51" s="977">
        <f t="shared" si="10"/>
        <v>-7.999999999992724E-2</v>
      </c>
      <c r="K51" s="977">
        <f t="shared" si="10"/>
        <v>0</v>
      </c>
      <c r="L51" s="977">
        <f t="shared" si="10"/>
        <v>-3.999999999996362E-2</v>
      </c>
      <c r="M51" s="977">
        <f t="shared" si="10"/>
        <v>0</v>
      </c>
      <c r="N51" s="977">
        <f t="shared" si="10"/>
        <v>0</v>
      </c>
    </row>
    <row r="52" spans="2:14">
      <c r="B52" s="981" t="s">
        <v>1580</v>
      </c>
      <c r="C52" s="977">
        <f>C45-C47</f>
        <v>0.4099999999962165</v>
      </c>
      <c r="D52" s="977">
        <f t="shared" ref="D52:N52" si="11">D45-D47</f>
        <v>-2.0000000000436557E-2</v>
      </c>
      <c r="E52" s="977">
        <f t="shared" si="11"/>
        <v>0</v>
      </c>
      <c r="F52" s="977">
        <f t="shared" si="11"/>
        <v>0</v>
      </c>
      <c r="G52" s="977">
        <f t="shared" si="11"/>
        <v>0</v>
      </c>
      <c r="H52" s="977">
        <f t="shared" si="11"/>
        <v>0</v>
      </c>
      <c r="I52" s="977">
        <f t="shared" si="11"/>
        <v>0</v>
      </c>
      <c r="J52" s="977">
        <f t="shared" si="11"/>
        <v>4.9999999973806553E-3</v>
      </c>
      <c r="K52" s="977">
        <f t="shared" si="11"/>
        <v>0</v>
      </c>
      <c r="L52" s="977">
        <f t="shared" si="11"/>
        <v>-3.9999999997235136E-2</v>
      </c>
      <c r="M52" s="977">
        <f t="shared" si="11"/>
        <v>0</v>
      </c>
      <c r="N52" s="977">
        <f t="shared" si="11"/>
        <v>0</v>
      </c>
    </row>
    <row r="55" spans="2:14">
      <c r="B55" s="982" t="s">
        <v>1581</v>
      </c>
      <c r="C55" s="622" t="s">
        <v>1582</v>
      </c>
      <c r="D55" s="622" t="s">
        <v>1583</v>
      </c>
      <c r="E55" s="622" t="s">
        <v>1584</v>
      </c>
    </row>
    <row r="56" spans="2:14">
      <c r="C56" s="983">
        <f>SUM(E10:N10)/10*12</f>
        <v>2521.0289343065688</v>
      </c>
      <c r="D56" s="983">
        <f>SUM(E9:N9)/10*12</f>
        <v>1260.2414014598544</v>
      </c>
      <c r="E56" s="632">
        <f>C56+D56</f>
        <v>3781.2703357664232</v>
      </c>
    </row>
    <row r="57" spans="2:14">
      <c r="C57" s="635"/>
      <c r="D57" s="635"/>
      <c r="G57" s="635"/>
    </row>
    <row r="58" spans="2:14">
      <c r="C58" s="635"/>
      <c r="D58" s="635"/>
      <c r="G58" s="635"/>
    </row>
    <row r="59" spans="2:14">
      <c r="C59" s="622" t="s">
        <v>1585</v>
      </c>
      <c r="D59" s="622" t="s">
        <v>1586</v>
      </c>
      <c r="E59" s="622" t="s">
        <v>1587</v>
      </c>
    </row>
    <row r="60" spans="2:14">
      <c r="C60" s="984">
        <f>O14+O35</f>
        <v>178633.12500000003</v>
      </c>
      <c r="D60" s="977">
        <f>O13+O34</f>
        <v>88670.700000000012</v>
      </c>
      <c r="E60" s="632">
        <f>C60+D60</f>
        <v>267303.82500000007</v>
      </c>
    </row>
    <row r="65" spans="2:5">
      <c r="B65" s="982" t="s">
        <v>1590</v>
      </c>
      <c r="C65" s="622" t="s">
        <v>1588</v>
      </c>
      <c r="D65" s="622" t="s">
        <v>1589</v>
      </c>
      <c r="E65" s="622" t="s">
        <v>1584</v>
      </c>
    </row>
    <row r="66" spans="2:5">
      <c r="C66" s="632">
        <f>O23</f>
        <v>897.64630225080384</v>
      </c>
      <c r="D66" s="632">
        <f>O22</f>
        <v>2291.6591639871385</v>
      </c>
      <c r="E66" s="632">
        <f>C66+D66</f>
        <v>3189.3054662379423</v>
      </c>
    </row>
    <row r="69" spans="2:5">
      <c r="C69" s="622" t="s">
        <v>1585</v>
      </c>
      <c r="D69" s="622" t="s">
        <v>1586</v>
      </c>
      <c r="E69" s="622" t="s">
        <v>1587</v>
      </c>
    </row>
    <row r="70" spans="2:5">
      <c r="C70" s="977">
        <f>O31</f>
        <v>2791.6800000000003</v>
      </c>
      <c r="D70" s="977">
        <f>O30</f>
        <v>7127.06</v>
      </c>
      <c r="E70" s="632">
        <f>C70+D70</f>
        <v>9918.7400000000016</v>
      </c>
    </row>
  </sheetData>
  <pageMargins left="0.7" right="0.7" top="0.75" bottom="0.75" header="0.3" footer="0.3"/>
  <pageSetup scale="48" orientation="landscape" r:id="rId1"/>
  <legacyDrawing r:id="rId2"/>
</worksheet>
</file>

<file path=xl/worksheets/sheet18.xml><?xml version="1.0" encoding="utf-8"?>
<worksheet xmlns="http://schemas.openxmlformats.org/spreadsheetml/2006/main" xmlns:r="http://schemas.openxmlformats.org/officeDocument/2006/relationships">
  <dimension ref="A1:AA37"/>
  <sheetViews>
    <sheetView zoomScaleNormal="100" workbookViewId="0">
      <selection sqref="A1:I34"/>
    </sheetView>
  </sheetViews>
  <sheetFormatPr defaultColWidth="11.42578125" defaultRowHeight="12"/>
  <cols>
    <col min="1" max="1" width="19.140625" style="448" customWidth="1"/>
    <col min="2" max="2" width="11.5703125" style="448" customWidth="1"/>
    <col min="3" max="4" width="11" style="448" bestFit="1" customWidth="1"/>
    <col min="5" max="5" width="10.5703125" style="448" bestFit="1" customWidth="1"/>
    <col min="6" max="6" width="9.7109375" style="448" customWidth="1"/>
    <col min="7" max="7" width="9.5703125" style="448" bestFit="1" customWidth="1"/>
    <col min="8" max="8" width="9" style="448" bestFit="1" customWidth="1"/>
    <col min="9" max="9" width="1.7109375" style="449" customWidth="1"/>
    <col min="10" max="10" width="15.85546875" style="450" customWidth="1"/>
    <col min="11" max="12" width="11.5703125" style="448" bestFit="1" customWidth="1"/>
    <col min="13" max="17" width="11.42578125" style="448" customWidth="1"/>
    <col min="18" max="18" width="19.42578125" style="448" customWidth="1"/>
    <col min="19" max="19" width="11.5703125" style="450" customWidth="1"/>
    <col min="20" max="27" width="11.42578125" style="450" customWidth="1"/>
    <col min="28" max="256" width="11.42578125" style="448"/>
    <col min="257" max="257" width="19.140625" style="448" customWidth="1"/>
    <col min="258" max="258" width="11.5703125" style="448" customWidth="1"/>
    <col min="259" max="260" width="11" style="448" bestFit="1" customWidth="1"/>
    <col min="261" max="261" width="10.5703125" style="448" bestFit="1" customWidth="1"/>
    <col min="262" max="262" width="9.7109375" style="448" customWidth="1"/>
    <col min="263" max="263" width="9.5703125" style="448" bestFit="1" customWidth="1"/>
    <col min="264" max="264" width="9" style="448" bestFit="1" customWidth="1"/>
    <col min="265" max="265" width="1.7109375" style="448" customWidth="1"/>
    <col min="266" max="266" width="15.85546875" style="448" customWidth="1"/>
    <col min="267" max="268" width="11.5703125" style="448" bestFit="1" customWidth="1"/>
    <col min="269" max="273" width="11.42578125" style="448" customWidth="1"/>
    <col min="274" max="274" width="19.42578125" style="448" customWidth="1"/>
    <col min="275" max="275" width="11.5703125" style="448" customWidth="1"/>
    <col min="276" max="283" width="11.42578125" style="448" customWidth="1"/>
    <col min="284" max="512" width="11.42578125" style="448"/>
    <col min="513" max="513" width="19.140625" style="448" customWidth="1"/>
    <col min="514" max="514" width="11.5703125" style="448" customWidth="1"/>
    <col min="515" max="516" width="11" style="448" bestFit="1" customWidth="1"/>
    <col min="517" max="517" width="10.5703125" style="448" bestFit="1" customWidth="1"/>
    <col min="518" max="518" width="9.7109375" style="448" customWidth="1"/>
    <col min="519" max="519" width="9.5703125" style="448" bestFit="1" customWidth="1"/>
    <col min="520" max="520" width="9" style="448" bestFit="1" customWidth="1"/>
    <col min="521" max="521" width="1.7109375" style="448" customWidth="1"/>
    <col min="522" max="522" width="15.85546875" style="448" customWidth="1"/>
    <col min="523" max="524" width="11.5703125" style="448" bestFit="1" customWidth="1"/>
    <col min="525" max="529" width="11.42578125" style="448" customWidth="1"/>
    <col min="530" max="530" width="19.42578125" style="448" customWidth="1"/>
    <col min="531" max="531" width="11.5703125" style="448" customWidth="1"/>
    <col min="532" max="539" width="11.42578125" style="448" customWidth="1"/>
    <col min="540" max="768" width="11.42578125" style="448"/>
    <col min="769" max="769" width="19.140625" style="448" customWidth="1"/>
    <col min="770" max="770" width="11.5703125" style="448" customWidth="1"/>
    <col min="771" max="772" width="11" style="448" bestFit="1" customWidth="1"/>
    <col min="773" max="773" width="10.5703125" style="448" bestFit="1" customWidth="1"/>
    <col min="774" max="774" width="9.7109375" style="448" customWidth="1"/>
    <col min="775" max="775" width="9.5703125" style="448" bestFit="1" customWidth="1"/>
    <col min="776" max="776" width="9" style="448" bestFit="1" customWidth="1"/>
    <col min="777" max="777" width="1.7109375" style="448" customWidth="1"/>
    <col min="778" max="778" width="15.85546875" style="448" customWidth="1"/>
    <col min="779" max="780" width="11.5703125" style="448" bestFit="1" customWidth="1"/>
    <col min="781" max="785" width="11.42578125" style="448" customWidth="1"/>
    <col min="786" max="786" width="19.42578125" style="448" customWidth="1"/>
    <col min="787" max="787" width="11.5703125" style="448" customWidth="1"/>
    <col min="788" max="795" width="11.42578125" style="448" customWidth="1"/>
    <col min="796" max="1024" width="11.42578125" style="448"/>
    <col min="1025" max="1025" width="19.140625" style="448" customWidth="1"/>
    <col min="1026" max="1026" width="11.5703125" style="448" customWidth="1"/>
    <col min="1027" max="1028" width="11" style="448" bestFit="1" customWidth="1"/>
    <col min="1029" max="1029" width="10.5703125" style="448" bestFit="1" customWidth="1"/>
    <col min="1030" max="1030" width="9.7109375" style="448" customWidth="1"/>
    <col min="1031" max="1031" width="9.5703125" style="448" bestFit="1" customWidth="1"/>
    <col min="1032" max="1032" width="9" style="448" bestFit="1" customWidth="1"/>
    <col min="1033" max="1033" width="1.7109375" style="448" customWidth="1"/>
    <col min="1034" max="1034" width="15.85546875" style="448" customWidth="1"/>
    <col min="1035" max="1036" width="11.5703125" style="448" bestFit="1" customWidth="1"/>
    <col min="1037" max="1041" width="11.42578125" style="448" customWidth="1"/>
    <col min="1042" max="1042" width="19.42578125" style="448" customWidth="1"/>
    <col min="1043" max="1043" width="11.5703125" style="448" customWidth="1"/>
    <col min="1044" max="1051" width="11.42578125" style="448" customWidth="1"/>
    <col min="1052" max="1280" width="11.42578125" style="448"/>
    <col min="1281" max="1281" width="19.140625" style="448" customWidth="1"/>
    <col min="1282" max="1282" width="11.5703125" style="448" customWidth="1"/>
    <col min="1283" max="1284" width="11" style="448" bestFit="1" customWidth="1"/>
    <col min="1285" max="1285" width="10.5703125" style="448" bestFit="1" customWidth="1"/>
    <col min="1286" max="1286" width="9.7109375" style="448" customWidth="1"/>
    <col min="1287" max="1287" width="9.5703125" style="448" bestFit="1" customWidth="1"/>
    <col min="1288" max="1288" width="9" style="448" bestFit="1" customWidth="1"/>
    <col min="1289" max="1289" width="1.7109375" style="448" customWidth="1"/>
    <col min="1290" max="1290" width="15.85546875" style="448" customWidth="1"/>
    <col min="1291" max="1292" width="11.5703125" style="448" bestFit="1" customWidth="1"/>
    <col min="1293" max="1297" width="11.42578125" style="448" customWidth="1"/>
    <col min="1298" max="1298" width="19.42578125" style="448" customWidth="1"/>
    <col min="1299" max="1299" width="11.5703125" style="448" customWidth="1"/>
    <col min="1300" max="1307" width="11.42578125" style="448" customWidth="1"/>
    <col min="1308" max="1536" width="11.42578125" style="448"/>
    <col min="1537" max="1537" width="19.140625" style="448" customWidth="1"/>
    <col min="1538" max="1538" width="11.5703125" style="448" customWidth="1"/>
    <col min="1539" max="1540" width="11" style="448" bestFit="1" customWidth="1"/>
    <col min="1541" max="1541" width="10.5703125" style="448" bestFit="1" customWidth="1"/>
    <col min="1542" max="1542" width="9.7109375" style="448" customWidth="1"/>
    <col min="1543" max="1543" width="9.5703125" style="448" bestFit="1" customWidth="1"/>
    <col min="1544" max="1544" width="9" style="448" bestFit="1" customWidth="1"/>
    <col min="1545" max="1545" width="1.7109375" style="448" customWidth="1"/>
    <col min="1546" max="1546" width="15.85546875" style="448" customWidth="1"/>
    <col min="1547" max="1548" width="11.5703125" style="448" bestFit="1" customWidth="1"/>
    <col min="1549" max="1553" width="11.42578125" style="448" customWidth="1"/>
    <col min="1554" max="1554" width="19.42578125" style="448" customWidth="1"/>
    <col min="1555" max="1555" width="11.5703125" style="448" customWidth="1"/>
    <col min="1556" max="1563" width="11.42578125" style="448" customWidth="1"/>
    <col min="1564" max="1792" width="11.42578125" style="448"/>
    <col min="1793" max="1793" width="19.140625" style="448" customWidth="1"/>
    <col min="1794" max="1794" width="11.5703125" style="448" customWidth="1"/>
    <col min="1795" max="1796" width="11" style="448" bestFit="1" customWidth="1"/>
    <col min="1797" max="1797" width="10.5703125" style="448" bestFit="1" customWidth="1"/>
    <col min="1798" max="1798" width="9.7109375" style="448" customWidth="1"/>
    <col min="1799" max="1799" width="9.5703125" style="448" bestFit="1" customWidth="1"/>
    <col min="1800" max="1800" width="9" style="448" bestFit="1" customWidth="1"/>
    <col min="1801" max="1801" width="1.7109375" style="448" customWidth="1"/>
    <col min="1802" max="1802" width="15.85546875" style="448" customWidth="1"/>
    <col min="1803" max="1804" width="11.5703125" style="448" bestFit="1" customWidth="1"/>
    <col min="1805" max="1809" width="11.42578125" style="448" customWidth="1"/>
    <col min="1810" max="1810" width="19.42578125" style="448" customWidth="1"/>
    <col min="1811" max="1811" width="11.5703125" style="448" customWidth="1"/>
    <col min="1812" max="1819" width="11.42578125" style="448" customWidth="1"/>
    <col min="1820" max="2048" width="11.42578125" style="448"/>
    <col min="2049" max="2049" width="19.140625" style="448" customWidth="1"/>
    <col min="2050" max="2050" width="11.5703125" style="448" customWidth="1"/>
    <col min="2051" max="2052" width="11" style="448" bestFit="1" customWidth="1"/>
    <col min="2053" max="2053" width="10.5703125" style="448" bestFit="1" customWidth="1"/>
    <col min="2054" max="2054" width="9.7109375" style="448" customWidth="1"/>
    <col min="2055" max="2055" width="9.5703125" style="448" bestFit="1" customWidth="1"/>
    <col min="2056" max="2056" width="9" style="448" bestFit="1" customWidth="1"/>
    <col min="2057" max="2057" width="1.7109375" style="448" customWidth="1"/>
    <col min="2058" max="2058" width="15.85546875" style="448" customWidth="1"/>
    <col min="2059" max="2060" width="11.5703125" style="448" bestFit="1" customWidth="1"/>
    <col min="2061" max="2065" width="11.42578125" style="448" customWidth="1"/>
    <col min="2066" max="2066" width="19.42578125" style="448" customWidth="1"/>
    <col min="2067" max="2067" width="11.5703125" style="448" customWidth="1"/>
    <col min="2068" max="2075" width="11.42578125" style="448" customWidth="1"/>
    <col min="2076" max="2304" width="11.42578125" style="448"/>
    <col min="2305" max="2305" width="19.140625" style="448" customWidth="1"/>
    <col min="2306" max="2306" width="11.5703125" style="448" customWidth="1"/>
    <col min="2307" max="2308" width="11" style="448" bestFit="1" customWidth="1"/>
    <col min="2309" max="2309" width="10.5703125" style="448" bestFit="1" customWidth="1"/>
    <col min="2310" max="2310" width="9.7109375" style="448" customWidth="1"/>
    <col min="2311" max="2311" width="9.5703125" style="448" bestFit="1" customWidth="1"/>
    <col min="2312" max="2312" width="9" style="448" bestFit="1" customWidth="1"/>
    <col min="2313" max="2313" width="1.7109375" style="448" customWidth="1"/>
    <col min="2314" max="2314" width="15.85546875" style="448" customWidth="1"/>
    <col min="2315" max="2316" width="11.5703125" style="448" bestFit="1" customWidth="1"/>
    <col min="2317" max="2321" width="11.42578125" style="448" customWidth="1"/>
    <col min="2322" max="2322" width="19.42578125" style="448" customWidth="1"/>
    <col min="2323" max="2323" width="11.5703125" style="448" customWidth="1"/>
    <col min="2324" max="2331" width="11.42578125" style="448" customWidth="1"/>
    <col min="2332" max="2560" width="11.42578125" style="448"/>
    <col min="2561" max="2561" width="19.140625" style="448" customWidth="1"/>
    <col min="2562" max="2562" width="11.5703125" style="448" customWidth="1"/>
    <col min="2563" max="2564" width="11" style="448" bestFit="1" customWidth="1"/>
    <col min="2565" max="2565" width="10.5703125" style="448" bestFit="1" customWidth="1"/>
    <col min="2566" max="2566" width="9.7109375" style="448" customWidth="1"/>
    <col min="2567" max="2567" width="9.5703125" style="448" bestFit="1" customWidth="1"/>
    <col min="2568" max="2568" width="9" style="448" bestFit="1" customWidth="1"/>
    <col min="2569" max="2569" width="1.7109375" style="448" customWidth="1"/>
    <col min="2570" max="2570" width="15.85546875" style="448" customWidth="1"/>
    <col min="2571" max="2572" width="11.5703125" style="448" bestFit="1" customWidth="1"/>
    <col min="2573" max="2577" width="11.42578125" style="448" customWidth="1"/>
    <col min="2578" max="2578" width="19.42578125" style="448" customWidth="1"/>
    <col min="2579" max="2579" width="11.5703125" style="448" customWidth="1"/>
    <col min="2580" max="2587" width="11.42578125" style="448" customWidth="1"/>
    <col min="2588" max="2816" width="11.42578125" style="448"/>
    <col min="2817" max="2817" width="19.140625" style="448" customWidth="1"/>
    <col min="2818" max="2818" width="11.5703125" style="448" customWidth="1"/>
    <col min="2819" max="2820" width="11" style="448" bestFit="1" customWidth="1"/>
    <col min="2821" max="2821" width="10.5703125" style="448" bestFit="1" customWidth="1"/>
    <col min="2822" max="2822" width="9.7109375" style="448" customWidth="1"/>
    <col min="2823" max="2823" width="9.5703125" style="448" bestFit="1" customWidth="1"/>
    <col min="2824" max="2824" width="9" style="448" bestFit="1" customWidth="1"/>
    <col min="2825" max="2825" width="1.7109375" style="448" customWidth="1"/>
    <col min="2826" max="2826" width="15.85546875" style="448" customWidth="1"/>
    <col min="2827" max="2828" width="11.5703125" style="448" bestFit="1" customWidth="1"/>
    <col min="2829" max="2833" width="11.42578125" style="448" customWidth="1"/>
    <col min="2834" max="2834" width="19.42578125" style="448" customWidth="1"/>
    <col min="2835" max="2835" width="11.5703125" style="448" customWidth="1"/>
    <col min="2836" max="2843" width="11.42578125" style="448" customWidth="1"/>
    <col min="2844" max="3072" width="11.42578125" style="448"/>
    <col min="3073" max="3073" width="19.140625" style="448" customWidth="1"/>
    <col min="3074" max="3074" width="11.5703125" style="448" customWidth="1"/>
    <col min="3075" max="3076" width="11" style="448" bestFit="1" customWidth="1"/>
    <col min="3077" max="3077" width="10.5703125" style="448" bestFit="1" customWidth="1"/>
    <col min="3078" max="3078" width="9.7109375" style="448" customWidth="1"/>
    <col min="3079" max="3079" width="9.5703125" style="448" bestFit="1" customWidth="1"/>
    <col min="3080" max="3080" width="9" style="448" bestFit="1" customWidth="1"/>
    <col min="3081" max="3081" width="1.7109375" style="448" customWidth="1"/>
    <col min="3082" max="3082" width="15.85546875" style="448" customWidth="1"/>
    <col min="3083" max="3084" width="11.5703125" style="448" bestFit="1" customWidth="1"/>
    <col min="3085" max="3089" width="11.42578125" style="448" customWidth="1"/>
    <col min="3090" max="3090" width="19.42578125" style="448" customWidth="1"/>
    <col min="3091" max="3091" width="11.5703125" style="448" customWidth="1"/>
    <col min="3092" max="3099" width="11.42578125" style="448" customWidth="1"/>
    <col min="3100" max="3328" width="11.42578125" style="448"/>
    <col min="3329" max="3329" width="19.140625" style="448" customWidth="1"/>
    <col min="3330" max="3330" width="11.5703125" style="448" customWidth="1"/>
    <col min="3331" max="3332" width="11" style="448" bestFit="1" customWidth="1"/>
    <col min="3333" max="3333" width="10.5703125" style="448" bestFit="1" customWidth="1"/>
    <col min="3334" max="3334" width="9.7109375" style="448" customWidth="1"/>
    <col min="3335" max="3335" width="9.5703125" style="448" bestFit="1" customWidth="1"/>
    <col min="3336" max="3336" width="9" style="448" bestFit="1" customWidth="1"/>
    <col min="3337" max="3337" width="1.7109375" style="448" customWidth="1"/>
    <col min="3338" max="3338" width="15.85546875" style="448" customWidth="1"/>
    <col min="3339" max="3340" width="11.5703125" style="448" bestFit="1" customWidth="1"/>
    <col min="3341" max="3345" width="11.42578125" style="448" customWidth="1"/>
    <col min="3346" max="3346" width="19.42578125" style="448" customWidth="1"/>
    <col min="3347" max="3347" width="11.5703125" style="448" customWidth="1"/>
    <col min="3348" max="3355" width="11.42578125" style="448" customWidth="1"/>
    <col min="3356" max="3584" width="11.42578125" style="448"/>
    <col min="3585" max="3585" width="19.140625" style="448" customWidth="1"/>
    <col min="3586" max="3586" width="11.5703125" style="448" customWidth="1"/>
    <col min="3587" max="3588" width="11" style="448" bestFit="1" customWidth="1"/>
    <col min="3589" max="3589" width="10.5703125" style="448" bestFit="1" customWidth="1"/>
    <col min="3590" max="3590" width="9.7109375" style="448" customWidth="1"/>
    <col min="3591" max="3591" width="9.5703125" style="448" bestFit="1" customWidth="1"/>
    <col min="3592" max="3592" width="9" style="448" bestFit="1" customWidth="1"/>
    <col min="3593" max="3593" width="1.7109375" style="448" customWidth="1"/>
    <col min="3594" max="3594" width="15.85546875" style="448" customWidth="1"/>
    <col min="3595" max="3596" width="11.5703125" style="448" bestFit="1" customWidth="1"/>
    <col min="3597" max="3601" width="11.42578125" style="448" customWidth="1"/>
    <col min="3602" max="3602" width="19.42578125" style="448" customWidth="1"/>
    <col min="3603" max="3603" width="11.5703125" style="448" customWidth="1"/>
    <col min="3604" max="3611" width="11.42578125" style="448" customWidth="1"/>
    <col min="3612" max="3840" width="11.42578125" style="448"/>
    <col min="3841" max="3841" width="19.140625" style="448" customWidth="1"/>
    <col min="3842" max="3842" width="11.5703125" style="448" customWidth="1"/>
    <col min="3843" max="3844" width="11" style="448" bestFit="1" customWidth="1"/>
    <col min="3845" max="3845" width="10.5703125" style="448" bestFit="1" customWidth="1"/>
    <col min="3846" max="3846" width="9.7109375" style="448" customWidth="1"/>
    <col min="3847" max="3847" width="9.5703125" style="448" bestFit="1" customWidth="1"/>
    <col min="3848" max="3848" width="9" style="448" bestFit="1" customWidth="1"/>
    <col min="3849" max="3849" width="1.7109375" style="448" customWidth="1"/>
    <col min="3850" max="3850" width="15.85546875" style="448" customWidth="1"/>
    <col min="3851" max="3852" width="11.5703125" style="448" bestFit="1" customWidth="1"/>
    <col min="3853" max="3857" width="11.42578125" style="448" customWidth="1"/>
    <col min="3858" max="3858" width="19.42578125" style="448" customWidth="1"/>
    <col min="3859" max="3859" width="11.5703125" style="448" customWidth="1"/>
    <col min="3860" max="3867" width="11.42578125" style="448" customWidth="1"/>
    <col min="3868" max="4096" width="11.42578125" style="448"/>
    <col min="4097" max="4097" width="19.140625" style="448" customWidth="1"/>
    <col min="4098" max="4098" width="11.5703125" style="448" customWidth="1"/>
    <col min="4099" max="4100" width="11" style="448" bestFit="1" customWidth="1"/>
    <col min="4101" max="4101" width="10.5703125" style="448" bestFit="1" customWidth="1"/>
    <col min="4102" max="4102" width="9.7109375" style="448" customWidth="1"/>
    <col min="4103" max="4103" width="9.5703125" style="448" bestFit="1" customWidth="1"/>
    <col min="4104" max="4104" width="9" style="448" bestFit="1" customWidth="1"/>
    <col min="4105" max="4105" width="1.7109375" style="448" customWidth="1"/>
    <col min="4106" max="4106" width="15.85546875" style="448" customWidth="1"/>
    <col min="4107" max="4108" width="11.5703125" style="448" bestFit="1" customWidth="1"/>
    <col min="4109" max="4113" width="11.42578125" style="448" customWidth="1"/>
    <col min="4114" max="4114" width="19.42578125" style="448" customWidth="1"/>
    <col min="4115" max="4115" width="11.5703125" style="448" customWidth="1"/>
    <col min="4116" max="4123" width="11.42578125" style="448" customWidth="1"/>
    <col min="4124" max="4352" width="11.42578125" style="448"/>
    <col min="4353" max="4353" width="19.140625" style="448" customWidth="1"/>
    <col min="4354" max="4354" width="11.5703125" style="448" customWidth="1"/>
    <col min="4355" max="4356" width="11" style="448" bestFit="1" customWidth="1"/>
    <col min="4357" max="4357" width="10.5703125" style="448" bestFit="1" customWidth="1"/>
    <col min="4358" max="4358" width="9.7109375" style="448" customWidth="1"/>
    <col min="4359" max="4359" width="9.5703125" style="448" bestFit="1" customWidth="1"/>
    <col min="4360" max="4360" width="9" style="448" bestFit="1" customWidth="1"/>
    <col min="4361" max="4361" width="1.7109375" style="448" customWidth="1"/>
    <col min="4362" max="4362" width="15.85546875" style="448" customWidth="1"/>
    <col min="4363" max="4364" width="11.5703125" style="448" bestFit="1" customWidth="1"/>
    <col min="4365" max="4369" width="11.42578125" style="448" customWidth="1"/>
    <col min="4370" max="4370" width="19.42578125" style="448" customWidth="1"/>
    <col min="4371" max="4371" width="11.5703125" style="448" customWidth="1"/>
    <col min="4372" max="4379" width="11.42578125" style="448" customWidth="1"/>
    <col min="4380" max="4608" width="11.42578125" style="448"/>
    <col min="4609" max="4609" width="19.140625" style="448" customWidth="1"/>
    <col min="4610" max="4610" width="11.5703125" style="448" customWidth="1"/>
    <col min="4611" max="4612" width="11" style="448" bestFit="1" customWidth="1"/>
    <col min="4613" max="4613" width="10.5703125" style="448" bestFit="1" customWidth="1"/>
    <col min="4614" max="4614" width="9.7109375" style="448" customWidth="1"/>
    <col min="4615" max="4615" width="9.5703125" style="448" bestFit="1" customWidth="1"/>
    <col min="4616" max="4616" width="9" style="448" bestFit="1" customWidth="1"/>
    <col min="4617" max="4617" width="1.7109375" style="448" customWidth="1"/>
    <col min="4618" max="4618" width="15.85546875" style="448" customWidth="1"/>
    <col min="4619" max="4620" width="11.5703125" style="448" bestFit="1" customWidth="1"/>
    <col min="4621" max="4625" width="11.42578125" style="448" customWidth="1"/>
    <col min="4626" max="4626" width="19.42578125" style="448" customWidth="1"/>
    <col min="4627" max="4627" width="11.5703125" style="448" customWidth="1"/>
    <col min="4628" max="4635" width="11.42578125" style="448" customWidth="1"/>
    <col min="4636" max="4864" width="11.42578125" style="448"/>
    <col min="4865" max="4865" width="19.140625" style="448" customWidth="1"/>
    <col min="4866" max="4866" width="11.5703125" style="448" customWidth="1"/>
    <col min="4867" max="4868" width="11" style="448" bestFit="1" customWidth="1"/>
    <col min="4869" max="4869" width="10.5703125" style="448" bestFit="1" customWidth="1"/>
    <col min="4870" max="4870" width="9.7109375" style="448" customWidth="1"/>
    <col min="4871" max="4871" width="9.5703125" style="448" bestFit="1" customWidth="1"/>
    <col min="4872" max="4872" width="9" style="448" bestFit="1" customWidth="1"/>
    <col min="4873" max="4873" width="1.7109375" style="448" customWidth="1"/>
    <col min="4874" max="4874" width="15.85546875" style="448" customWidth="1"/>
    <col min="4875" max="4876" width="11.5703125" style="448" bestFit="1" customWidth="1"/>
    <col min="4877" max="4881" width="11.42578125" style="448" customWidth="1"/>
    <col min="4882" max="4882" width="19.42578125" style="448" customWidth="1"/>
    <col min="4883" max="4883" width="11.5703125" style="448" customWidth="1"/>
    <col min="4884" max="4891" width="11.42578125" style="448" customWidth="1"/>
    <col min="4892" max="5120" width="11.42578125" style="448"/>
    <col min="5121" max="5121" width="19.140625" style="448" customWidth="1"/>
    <col min="5122" max="5122" width="11.5703125" style="448" customWidth="1"/>
    <col min="5123" max="5124" width="11" style="448" bestFit="1" customWidth="1"/>
    <col min="5125" max="5125" width="10.5703125" style="448" bestFit="1" customWidth="1"/>
    <col min="5126" max="5126" width="9.7109375" style="448" customWidth="1"/>
    <col min="5127" max="5127" width="9.5703125" style="448" bestFit="1" customWidth="1"/>
    <col min="5128" max="5128" width="9" style="448" bestFit="1" customWidth="1"/>
    <col min="5129" max="5129" width="1.7109375" style="448" customWidth="1"/>
    <col min="5130" max="5130" width="15.85546875" style="448" customWidth="1"/>
    <col min="5131" max="5132" width="11.5703125" style="448" bestFit="1" customWidth="1"/>
    <col min="5133" max="5137" width="11.42578125" style="448" customWidth="1"/>
    <col min="5138" max="5138" width="19.42578125" style="448" customWidth="1"/>
    <col min="5139" max="5139" width="11.5703125" style="448" customWidth="1"/>
    <col min="5140" max="5147" width="11.42578125" style="448" customWidth="1"/>
    <col min="5148" max="5376" width="11.42578125" style="448"/>
    <col min="5377" max="5377" width="19.140625" style="448" customWidth="1"/>
    <col min="5378" max="5378" width="11.5703125" style="448" customWidth="1"/>
    <col min="5379" max="5380" width="11" style="448" bestFit="1" customWidth="1"/>
    <col min="5381" max="5381" width="10.5703125" style="448" bestFit="1" customWidth="1"/>
    <col min="5382" max="5382" width="9.7109375" style="448" customWidth="1"/>
    <col min="5383" max="5383" width="9.5703125" style="448" bestFit="1" customWidth="1"/>
    <col min="5384" max="5384" width="9" style="448" bestFit="1" customWidth="1"/>
    <col min="5385" max="5385" width="1.7109375" style="448" customWidth="1"/>
    <col min="5386" max="5386" width="15.85546875" style="448" customWidth="1"/>
    <col min="5387" max="5388" width="11.5703125" style="448" bestFit="1" customWidth="1"/>
    <col min="5389" max="5393" width="11.42578125" style="448" customWidth="1"/>
    <col min="5394" max="5394" width="19.42578125" style="448" customWidth="1"/>
    <col min="5395" max="5395" width="11.5703125" style="448" customWidth="1"/>
    <col min="5396" max="5403" width="11.42578125" style="448" customWidth="1"/>
    <col min="5404" max="5632" width="11.42578125" style="448"/>
    <col min="5633" max="5633" width="19.140625" style="448" customWidth="1"/>
    <col min="5634" max="5634" width="11.5703125" style="448" customWidth="1"/>
    <col min="5635" max="5636" width="11" style="448" bestFit="1" customWidth="1"/>
    <col min="5637" max="5637" width="10.5703125" style="448" bestFit="1" customWidth="1"/>
    <col min="5638" max="5638" width="9.7109375" style="448" customWidth="1"/>
    <col min="5639" max="5639" width="9.5703125" style="448" bestFit="1" customWidth="1"/>
    <col min="5640" max="5640" width="9" style="448" bestFit="1" customWidth="1"/>
    <col min="5641" max="5641" width="1.7109375" style="448" customWidth="1"/>
    <col min="5642" max="5642" width="15.85546875" style="448" customWidth="1"/>
    <col min="5643" max="5644" width="11.5703125" style="448" bestFit="1" customWidth="1"/>
    <col min="5645" max="5649" width="11.42578125" style="448" customWidth="1"/>
    <col min="5650" max="5650" width="19.42578125" style="448" customWidth="1"/>
    <col min="5651" max="5651" width="11.5703125" style="448" customWidth="1"/>
    <col min="5652" max="5659" width="11.42578125" style="448" customWidth="1"/>
    <col min="5660" max="5888" width="11.42578125" style="448"/>
    <col min="5889" max="5889" width="19.140625" style="448" customWidth="1"/>
    <col min="5890" max="5890" width="11.5703125" style="448" customWidth="1"/>
    <col min="5891" max="5892" width="11" style="448" bestFit="1" customWidth="1"/>
    <col min="5893" max="5893" width="10.5703125" style="448" bestFit="1" customWidth="1"/>
    <col min="5894" max="5894" width="9.7109375" style="448" customWidth="1"/>
    <col min="5895" max="5895" width="9.5703125" style="448" bestFit="1" customWidth="1"/>
    <col min="5896" max="5896" width="9" style="448" bestFit="1" customWidth="1"/>
    <col min="5897" max="5897" width="1.7109375" style="448" customWidth="1"/>
    <col min="5898" max="5898" width="15.85546875" style="448" customWidth="1"/>
    <col min="5899" max="5900" width="11.5703125" style="448" bestFit="1" customWidth="1"/>
    <col min="5901" max="5905" width="11.42578125" style="448" customWidth="1"/>
    <col min="5906" max="5906" width="19.42578125" style="448" customWidth="1"/>
    <col min="5907" max="5907" width="11.5703125" style="448" customWidth="1"/>
    <col min="5908" max="5915" width="11.42578125" style="448" customWidth="1"/>
    <col min="5916" max="6144" width="11.42578125" style="448"/>
    <col min="6145" max="6145" width="19.140625" style="448" customWidth="1"/>
    <col min="6146" max="6146" width="11.5703125" style="448" customWidth="1"/>
    <col min="6147" max="6148" width="11" style="448" bestFit="1" customWidth="1"/>
    <col min="6149" max="6149" width="10.5703125" style="448" bestFit="1" customWidth="1"/>
    <col min="6150" max="6150" width="9.7109375" style="448" customWidth="1"/>
    <col min="6151" max="6151" width="9.5703125" style="448" bestFit="1" customWidth="1"/>
    <col min="6152" max="6152" width="9" style="448" bestFit="1" customWidth="1"/>
    <col min="6153" max="6153" width="1.7109375" style="448" customWidth="1"/>
    <col min="6154" max="6154" width="15.85546875" style="448" customWidth="1"/>
    <col min="6155" max="6156" width="11.5703125" style="448" bestFit="1" customWidth="1"/>
    <col min="6157" max="6161" width="11.42578125" style="448" customWidth="1"/>
    <col min="6162" max="6162" width="19.42578125" style="448" customWidth="1"/>
    <col min="6163" max="6163" width="11.5703125" style="448" customWidth="1"/>
    <col min="6164" max="6171" width="11.42578125" style="448" customWidth="1"/>
    <col min="6172" max="6400" width="11.42578125" style="448"/>
    <col min="6401" max="6401" width="19.140625" style="448" customWidth="1"/>
    <col min="6402" max="6402" width="11.5703125" style="448" customWidth="1"/>
    <col min="6403" max="6404" width="11" style="448" bestFit="1" customWidth="1"/>
    <col min="6405" max="6405" width="10.5703125" style="448" bestFit="1" customWidth="1"/>
    <col min="6406" max="6406" width="9.7109375" style="448" customWidth="1"/>
    <col min="6407" max="6407" width="9.5703125" style="448" bestFit="1" customWidth="1"/>
    <col min="6408" max="6408" width="9" style="448" bestFit="1" customWidth="1"/>
    <col min="6409" max="6409" width="1.7109375" style="448" customWidth="1"/>
    <col min="6410" max="6410" width="15.85546875" style="448" customWidth="1"/>
    <col min="6411" max="6412" width="11.5703125" style="448" bestFit="1" customWidth="1"/>
    <col min="6413" max="6417" width="11.42578125" style="448" customWidth="1"/>
    <col min="6418" max="6418" width="19.42578125" style="448" customWidth="1"/>
    <col min="6419" max="6419" width="11.5703125" style="448" customWidth="1"/>
    <col min="6420" max="6427" width="11.42578125" style="448" customWidth="1"/>
    <col min="6428" max="6656" width="11.42578125" style="448"/>
    <col min="6657" max="6657" width="19.140625" style="448" customWidth="1"/>
    <col min="6658" max="6658" width="11.5703125" style="448" customWidth="1"/>
    <col min="6659" max="6660" width="11" style="448" bestFit="1" customWidth="1"/>
    <col min="6661" max="6661" width="10.5703125" style="448" bestFit="1" customWidth="1"/>
    <col min="6662" max="6662" width="9.7109375" style="448" customWidth="1"/>
    <col min="6663" max="6663" width="9.5703125" style="448" bestFit="1" customWidth="1"/>
    <col min="6664" max="6664" width="9" style="448" bestFit="1" customWidth="1"/>
    <col min="6665" max="6665" width="1.7109375" style="448" customWidth="1"/>
    <col min="6666" max="6666" width="15.85546875" style="448" customWidth="1"/>
    <col min="6667" max="6668" width="11.5703125" style="448" bestFit="1" customWidth="1"/>
    <col min="6669" max="6673" width="11.42578125" style="448" customWidth="1"/>
    <col min="6674" max="6674" width="19.42578125" style="448" customWidth="1"/>
    <col min="6675" max="6675" width="11.5703125" style="448" customWidth="1"/>
    <col min="6676" max="6683" width="11.42578125" style="448" customWidth="1"/>
    <col min="6684" max="6912" width="11.42578125" style="448"/>
    <col min="6913" max="6913" width="19.140625" style="448" customWidth="1"/>
    <col min="6914" max="6914" width="11.5703125" style="448" customWidth="1"/>
    <col min="6915" max="6916" width="11" style="448" bestFit="1" customWidth="1"/>
    <col min="6917" max="6917" width="10.5703125" style="448" bestFit="1" customWidth="1"/>
    <col min="6918" max="6918" width="9.7109375" style="448" customWidth="1"/>
    <col min="6919" max="6919" width="9.5703125" style="448" bestFit="1" customWidth="1"/>
    <col min="6920" max="6920" width="9" style="448" bestFit="1" customWidth="1"/>
    <col min="6921" max="6921" width="1.7109375" style="448" customWidth="1"/>
    <col min="6922" max="6922" width="15.85546875" style="448" customWidth="1"/>
    <col min="6923" max="6924" width="11.5703125" style="448" bestFit="1" customWidth="1"/>
    <col min="6925" max="6929" width="11.42578125" style="448" customWidth="1"/>
    <col min="6930" max="6930" width="19.42578125" style="448" customWidth="1"/>
    <col min="6931" max="6931" width="11.5703125" style="448" customWidth="1"/>
    <col min="6932" max="6939" width="11.42578125" style="448" customWidth="1"/>
    <col min="6940" max="7168" width="11.42578125" style="448"/>
    <col min="7169" max="7169" width="19.140625" style="448" customWidth="1"/>
    <col min="7170" max="7170" width="11.5703125" style="448" customWidth="1"/>
    <col min="7171" max="7172" width="11" style="448" bestFit="1" customWidth="1"/>
    <col min="7173" max="7173" width="10.5703125" style="448" bestFit="1" customWidth="1"/>
    <col min="7174" max="7174" width="9.7109375" style="448" customWidth="1"/>
    <col min="7175" max="7175" width="9.5703125" style="448" bestFit="1" customWidth="1"/>
    <col min="7176" max="7176" width="9" style="448" bestFit="1" customWidth="1"/>
    <col min="7177" max="7177" width="1.7109375" style="448" customWidth="1"/>
    <col min="7178" max="7178" width="15.85546875" style="448" customWidth="1"/>
    <col min="7179" max="7180" width="11.5703125" style="448" bestFit="1" customWidth="1"/>
    <col min="7181" max="7185" width="11.42578125" style="448" customWidth="1"/>
    <col min="7186" max="7186" width="19.42578125" style="448" customWidth="1"/>
    <col min="7187" max="7187" width="11.5703125" style="448" customWidth="1"/>
    <col min="7188" max="7195" width="11.42578125" style="448" customWidth="1"/>
    <col min="7196" max="7424" width="11.42578125" style="448"/>
    <col min="7425" max="7425" width="19.140625" style="448" customWidth="1"/>
    <col min="7426" max="7426" width="11.5703125" style="448" customWidth="1"/>
    <col min="7427" max="7428" width="11" style="448" bestFit="1" customWidth="1"/>
    <col min="7429" max="7429" width="10.5703125" style="448" bestFit="1" customWidth="1"/>
    <col min="7430" max="7430" width="9.7109375" style="448" customWidth="1"/>
    <col min="7431" max="7431" width="9.5703125" style="448" bestFit="1" customWidth="1"/>
    <col min="7432" max="7432" width="9" style="448" bestFit="1" customWidth="1"/>
    <col min="7433" max="7433" width="1.7109375" style="448" customWidth="1"/>
    <col min="7434" max="7434" width="15.85546875" style="448" customWidth="1"/>
    <col min="7435" max="7436" width="11.5703125" style="448" bestFit="1" customWidth="1"/>
    <col min="7437" max="7441" width="11.42578125" style="448" customWidth="1"/>
    <col min="7442" max="7442" width="19.42578125" style="448" customWidth="1"/>
    <col min="7443" max="7443" width="11.5703125" style="448" customWidth="1"/>
    <col min="7444" max="7451" width="11.42578125" style="448" customWidth="1"/>
    <col min="7452" max="7680" width="11.42578125" style="448"/>
    <col min="7681" max="7681" width="19.140625" style="448" customWidth="1"/>
    <col min="7682" max="7682" width="11.5703125" style="448" customWidth="1"/>
    <col min="7683" max="7684" width="11" style="448" bestFit="1" customWidth="1"/>
    <col min="7685" max="7685" width="10.5703125" style="448" bestFit="1" customWidth="1"/>
    <col min="7686" max="7686" width="9.7109375" style="448" customWidth="1"/>
    <col min="7687" max="7687" width="9.5703125" style="448" bestFit="1" customWidth="1"/>
    <col min="7688" max="7688" width="9" style="448" bestFit="1" customWidth="1"/>
    <col min="7689" max="7689" width="1.7109375" style="448" customWidth="1"/>
    <col min="7690" max="7690" width="15.85546875" style="448" customWidth="1"/>
    <col min="7691" max="7692" width="11.5703125" style="448" bestFit="1" customWidth="1"/>
    <col min="7693" max="7697" width="11.42578125" style="448" customWidth="1"/>
    <col min="7698" max="7698" width="19.42578125" style="448" customWidth="1"/>
    <col min="7699" max="7699" width="11.5703125" style="448" customWidth="1"/>
    <col min="7700" max="7707" width="11.42578125" style="448" customWidth="1"/>
    <col min="7708" max="7936" width="11.42578125" style="448"/>
    <col min="7937" max="7937" width="19.140625" style="448" customWidth="1"/>
    <col min="7938" max="7938" width="11.5703125" style="448" customWidth="1"/>
    <col min="7939" max="7940" width="11" style="448" bestFit="1" customWidth="1"/>
    <col min="7941" max="7941" width="10.5703125" style="448" bestFit="1" customWidth="1"/>
    <col min="7942" max="7942" width="9.7109375" style="448" customWidth="1"/>
    <col min="7943" max="7943" width="9.5703125" style="448" bestFit="1" customWidth="1"/>
    <col min="7944" max="7944" width="9" style="448" bestFit="1" customWidth="1"/>
    <col min="7945" max="7945" width="1.7109375" style="448" customWidth="1"/>
    <col min="7946" max="7946" width="15.85546875" style="448" customWidth="1"/>
    <col min="7947" max="7948" width="11.5703125" style="448" bestFit="1" customWidth="1"/>
    <col min="7949" max="7953" width="11.42578125" style="448" customWidth="1"/>
    <col min="7954" max="7954" width="19.42578125" style="448" customWidth="1"/>
    <col min="7955" max="7955" width="11.5703125" style="448" customWidth="1"/>
    <col min="7956" max="7963" width="11.42578125" style="448" customWidth="1"/>
    <col min="7964" max="8192" width="11.42578125" style="448"/>
    <col min="8193" max="8193" width="19.140625" style="448" customWidth="1"/>
    <col min="8194" max="8194" width="11.5703125" style="448" customWidth="1"/>
    <col min="8195" max="8196" width="11" style="448" bestFit="1" customWidth="1"/>
    <col min="8197" max="8197" width="10.5703125" style="448" bestFit="1" customWidth="1"/>
    <col min="8198" max="8198" width="9.7109375" style="448" customWidth="1"/>
    <col min="8199" max="8199" width="9.5703125" style="448" bestFit="1" customWidth="1"/>
    <col min="8200" max="8200" width="9" style="448" bestFit="1" customWidth="1"/>
    <col min="8201" max="8201" width="1.7109375" style="448" customWidth="1"/>
    <col min="8202" max="8202" width="15.85546875" style="448" customWidth="1"/>
    <col min="8203" max="8204" width="11.5703125" style="448" bestFit="1" customWidth="1"/>
    <col min="8205" max="8209" width="11.42578125" style="448" customWidth="1"/>
    <col min="8210" max="8210" width="19.42578125" style="448" customWidth="1"/>
    <col min="8211" max="8211" width="11.5703125" style="448" customWidth="1"/>
    <col min="8212" max="8219" width="11.42578125" style="448" customWidth="1"/>
    <col min="8220" max="8448" width="11.42578125" style="448"/>
    <col min="8449" max="8449" width="19.140625" style="448" customWidth="1"/>
    <col min="8450" max="8450" width="11.5703125" style="448" customWidth="1"/>
    <col min="8451" max="8452" width="11" style="448" bestFit="1" customWidth="1"/>
    <col min="8453" max="8453" width="10.5703125" style="448" bestFit="1" customWidth="1"/>
    <col min="8454" max="8454" width="9.7109375" style="448" customWidth="1"/>
    <col min="8455" max="8455" width="9.5703125" style="448" bestFit="1" customWidth="1"/>
    <col min="8456" max="8456" width="9" style="448" bestFit="1" customWidth="1"/>
    <col min="8457" max="8457" width="1.7109375" style="448" customWidth="1"/>
    <col min="8458" max="8458" width="15.85546875" style="448" customWidth="1"/>
    <col min="8459" max="8460" width="11.5703125" style="448" bestFit="1" customWidth="1"/>
    <col min="8461" max="8465" width="11.42578125" style="448" customWidth="1"/>
    <col min="8466" max="8466" width="19.42578125" style="448" customWidth="1"/>
    <col min="8467" max="8467" width="11.5703125" style="448" customWidth="1"/>
    <col min="8468" max="8475" width="11.42578125" style="448" customWidth="1"/>
    <col min="8476" max="8704" width="11.42578125" style="448"/>
    <col min="8705" max="8705" width="19.140625" style="448" customWidth="1"/>
    <col min="8706" max="8706" width="11.5703125" style="448" customWidth="1"/>
    <col min="8707" max="8708" width="11" style="448" bestFit="1" customWidth="1"/>
    <col min="8709" max="8709" width="10.5703125" style="448" bestFit="1" customWidth="1"/>
    <col min="8710" max="8710" width="9.7109375" style="448" customWidth="1"/>
    <col min="8711" max="8711" width="9.5703125" style="448" bestFit="1" customWidth="1"/>
    <col min="8712" max="8712" width="9" style="448" bestFit="1" customWidth="1"/>
    <col min="8713" max="8713" width="1.7109375" style="448" customWidth="1"/>
    <col min="8714" max="8714" width="15.85546875" style="448" customWidth="1"/>
    <col min="8715" max="8716" width="11.5703125" style="448" bestFit="1" customWidth="1"/>
    <col min="8717" max="8721" width="11.42578125" style="448" customWidth="1"/>
    <col min="8722" max="8722" width="19.42578125" style="448" customWidth="1"/>
    <col min="8723" max="8723" width="11.5703125" style="448" customWidth="1"/>
    <col min="8724" max="8731" width="11.42578125" style="448" customWidth="1"/>
    <col min="8732" max="8960" width="11.42578125" style="448"/>
    <col min="8961" max="8961" width="19.140625" style="448" customWidth="1"/>
    <col min="8962" max="8962" width="11.5703125" style="448" customWidth="1"/>
    <col min="8963" max="8964" width="11" style="448" bestFit="1" customWidth="1"/>
    <col min="8965" max="8965" width="10.5703125" style="448" bestFit="1" customWidth="1"/>
    <col min="8966" max="8966" width="9.7109375" style="448" customWidth="1"/>
    <col min="8967" max="8967" width="9.5703125" style="448" bestFit="1" customWidth="1"/>
    <col min="8968" max="8968" width="9" style="448" bestFit="1" customWidth="1"/>
    <col min="8969" max="8969" width="1.7109375" style="448" customWidth="1"/>
    <col min="8970" max="8970" width="15.85546875" style="448" customWidth="1"/>
    <col min="8971" max="8972" width="11.5703125" style="448" bestFit="1" customWidth="1"/>
    <col min="8973" max="8977" width="11.42578125" style="448" customWidth="1"/>
    <col min="8978" max="8978" width="19.42578125" style="448" customWidth="1"/>
    <col min="8979" max="8979" width="11.5703125" style="448" customWidth="1"/>
    <col min="8980" max="8987" width="11.42578125" style="448" customWidth="1"/>
    <col min="8988" max="9216" width="11.42578125" style="448"/>
    <col min="9217" max="9217" width="19.140625" style="448" customWidth="1"/>
    <col min="9218" max="9218" width="11.5703125" style="448" customWidth="1"/>
    <col min="9219" max="9220" width="11" style="448" bestFit="1" customWidth="1"/>
    <col min="9221" max="9221" width="10.5703125" style="448" bestFit="1" customWidth="1"/>
    <col min="9222" max="9222" width="9.7109375" style="448" customWidth="1"/>
    <col min="9223" max="9223" width="9.5703125" style="448" bestFit="1" customWidth="1"/>
    <col min="9224" max="9224" width="9" style="448" bestFit="1" customWidth="1"/>
    <col min="9225" max="9225" width="1.7109375" style="448" customWidth="1"/>
    <col min="9226" max="9226" width="15.85546875" style="448" customWidth="1"/>
    <col min="9227" max="9228" width="11.5703125" style="448" bestFit="1" customWidth="1"/>
    <col min="9229" max="9233" width="11.42578125" style="448" customWidth="1"/>
    <col min="9234" max="9234" width="19.42578125" style="448" customWidth="1"/>
    <col min="9235" max="9235" width="11.5703125" style="448" customWidth="1"/>
    <col min="9236" max="9243" width="11.42578125" style="448" customWidth="1"/>
    <col min="9244" max="9472" width="11.42578125" style="448"/>
    <col min="9473" max="9473" width="19.140625" style="448" customWidth="1"/>
    <col min="9474" max="9474" width="11.5703125" style="448" customWidth="1"/>
    <col min="9475" max="9476" width="11" style="448" bestFit="1" customWidth="1"/>
    <col min="9477" max="9477" width="10.5703125" style="448" bestFit="1" customWidth="1"/>
    <col min="9478" max="9478" width="9.7109375" style="448" customWidth="1"/>
    <col min="9479" max="9479" width="9.5703125" style="448" bestFit="1" customWidth="1"/>
    <col min="9480" max="9480" width="9" style="448" bestFit="1" customWidth="1"/>
    <col min="9481" max="9481" width="1.7109375" style="448" customWidth="1"/>
    <col min="9482" max="9482" width="15.85546875" style="448" customWidth="1"/>
    <col min="9483" max="9484" width="11.5703125" style="448" bestFit="1" customWidth="1"/>
    <col min="9485" max="9489" width="11.42578125" style="448" customWidth="1"/>
    <col min="9490" max="9490" width="19.42578125" style="448" customWidth="1"/>
    <col min="9491" max="9491" width="11.5703125" style="448" customWidth="1"/>
    <col min="9492" max="9499" width="11.42578125" style="448" customWidth="1"/>
    <col min="9500" max="9728" width="11.42578125" style="448"/>
    <col min="9729" max="9729" width="19.140625" style="448" customWidth="1"/>
    <col min="9730" max="9730" width="11.5703125" style="448" customWidth="1"/>
    <col min="9731" max="9732" width="11" style="448" bestFit="1" customWidth="1"/>
    <col min="9733" max="9733" width="10.5703125" style="448" bestFit="1" customWidth="1"/>
    <col min="9734" max="9734" width="9.7109375" style="448" customWidth="1"/>
    <col min="9735" max="9735" width="9.5703125" style="448" bestFit="1" customWidth="1"/>
    <col min="9736" max="9736" width="9" style="448" bestFit="1" customWidth="1"/>
    <col min="9737" max="9737" width="1.7109375" style="448" customWidth="1"/>
    <col min="9738" max="9738" width="15.85546875" style="448" customWidth="1"/>
    <col min="9739" max="9740" width="11.5703125" style="448" bestFit="1" customWidth="1"/>
    <col min="9741" max="9745" width="11.42578125" style="448" customWidth="1"/>
    <col min="9746" max="9746" width="19.42578125" style="448" customWidth="1"/>
    <col min="9747" max="9747" width="11.5703125" style="448" customWidth="1"/>
    <col min="9748" max="9755" width="11.42578125" style="448" customWidth="1"/>
    <col min="9756" max="9984" width="11.42578125" style="448"/>
    <col min="9985" max="9985" width="19.140625" style="448" customWidth="1"/>
    <col min="9986" max="9986" width="11.5703125" style="448" customWidth="1"/>
    <col min="9987" max="9988" width="11" style="448" bestFit="1" customWidth="1"/>
    <col min="9989" max="9989" width="10.5703125" style="448" bestFit="1" customWidth="1"/>
    <col min="9990" max="9990" width="9.7109375" style="448" customWidth="1"/>
    <col min="9991" max="9991" width="9.5703125" style="448" bestFit="1" customWidth="1"/>
    <col min="9992" max="9992" width="9" style="448" bestFit="1" customWidth="1"/>
    <col min="9993" max="9993" width="1.7109375" style="448" customWidth="1"/>
    <col min="9994" max="9994" width="15.85546875" style="448" customWidth="1"/>
    <col min="9995" max="9996" width="11.5703125" style="448" bestFit="1" customWidth="1"/>
    <col min="9997" max="10001" width="11.42578125" style="448" customWidth="1"/>
    <col min="10002" max="10002" width="19.42578125" style="448" customWidth="1"/>
    <col min="10003" max="10003" width="11.5703125" style="448" customWidth="1"/>
    <col min="10004" max="10011" width="11.42578125" style="448" customWidth="1"/>
    <col min="10012" max="10240" width="11.42578125" style="448"/>
    <col min="10241" max="10241" width="19.140625" style="448" customWidth="1"/>
    <col min="10242" max="10242" width="11.5703125" style="448" customWidth="1"/>
    <col min="10243" max="10244" width="11" style="448" bestFit="1" customWidth="1"/>
    <col min="10245" max="10245" width="10.5703125" style="448" bestFit="1" customWidth="1"/>
    <col min="10246" max="10246" width="9.7109375" style="448" customWidth="1"/>
    <col min="10247" max="10247" width="9.5703125" style="448" bestFit="1" customWidth="1"/>
    <col min="10248" max="10248" width="9" style="448" bestFit="1" customWidth="1"/>
    <col min="10249" max="10249" width="1.7109375" style="448" customWidth="1"/>
    <col min="10250" max="10250" width="15.85546875" style="448" customWidth="1"/>
    <col min="10251" max="10252" width="11.5703125" style="448" bestFit="1" customWidth="1"/>
    <col min="10253" max="10257" width="11.42578125" style="448" customWidth="1"/>
    <col min="10258" max="10258" width="19.42578125" style="448" customWidth="1"/>
    <col min="10259" max="10259" width="11.5703125" style="448" customWidth="1"/>
    <col min="10260" max="10267" width="11.42578125" style="448" customWidth="1"/>
    <col min="10268" max="10496" width="11.42578125" style="448"/>
    <col min="10497" max="10497" width="19.140625" style="448" customWidth="1"/>
    <col min="10498" max="10498" width="11.5703125" style="448" customWidth="1"/>
    <col min="10499" max="10500" width="11" style="448" bestFit="1" customWidth="1"/>
    <col min="10501" max="10501" width="10.5703125" style="448" bestFit="1" customWidth="1"/>
    <col min="10502" max="10502" width="9.7109375" style="448" customWidth="1"/>
    <col min="10503" max="10503" width="9.5703125" style="448" bestFit="1" customWidth="1"/>
    <col min="10504" max="10504" width="9" style="448" bestFit="1" customWidth="1"/>
    <col min="10505" max="10505" width="1.7109375" style="448" customWidth="1"/>
    <col min="10506" max="10506" width="15.85546875" style="448" customWidth="1"/>
    <col min="10507" max="10508" width="11.5703125" style="448" bestFit="1" customWidth="1"/>
    <col min="10509" max="10513" width="11.42578125" style="448" customWidth="1"/>
    <col min="10514" max="10514" width="19.42578125" style="448" customWidth="1"/>
    <col min="10515" max="10515" width="11.5703125" style="448" customWidth="1"/>
    <col min="10516" max="10523" width="11.42578125" style="448" customWidth="1"/>
    <col min="10524" max="10752" width="11.42578125" style="448"/>
    <col min="10753" max="10753" width="19.140625" style="448" customWidth="1"/>
    <col min="10754" max="10754" width="11.5703125" style="448" customWidth="1"/>
    <col min="10755" max="10756" width="11" style="448" bestFit="1" customWidth="1"/>
    <col min="10757" max="10757" width="10.5703125" style="448" bestFit="1" customWidth="1"/>
    <col min="10758" max="10758" width="9.7109375" style="448" customWidth="1"/>
    <col min="10759" max="10759" width="9.5703125" style="448" bestFit="1" customWidth="1"/>
    <col min="10760" max="10760" width="9" style="448" bestFit="1" customWidth="1"/>
    <col min="10761" max="10761" width="1.7109375" style="448" customWidth="1"/>
    <col min="10762" max="10762" width="15.85546875" style="448" customWidth="1"/>
    <col min="10763" max="10764" width="11.5703125" style="448" bestFit="1" customWidth="1"/>
    <col min="10765" max="10769" width="11.42578125" style="448" customWidth="1"/>
    <col min="10770" max="10770" width="19.42578125" style="448" customWidth="1"/>
    <col min="10771" max="10771" width="11.5703125" style="448" customWidth="1"/>
    <col min="10772" max="10779" width="11.42578125" style="448" customWidth="1"/>
    <col min="10780" max="11008" width="11.42578125" style="448"/>
    <col min="11009" max="11009" width="19.140625" style="448" customWidth="1"/>
    <col min="11010" max="11010" width="11.5703125" style="448" customWidth="1"/>
    <col min="11011" max="11012" width="11" style="448" bestFit="1" customWidth="1"/>
    <col min="11013" max="11013" width="10.5703125" style="448" bestFit="1" customWidth="1"/>
    <col min="11014" max="11014" width="9.7109375" style="448" customWidth="1"/>
    <col min="11015" max="11015" width="9.5703125" style="448" bestFit="1" customWidth="1"/>
    <col min="11016" max="11016" width="9" style="448" bestFit="1" customWidth="1"/>
    <col min="11017" max="11017" width="1.7109375" style="448" customWidth="1"/>
    <col min="11018" max="11018" width="15.85546875" style="448" customWidth="1"/>
    <col min="11019" max="11020" width="11.5703125" style="448" bestFit="1" customWidth="1"/>
    <col min="11021" max="11025" width="11.42578125" style="448" customWidth="1"/>
    <col min="11026" max="11026" width="19.42578125" style="448" customWidth="1"/>
    <col min="11027" max="11027" width="11.5703125" style="448" customWidth="1"/>
    <col min="11028" max="11035" width="11.42578125" style="448" customWidth="1"/>
    <col min="11036" max="11264" width="11.42578125" style="448"/>
    <col min="11265" max="11265" width="19.140625" style="448" customWidth="1"/>
    <col min="11266" max="11266" width="11.5703125" style="448" customWidth="1"/>
    <col min="11267" max="11268" width="11" style="448" bestFit="1" customWidth="1"/>
    <col min="11269" max="11269" width="10.5703125" style="448" bestFit="1" customWidth="1"/>
    <col min="11270" max="11270" width="9.7109375" style="448" customWidth="1"/>
    <col min="11271" max="11271" width="9.5703125" style="448" bestFit="1" customWidth="1"/>
    <col min="11272" max="11272" width="9" style="448" bestFit="1" customWidth="1"/>
    <col min="11273" max="11273" width="1.7109375" style="448" customWidth="1"/>
    <col min="11274" max="11274" width="15.85546875" style="448" customWidth="1"/>
    <col min="11275" max="11276" width="11.5703125" style="448" bestFit="1" customWidth="1"/>
    <col min="11277" max="11281" width="11.42578125" style="448" customWidth="1"/>
    <col min="11282" max="11282" width="19.42578125" style="448" customWidth="1"/>
    <col min="11283" max="11283" width="11.5703125" style="448" customWidth="1"/>
    <col min="11284" max="11291" width="11.42578125" style="448" customWidth="1"/>
    <col min="11292" max="11520" width="11.42578125" style="448"/>
    <col min="11521" max="11521" width="19.140625" style="448" customWidth="1"/>
    <col min="11522" max="11522" width="11.5703125" style="448" customWidth="1"/>
    <col min="11523" max="11524" width="11" style="448" bestFit="1" customWidth="1"/>
    <col min="11525" max="11525" width="10.5703125" style="448" bestFit="1" customWidth="1"/>
    <col min="11526" max="11526" width="9.7109375" style="448" customWidth="1"/>
    <col min="11527" max="11527" width="9.5703125" style="448" bestFit="1" customWidth="1"/>
    <col min="11528" max="11528" width="9" style="448" bestFit="1" customWidth="1"/>
    <col min="11529" max="11529" width="1.7109375" style="448" customWidth="1"/>
    <col min="11530" max="11530" width="15.85546875" style="448" customWidth="1"/>
    <col min="11531" max="11532" width="11.5703125" style="448" bestFit="1" customWidth="1"/>
    <col min="11533" max="11537" width="11.42578125" style="448" customWidth="1"/>
    <col min="11538" max="11538" width="19.42578125" style="448" customWidth="1"/>
    <col min="11539" max="11539" width="11.5703125" style="448" customWidth="1"/>
    <col min="11540" max="11547" width="11.42578125" style="448" customWidth="1"/>
    <col min="11548" max="11776" width="11.42578125" style="448"/>
    <col min="11777" max="11777" width="19.140625" style="448" customWidth="1"/>
    <col min="11778" max="11778" width="11.5703125" style="448" customWidth="1"/>
    <col min="11779" max="11780" width="11" style="448" bestFit="1" customWidth="1"/>
    <col min="11781" max="11781" width="10.5703125" style="448" bestFit="1" customWidth="1"/>
    <col min="11782" max="11782" width="9.7109375" style="448" customWidth="1"/>
    <col min="11783" max="11783" width="9.5703125" style="448" bestFit="1" customWidth="1"/>
    <col min="11784" max="11784" width="9" style="448" bestFit="1" customWidth="1"/>
    <col min="11785" max="11785" width="1.7109375" style="448" customWidth="1"/>
    <col min="11786" max="11786" width="15.85546875" style="448" customWidth="1"/>
    <col min="11787" max="11788" width="11.5703125" style="448" bestFit="1" customWidth="1"/>
    <col min="11789" max="11793" width="11.42578125" style="448" customWidth="1"/>
    <col min="11794" max="11794" width="19.42578125" style="448" customWidth="1"/>
    <col min="11795" max="11795" width="11.5703125" style="448" customWidth="1"/>
    <col min="11796" max="11803" width="11.42578125" style="448" customWidth="1"/>
    <col min="11804" max="12032" width="11.42578125" style="448"/>
    <col min="12033" max="12033" width="19.140625" style="448" customWidth="1"/>
    <col min="12034" max="12034" width="11.5703125" style="448" customWidth="1"/>
    <col min="12035" max="12036" width="11" style="448" bestFit="1" customWidth="1"/>
    <col min="12037" max="12037" width="10.5703125" style="448" bestFit="1" customWidth="1"/>
    <col min="12038" max="12038" width="9.7109375" style="448" customWidth="1"/>
    <col min="12039" max="12039" width="9.5703125" style="448" bestFit="1" customWidth="1"/>
    <col min="12040" max="12040" width="9" style="448" bestFit="1" customWidth="1"/>
    <col min="12041" max="12041" width="1.7109375" style="448" customWidth="1"/>
    <col min="12042" max="12042" width="15.85546875" style="448" customWidth="1"/>
    <col min="12043" max="12044" width="11.5703125" style="448" bestFit="1" customWidth="1"/>
    <col min="12045" max="12049" width="11.42578125" style="448" customWidth="1"/>
    <col min="12050" max="12050" width="19.42578125" style="448" customWidth="1"/>
    <col min="12051" max="12051" width="11.5703125" style="448" customWidth="1"/>
    <col min="12052" max="12059" width="11.42578125" style="448" customWidth="1"/>
    <col min="12060" max="12288" width="11.42578125" style="448"/>
    <col min="12289" max="12289" width="19.140625" style="448" customWidth="1"/>
    <col min="12290" max="12290" width="11.5703125" style="448" customWidth="1"/>
    <col min="12291" max="12292" width="11" style="448" bestFit="1" customWidth="1"/>
    <col min="12293" max="12293" width="10.5703125" style="448" bestFit="1" customWidth="1"/>
    <col min="12294" max="12294" width="9.7109375" style="448" customWidth="1"/>
    <col min="12295" max="12295" width="9.5703125" style="448" bestFit="1" customWidth="1"/>
    <col min="12296" max="12296" width="9" style="448" bestFit="1" customWidth="1"/>
    <col min="12297" max="12297" width="1.7109375" style="448" customWidth="1"/>
    <col min="12298" max="12298" width="15.85546875" style="448" customWidth="1"/>
    <col min="12299" max="12300" width="11.5703125" style="448" bestFit="1" customWidth="1"/>
    <col min="12301" max="12305" width="11.42578125" style="448" customWidth="1"/>
    <col min="12306" max="12306" width="19.42578125" style="448" customWidth="1"/>
    <col min="12307" max="12307" width="11.5703125" style="448" customWidth="1"/>
    <col min="12308" max="12315" width="11.42578125" style="448" customWidth="1"/>
    <col min="12316" max="12544" width="11.42578125" style="448"/>
    <col min="12545" max="12545" width="19.140625" style="448" customWidth="1"/>
    <col min="12546" max="12546" width="11.5703125" style="448" customWidth="1"/>
    <col min="12547" max="12548" width="11" style="448" bestFit="1" customWidth="1"/>
    <col min="12549" max="12549" width="10.5703125" style="448" bestFit="1" customWidth="1"/>
    <col min="12550" max="12550" width="9.7109375" style="448" customWidth="1"/>
    <col min="12551" max="12551" width="9.5703125" style="448" bestFit="1" customWidth="1"/>
    <col min="12552" max="12552" width="9" style="448" bestFit="1" customWidth="1"/>
    <col min="12553" max="12553" width="1.7109375" style="448" customWidth="1"/>
    <col min="12554" max="12554" width="15.85546875" style="448" customWidth="1"/>
    <col min="12555" max="12556" width="11.5703125" style="448" bestFit="1" customWidth="1"/>
    <col min="12557" max="12561" width="11.42578125" style="448" customWidth="1"/>
    <col min="12562" max="12562" width="19.42578125" style="448" customWidth="1"/>
    <col min="12563" max="12563" width="11.5703125" style="448" customWidth="1"/>
    <col min="12564" max="12571" width="11.42578125" style="448" customWidth="1"/>
    <col min="12572" max="12800" width="11.42578125" style="448"/>
    <col min="12801" max="12801" width="19.140625" style="448" customWidth="1"/>
    <col min="12802" max="12802" width="11.5703125" style="448" customWidth="1"/>
    <col min="12803" max="12804" width="11" style="448" bestFit="1" customWidth="1"/>
    <col min="12805" max="12805" width="10.5703125" style="448" bestFit="1" customWidth="1"/>
    <col min="12806" max="12806" width="9.7109375" style="448" customWidth="1"/>
    <col min="12807" max="12807" width="9.5703125" style="448" bestFit="1" customWidth="1"/>
    <col min="12808" max="12808" width="9" style="448" bestFit="1" customWidth="1"/>
    <col min="12809" max="12809" width="1.7109375" style="448" customWidth="1"/>
    <col min="12810" max="12810" width="15.85546875" style="448" customWidth="1"/>
    <col min="12811" max="12812" width="11.5703125" style="448" bestFit="1" customWidth="1"/>
    <col min="12813" max="12817" width="11.42578125" style="448" customWidth="1"/>
    <col min="12818" max="12818" width="19.42578125" style="448" customWidth="1"/>
    <col min="12819" max="12819" width="11.5703125" style="448" customWidth="1"/>
    <col min="12820" max="12827" width="11.42578125" style="448" customWidth="1"/>
    <col min="12828" max="13056" width="11.42578125" style="448"/>
    <col min="13057" max="13057" width="19.140625" style="448" customWidth="1"/>
    <col min="13058" max="13058" width="11.5703125" style="448" customWidth="1"/>
    <col min="13059" max="13060" width="11" style="448" bestFit="1" customWidth="1"/>
    <col min="13061" max="13061" width="10.5703125" style="448" bestFit="1" customWidth="1"/>
    <col min="13062" max="13062" width="9.7109375" style="448" customWidth="1"/>
    <col min="13063" max="13063" width="9.5703125" style="448" bestFit="1" customWidth="1"/>
    <col min="13064" max="13064" width="9" style="448" bestFit="1" customWidth="1"/>
    <col min="13065" max="13065" width="1.7109375" style="448" customWidth="1"/>
    <col min="13066" max="13066" width="15.85546875" style="448" customWidth="1"/>
    <col min="13067" max="13068" width="11.5703125" style="448" bestFit="1" customWidth="1"/>
    <col min="13069" max="13073" width="11.42578125" style="448" customWidth="1"/>
    <col min="13074" max="13074" width="19.42578125" style="448" customWidth="1"/>
    <col min="13075" max="13075" width="11.5703125" style="448" customWidth="1"/>
    <col min="13076" max="13083" width="11.42578125" style="448" customWidth="1"/>
    <col min="13084" max="13312" width="11.42578125" style="448"/>
    <col min="13313" max="13313" width="19.140625" style="448" customWidth="1"/>
    <col min="13314" max="13314" width="11.5703125" style="448" customWidth="1"/>
    <col min="13315" max="13316" width="11" style="448" bestFit="1" customWidth="1"/>
    <col min="13317" max="13317" width="10.5703125" style="448" bestFit="1" customWidth="1"/>
    <col min="13318" max="13318" width="9.7109375" style="448" customWidth="1"/>
    <col min="13319" max="13319" width="9.5703125" style="448" bestFit="1" customWidth="1"/>
    <col min="13320" max="13320" width="9" style="448" bestFit="1" customWidth="1"/>
    <col min="13321" max="13321" width="1.7109375" style="448" customWidth="1"/>
    <col min="13322" max="13322" width="15.85546875" style="448" customWidth="1"/>
    <col min="13323" max="13324" width="11.5703125" style="448" bestFit="1" customWidth="1"/>
    <col min="13325" max="13329" width="11.42578125" style="448" customWidth="1"/>
    <col min="13330" max="13330" width="19.42578125" style="448" customWidth="1"/>
    <col min="13331" max="13331" width="11.5703125" style="448" customWidth="1"/>
    <col min="13332" max="13339" width="11.42578125" style="448" customWidth="1"/>
    <col min="13340" max="13568" width="11.42578125" style="448"/>
    <col min="13569" max="13569" width="19.140625" style="448" customWidth="1"/>
    <col min="13570" max="13570" width="11.5703125" style="448" customWidth="1"/>
    <col min="13571" max="13572" width="11" style="448" bestFit="1" customWidth="1"/>
    <col min="13573" max="13573" width="10.5703125" style="448" bestFit="1" customWidth="1"/>
    <col min="13574" max="13574" width="9.7109375" style="448" customWidth="1"/>
    <col min="13575" max="13575" width="9.5703125" style="448" bestFit="1" customWidth="1"/>
    <col min="13576" max="13576" width="9" style="448" bestFit="1" customWidth="1"/>
    <col min="13577" max="13577" width="1.7109375" style="448" customWidth="1"/>
    <col min="13578" max="13578" width="15.85546875" style="448" customWidth="1"/>
    <col min="13579" max="13580" width="11.5703125" style="448" bestFit="1" customWidth="1"/>
    <col min="13581" max="13585" width="11.42578125" style="448" customWidth="1"/>
    <col min="13586" max="13586" width="19.42578125" style="448" customWidth="1"/>
    <col min="13587" max="13587" width="11.5703125" style="448" customWidth="1"/>
    <col min="13588" max="13595" width="11.42578125" style="448" customWidth="1"/>
    <col min="13596" max="13824" width="11.42578125" style="448"/>
    <col min="13825" max="13825" width="19.140625" style="448" customWidth="1"/>
    <col min="13826" max="13826" width="11.5703125" style="448" customWidth="1"/>
    <col min="13827" max="13828" width="11" style="448" bestFit="1" customWidth="1"/>
    <col min="13829" max="13829" width="10.5703125" style="448" bestFit="1" customWidth="1"/>
    <col min="13830" max="13830" width="9.7109375" style="448" customWidth="1"/>
    <col min="13831" max="13831" width="9.5703125" style="448" bestFit="1" customWidth="1"/>
    <col min="13832" max="13832" width="9" style="448" bestFit="1" customWidth="1"/>
    <col min="13833" max="13833" width="1.7109375" style="448" customWidth="1"/>
    <col min="13834" max="13834" width="15.85546875" style="448" customWidth="1"/>
    <col min="13835" max="13836" width="11.5703125" style="448" bestFit="1" customWidth="1"/>
    <col min="13837" max="13841" width="11.42578125" style="448" customWidth="1"/>
    <col min="13842" max="13842" width="19.42578125" style="448" customWidth="1"/>
    <col min="13843" max="13843" width="11.5703125" style="448" customWidth="1"/>
    <col min="13844" max="13851" width="11.42578125" style="448" customWidth="1"/>
    <col min="13852" max="14080" width="11.42578125" style="448"/>
    <col min="14081" max="14081" width="19.140625" style="448" customWidth="1"/>
    <col min="14082" max="14082" width="11.5703125" style="448" customWidth="1"/>
    <col min="14083" max="14084" width="11" style="448" bestFit="1" customWidth="1"/>
    <col min="14085" max="14085" width="10.5703125" style="448" bestFit="1" customWidth="1"/>
    <col min="14086" max="14086" width="9.7109375" style="448" customWidth="1"/>
    <col min="14087" max="14087" width="9.5703125" style="448" bestFit="1" customWidth="1"/>
    <col min="14088" max="14088" width="9" style="448" bestFit="1" customWidth="1"/>
    <col min="14089" max="14089" width="1.7109375" style="448" customWidth="1"/>
    <col min="14090" max="14090" width="15.85546875" style="448" customWidth="1"/>
    <col min="14091" max="14092" width="11.5703125" style="448" bestFit="1" customWidth="1"/>
    <col min="14093" max="14097" width="11.42578125" style="448" customWidth="1"/>
    <col min="14098" max="14098" width="19.42578125" style="448" customWidth="1"/>
    <col min="14099" max="14099" width="11.5703125" style="448" customWidth="1"/>
    <col min="14100" max="14107" width="11.42578125" style="448" customWidth="1"/>
    <col min="14108" max="14336" width="11.42578125" style="448"/>
    <col min="14337" max="14337" width="19.140625" style="448" customWidth="1"/>
    <col min="14338" max="14338" width="11.5703125" style="448" customWidth="1"/>
    <col min="14339" max="14340" width="11" style="448" bestFit="1" customWidth="1"/>
    <col min="14341" max="14341" width="10.5703125" style="448" bestFit="1" customWidth="1"/>
    <col min="14342" max="14342" width="9.7109375" style="448" customWidth="1"/>
    <col min="14343" max="14343" width="9.5703125" style="448" bestFit="1" customWidth="1"/>
    <col min="14344" max="14344" width="9" style="448" bestFit="1" customWidth="1"/>
    <col min="14345" max="14345" width="1.7109375" style="448" customWidth="1"/>
    <col min="14346" max="14346" width="15.85546875" style="448" customWidth="1"/>
    <col min="14347" max="14348" width="11.5703125" style="448" bestFit="1" customWidth="1"/>
    <col min="14349" max="14353" width="11.42578125" style="448" customWidth="1"/>
    <col min="14354" max="14354" width="19.42578125" style="448" customWidth="1"/>
    <col min="14355" max="14355" width="11.5703125" style="448" customWidth="1"/>
    <col min="14356" max="14363" width="11.42578125" style="448" customWidth="1"/>
    <col min="14364" max="14592" width="11.42578125" style="448"/>
    <col min="14593" max="14593" width="19.140625" style="448" customWidth="1"/>
    <col min="14594" max="14594" width="11.5703125" style="448" customWidth="1"/>
    <col min="14595" max="14596" width="11" style="448" bestFit="1" customWidth="1"/>
    <col min="14597" max="14597" width="10.5703125" style="448" bestFit="1" customWidth="1"/>
    <col min="14598" max="14598" width="9.7109375" style="448" customWidth="1"/>
    <col min="14599" max="14599" width="9.5703125" style="448" bestFit="1" customWidth="1"/>
    <col min="14600" max="14600" width="9" style="448" bestFit="1" customWidth="1"/>
    <col min="14601" max="14601" width="1.7109375" style="448" customWidth="1"/>
    <col min="14602" max="14602" width="15.85546875" style="448" customWidth="1"/>
    <col min="14603" max="14604" width="11.5703125" style="448" bestFit="1" customWidth="1"/>
    <col min="14605" max="14609" width="11.42578125" style="448" customWidth="1"/>
    <col min="14610" max="14610" width="19.42578125" style="448" customWidth="1"/>
    <col min="14611" max="14611" width="11.5703125" style="448" customWidth="1"/>
    <col min="14612" max="14619" width="11.42578125" style="448" customWidth="1"/>
    <col min="14620" max="14848" width="11.42578125" style="448"/>
    <col min="14849" max="14849" width="19.140625" style="448" customWidth="1"/>
    <col min="14850" max="14850" width="11.5703125" style="448" customWidth="1"/>
    <col min="14851" max="14852" width="11" style="448" bestFit="1" customWidth="1"/>
    <col min="14853" max="14853" width="10.5703125" style="448" bestFit="1" customWidth="1"/>
    <col min="14854" max="14854" width="9.7109375" style="448" customWidth="1"/>
    <col min="14855" max="14855" width="9.5703125" style="448" bestFit="1" customWidth="1"/>
    <col min="14856" max="14856" width="9" style="448" bestFit="1" customWidth="1"/>
    <col min="14857" max="14857" width="1.7109375" style="448" customWidth="1"/>
    <col min="14858" max="14858" width="15.85546875" style="448" customWidth="1"/>
    <col min="14859" max="14860" width="11.5703125" style="448" bestFit="1" customWidth="1"/>
    <col min="14861" max="14865" width="11.42578125" style="448" customWidth="1"/>
    <col min="14866" max="14866" width="19.42578125" style="448" customWidth="1"/>
    <col min="14867" max="14867" width="11.5703125" style="448" customWidth="1"/>
    <col min="14868" max="14875" width="11.42578125" style="448" customWidth="1"/>
    <col min="14876" max="15104" width="11.42578125" style="448"/>
    <col min="15105" max="15105" width="19.140625" style="448" customWidth="1"/>
    <col min="15106" max="15106" width="11.5703125" style="448" customWidth="1"/>
    <col min="15107" max="15108" width="11" style="448" bestFit="1" customWidth="1"/>
    <col min="15109" max="15109" width="10.5703125" style="448" bestFit="1" customWidth="1"/>
    <col min="15110" max="15110" width="9.7109375" style="448" customWidth="1"/>
    <col min="15111" max="15111" width="9.5703125" style="448" bestFit="1" customWidth="1"/>
    <col min="15112" max="15112" width="9" style="448" bestFit="1" customWidth="1"/>
    <col min="15113" max="15113" width="1.7109375" style="448" customWidth="1"/>
    <col min="15114" max="15114" width="15.85546875" style="448" customWidth="1"/>
    <col min="15115" max="15116" width="11.5703125" style="448" bestFit="1" customWidth="1"/>
    <col min="15117" max="15121" width="11.42578125" style="448" customWidth="1"/>
    <col min="15122" max="15122" width="19.42578125" style="448" customWidth="1"/>
    <col min="15123" max="15123" width="11.5703125" style="448" customWidth="1"/>
    <col min="15124" max="15131" width="11.42578125" style="448" customWidth="1"/>
    <col min="15132" max="15360" width="11.42578125" style="448"/>
    <col min="15361" max="15361" width="19.140625" style="448" customWidth="1"/>
    <col min="15362" max="15362" width="11.5703125" style="448" customWidth="1"/>
    <col min="15363" max="15364" width="11" style="448" bestFit="1" customWidth="1"/>
    <col min="15365" max="15365" width="10.5703125" style="448" bestFit="1" customWidth="1"/>
    <col min="15366" max="15366" width="9.7109375" style="448" customWidth="1"/>
    <col min="15367" max="15367" width="9.5703125" style="448" bestFit="1" customWidth="1"/>
    <col min="15368" max="15368" width="9" style="448" bestFit="1" customWidth="1"/>
    <col min="15369" max="15369" width="1.7109375" style="448" customWidth="1"/>
    <col min="15370" max="15370" width="15.85546875" style="448" customWidth="1"/>
    <col min="15371" max="15372" width="11.5703125" style="448" bestFit="1" customWidth="1"/>
    <col min="15373" max="15377" width="11.42578125" style="448" customWidth="1"/>
    <col min="15378" max="15378" width="19.42578125" style="448" customWidth="1"/>
    <col min="15379" max="15379" width="11.5703125" style="448" customWidth="1"/>
    <col min="15380" max="15387" width="11.42578125" style="448" customWidth="1"/>
    <col min="15388" max="15616" width="11.42578125" style="448"/>
    <col min="15617" max="15617" width="19.140625" style="448" customWidth="1"/>
    <col min="15618" max="15618" width="11.5703125" style="448" customWidth="1"/>
    <col min="15619" max="15620" width="11" style="448" bestFit="1" customWidth="1"/>
    <col min="15621" max="15621" width="10.5703125" style="448" bestFit="1" customWidth="1"/>
    <col min="15622" max="15622" width="9.7109375" style="448" customWidth="1"/>
    <col min="15623" max="15623" width="9.5703125" style="448" bestFit="1" customWidth="1"/>
    <col min="15624" max="15624" width="9" style="448" bestFit="1" customWidth="1"/>
    <col min="15625" max="15625" width="1.7109375" style="448" customWidth="1"/>
    <col min="15626" max="15626" width="15.85546875" style="448" customWidth="1"/>
    <col min="15627" max="15628" width="11.5703125" style="448" bestFit="1" customWidth="1"/>
    <col min="15629" max="15633" width="11.42578125" style="448" customWidth="1"/>
    <col min="15634" max="15634" width="19.42578125" style="448" customWidth="1"/>
    <col min="15635" max="15635" width="11.5703125" style="448" customWidth="1"/>
    <col min="15636" max="15643" width="11.42578125" style="448" customWidth="1"/>
    <col min="15644" max="15872" width="11.42578125" style="448"/>
    <col min="15873" max="15873" width="19.140625" style="448" customWidth="1"/>
    <col min="15874" max="15874" width="11.5703125" style="448" customWidth="1"/>
    <col min="15875" max="15876" width="11" style="448" bestFit="1" customWidth="1"/>
    <col min="15877" max="15877" width="10.5703125" style="448" bestFit="1" customWidth="1"/>
    <col min="15878" max="15878" width="9.7109375" style="448" customWidth="1"/>
    <col min="15879" max="15879" width="9.5703125" style="448" bestFit="1" customWidth="1"/>
    <col min="15880" max="15880" width="9" style="448" bestFit="1" customWidth="1"/>
    <col min="15881" max="15881" width="1.7109375" style="448" customWidth="1"/>
    <col min="15882" max="15882" width="15.85546875" style="448" customWidth="1"/>
    <col min="15883" max="15884" width="11.5703125" style="448" bestFit="1" customWidth="1"/>
    <col min="15885" max="15889" width="11.42578125" style="448" customWidth="1"/>
    <col min="15890" max="15890" width="19.42578125" style="448" customWidth="1"/>
    <col min="15891" max="15891" width="11.5703125" style="448" customWidth="1"/>
    <col min="15892" max="15899" width="11.42578125" style="448" customWidth="1"/>
    <col min="15900" max="16128" width="11.42578125" style="448"/>
    <col min="16129" max="16129" width="19.140625" style="448" customWidth="1"/>
    <col min="16130" max="16130" width="11.5703125" style="448" customWidth="1"/>
    <col min="16131" max="16132" width="11" style="448" bestFit="1" customWidth="1"/>
    <col min="16133" max="16133" width="10.5703125" style="448" bestFit="1" customWidth="1"/>
    <col min="16134" max="16134" width="9.7109375" style="448" customWidth="1"/>
    <col min="16135" max="16135" width="9.5703125" style="448" bestFit="1" customWidth="1"/>
    <col min="16136" max="16136" width="9" style="448" bestFit="1" customWidth="1"/>
    <col min="16137" max="16137" width="1.7109375" style="448" customWidth="1"/>
    <col min="16138" max="16138" width="15.85546875" style="448" customWidth="1"/>
    <col min="16139" max="16140" width="11.5703125" style="448" bestFit="1" customWidth="1"/>
    <col min="16141" max="16145" width="11.42578125" style="448" customWidth="1"/>
    <col min="16146" max="16146" width="19.42578125" style="448" customWidth="1"/>
    <col min="16147" max="16147" width="11.5703125" style="448" customWidth="1"/>
    <col min="16148" max="16155" width="11.42578125" style="448" customWidth="1"/>
    <col min="16156" max="16384" width="11.42578125" style="448"/>
  </cols>
  <sheetData>
    <row r="1" spans="1:27">
      <c r="A1" s="447" t="s">
        <v>1243</v>
      </c>
    </row>
    <row r="2" spans="1:27">
      <c r="A2" s="447" t="s">
        <v>1244</v>
      </c>
    </row>
    <row r="3" spans="1:27">
      <c r="A3" s="451">
        <v>42460</v>
      </c>
    </row>
    <row r="4" spans="1:27">
      <c r="A4" s="451"/>
    </row>
    <row r="5" spans="1:27">
      <c r="B5" s="447"/>
      <c r="C5" s="447"/>
      <c r="D5" s="447"/>
      <c r="E5" s="447"/>
      <c r="F5" s="452" t="s">
        <v>1245</v>
      </c>
      <c r="G5" s="452" t="s">
        <v>1246</v>
      </c>
      <c r="H5" s="452" t="s">
        <v>757</v>
      </c>
    </row>
    <row r="6" spans="1:27">
      <c r="B6" s="452" t="s">
        <v>1247</v>
      </c>
      <c r="C6" s="452" t="s">
        <v>1248</v>
      </c>
      <c r="D6" s="452" t="s">
        <v>201</v>
      </c>
      <c r="E6" s="452" t="s">
        <v>1249</v>
      </c>
      <c r="F6" s="452" t="s">
        <v>1250</v>
      </c>
      <c r="G6" s="452" t="s">
        <v>1250</v>
      </c>
      <c r="H6" s="452" t="s">
        <v>1251</v>
      </c>
      <c r="J6" s="453"/>
      <c r="K6" s="454"/>
      <c r="L6" s="454"/>
      <c r="M6" s="454"/>
      <c r="N6" s="454"/>
      <c r="O6" s="454"/>
      <c r="P6" s="454"/>
      <c r="R6" s="447"/>
      <c r="S6" s="453"/>
      <c r="T6" s="455"/>
      <c r="U6" s="455"/>
      <c r="V6" s="455"/>
      <c r="W6" s="455"/>
      <c r="X6" s="455"/>
      <c r="Y6" s="455"/>
    </row>
    <row r="7" spans="1:27">
      <c r="B7" s="452"/>
      <c r="C7" s="452"/>
      <c r="D7" s="452" t="s">
        <v>1247</v>
      </c>
      <c r="E7" s="452" t="s">
        <v>201</v>
      </c>
      <c r="F7" s="456">
        <v>42095</v>
      </c>
      <c r="G7" s="457">
        <f>A3</f>
        <v>42460</v>
      </c>
      <c r="H7" s="457">
        <f>G7</f>
        <v>42460</v>
      </c>
      <c r="K7" s="454"/>
      <c r="L7" s="454"/>
      <c r="M7" s="454"/>
      <c r="N7" s="454"/>
      <c r="O7" s="454"/>
      <c r="P7" s="454"/>
      <c r="S7" s="458"/>
      <c r="T7" s="455"/>
      <c r="U7" s="455"/>
      <c r="V7" s="455"/>
      <c r="W7" s="455"/>
      <c r="X7" s="455"/>
      <c r="Y7" s="455"/>
    </row>
    <row r="8" spans="1:27">
      <c r="A8" s="459" t="s">
        <v>1252</v>
      </c>
      <c r="J8" s="453"/>
      <c r="K8" s="454"/>
      <c r="L8" s="454"/>
      <c r="M8" s="454"/>
      <c r="N8" s="454"/>
      <c r="O8" s="454"/>
      <c r="P8" s="454"/>
      <c r="R8" s="447"/>
      <c r="S8" s="458"/>
      <c r="T8" s="455"/>
      <c r="U8" s="455"/>
      <c r="V8" s="455"/>
      <c r="W8" s="455"/>
      <c r="X8" s="455"/>
      <c r="Y8" s="455"/>
    </row>
    <row r="9" spans="1:27">
      <c r="A9" s="448" t="s">
        <v>1253</v>
      </c>
      <c r="B9" s="460">
        <f>Depreciation!L25</f>
        <v>535052.09999999986</v>
      </c>
      <c r="C9" s="460">
        <f>B9-D9</f>
        <v>113251.89059999993</v>
      </c>
      <c r="D9" s="460">
        <f>Depreciation!N25</f>
        <v>421800.20939999993</v>
      </c>
      <c r="E9" s="460">
        <f>Depreciation!P25</f>
        <v>59434.96563555405</v>
      </c>
      <c r="F9" s="460">
        <f>Depreciation!Y25</f>
        <v>8692.0242779384662</v>
      </c>
      <c r="G9" s="460">
        <f>Depreciation!Z25</f>
        <v>68126.989913492507</v>
      </c>
      <c r="H9" s="460">
        <f>Depreciation!AA25-H10</f>
        <v>397451.96790428448</v>
      </c>
      <c r="J9" s="461"/>
      <c r="K9" s="450"/>
      <c r="L9" s="450"/>
      <c r="M9" s="450"/>
      <c r="N9" s="450"/>
      <c r="O9" s="450"/>
      <c r="P9" s="450"/>
      <c r="R9" s="449"/>
      <c r="S9" s="461"/>
    </row>
    <row r="10" spans="1:27">
      <c r="B10" s="460"/>
      <c r="C10" s="460"/>
      <c r="D10" s="460"/>
      <c r="E10" s="460"/>
      <c r="F10" s="460"/>
      <c r="G10" s="460"/>
      <c r="H10" s="460"/>
      <c r="J10" s="461"/>
      <c r="K10" s="450"/>
      <c r="L10" s="450"/>
      <c r="M10" s="450"/>
      <c r="N10" s="450"/>
      <c r="O10" s="450"/>
      <c r="P10" s="450"/>
      <c r="R10" s="449"/>
      <c r="S10" s="461"/>
    </row>
    <row r="11" spans="1:27">
      <c r="A11" s="448" t="s">
        <v>1254</v>
      </c>
      <c r="B11" s="460">
        <f>Depreciation!L32</f>
        <v>215433.98</v>
      </c>
      <c r="C11" s="460">
        <f>B11-D11</f>
        <v>41549.098199999979</v>
      </c>
      <c r="D11" s="460">
        <f>Depreciation!N32</f>
        <v>173884.88180000003</v>
      </c>
      <c r="E11" s="460">
        <f>Depreciation!P32</f>
        <v>10728.793860000002</v>
      </c>
      <c r="F11" s="460">
        <f>Depreciation!Y32</f>
        <v>72.210589999999996</v>
      </c>
      <c r="G11" s="460">
        <f>Depreciation!Z32</f>
        <v>10801.004450000002</v>
      </c>
      <c r="H11" s="460">
        <f>Depreciation!AA32</f>
        <v>103358.15248</v>
      </c>
      <c r="J11" s="461"/>
      <c r="K11" s="450"/>
      <c r="L11" s="450"/>
      <c r="M11" s="450"/>
      <c r="N11" s="450"/>
      <c r="O11" s="450"/>
      <c r="P11" s="450"/>
      <c r="R11" s="449"/>
      <c r="S11" s="461"/>
    </row>
    <row r="12" spans="1:27">
      <c r="B12" s="460"/>
      <c r="C12" s="460"/>
      <c r="D12" s="460"/>
      <c r="E12" s="460"/>
      <c r="F12" s="460"/>
      <c r="G12" s="460"/>
      <c r="H12" s="460"/>
      <c r="J12" s="461"/>
      <c r="K12" s="450"/>
      <c r="L12" s="450"/>
      <c r="M12" s="450"/>
      <c r="N12" s="450"/>
      <c r="O12" s="450"/>
      <c r="P12" s="450"/>
      <c r="R12" s="449"/>
      <c r="S12" s="461"/>
    </row>
    <row r="13" spans="1:27" s="447" customFormat="1" ht="12.75" thickBot="1">
      <c r="A13" s="462" t="s">
        <v>1255</v>
      </c>
      <c r="B13" s="463">
        <f t="shared" ref="B13:H13" si="0">SUM(B9:B12)</f>
        <v>750486.07999999984</v>
      </c>
      <c r="C13" s="463">
        <f t="shared" si="0"/>
        <v>154800.9887999999</v>
      </c>
      <c r="D13" s="463">
        <f t="shared" si="0"/>
        <v>595685.09119999991</v>
      </c>
      <c r="E13" s="463">
        <f t="shared" si="0"/>
        <v>70163.759495554055</v>
      </c>
      <c r="F13" s="463">
        <f t="shared" si="0"/>
        <v>8764.2348679384668</v>
      </c>
      <c r="G13" s="463">
        <f t="shared" si="0"/>
        <v>78927.994363492515</v>
      </c>
      <c r="H13" s="463">
        <f t="shared" si="0"/>
        <v>500810.12038428447</v>
      </c>
      <c r="I13" s="464"/>
      <c r="J13" s="453">
        <f>H13-Depreciation!AA35</f>
        <v>0</v>
      </c>
      <c r="K13" s="465"/>
      <c r="L13" s="453"/>
      <c r="M13" s="453"/>
      <c r="N13" s="453"/>
      <c r="O13" s="453"/>
      <c r="P13" s="453"/>
      <c r="S13" s="453"/>
      <c r="T13" s="453"/>
      <c r="U13" s="453"/>
      <c r="V13" s="453"/>
      <c r="W13" s="453"/>
      <c r="X13" s="453"/>
      <c r="Y13" s="453"/>
      <c r="Z13" s="453"/>
      <c r="AA13" s="453"/>
    </row>
    <row r="14" spans="1:27">
      <c r="B14" s="460"/>
      <c r="C14" s="460"/>
      <c r="D14" s="460"/>
      <c r="E14" s="460"/>
      <c r="F14" s="460"/>
      <c r="G14" s="460"/>
      <c r="H14" s="460"/>
      <c r="K14" s="450"/>
      <c r="L14" s="450"/>
      <c r="M14" s="450"/>
      <c r="N14" s="450"/>
      <c r="O14" s="450"/>
      <c r="P14" s="450"/>
    </row>
    <row r="15" spans="1:27">
      <c r="A15" s="459" t="s">
        <v>1256</v>
      </c>
      <c r="B15" s="460"/>
      <c r="C15" s="460"/>
      <c r="D15" s="460"/>
      <c r="E15" s="460"/>
      <c r="F15" s="460"/>
      <c r="G15" s="460"/>
      <c r="H15" s="460"/>
      <c r="J15" s="453"/>
      <c r="K15" s="450"/>
      <c r="L15" s="450"/>
      <c r="M15" s="450"/>
      <c r="N15" s="450"/>
      <c r="O15" s="450"/>
      <c r="P15" s="450"/>
      <c r="R15" s="447"/>
      <c r="S15" s="453"/>
    </row>
    <row r="16" spans="1:27">
      <c r="A16" s="448" t="s">
        <v>1253</v>
      </c>
      <c r="B16" s="460">
        <f>Depreciation!L48</f>
        <v>62801.66</v>
      </c>
      <c r="C16" s="460">
        <v>0</v>
      </c>
      <c r="D16" s="460">
        <f>Depreciation!N48</f>
        <v>62801.66</v>
      </c>
      <c r="E16" s="460">
        <f>Depreciation!P48</f>
        <v>10658.471666666544</v>
      </c>
      <c r="F16" s="460">
        <f>Depreciation!Y48</f>
        <v>2325</v>
      </c>
      <c r="G16" s="460">
        <f>Depreciation!Z48</f>
        <v>12983.471666666544</v>
      </c>
      <c r="H16" s="460">
        <f>Depreciation!AA48</f>
        <v>46996.594166666728</v>
      </c>
      <c r="K16" s="450"/>
      <c r="L16" s="450"/>
      <c r="M16" s="450"/>
      <c r="N16" s="450"/>
      <c r="O16" s="450"/>
      <c r="P16" s="450"/>
      <c r="S16" s="461"/>
    </row>
    <row r="17" spans="1:27">
      <c r="B17" s="460"/>
      <c r="C17" s="460"/>
      <c r="D17" s="460"/>
      <c r="E17" s="460"/>
      <c r="F17" s="460"/>
      <c r="G17" s="460"/>
      <c r="H17" s="460"/>
      <c r="J17" s="461"/>
      <c r="K17" s="450"/>
      <c r="L17" s="450"/>
      <c r="M17" s="450"/>
      <c r="N17" s="450"/>
      <c r="O17" s="450"/>
      <c r="P17" s="450"/>
      <c r="R17" s="449"/>
      <c r="S17" s="461"/>
    </row>
    <row r="18" spans="1:27">
      <c r="A18" s="448" t="s">
        <v>1257</v>
      </c>
      <c r="B18" s="460">
        <f>Depreciation!L59</f>
        <v>66009.5</v>
      </c>
      <c r="C18" s="460">
        <v>0</v>
      </c>
      <c r="D18" s="460">
        <f>Depreciation!N59</f>
        <v>66009.5</v>
      </c>
      <c r="E18" s="460">
        <f>Depreciation!P59</f>
        <v>9560.2916666664605</v>
      </c>
      <c r="F18" s="460">
        <f>Depreciation!Y59</f>
        <v>1950</v>
      </c>
      <c r="G18" s="460">
        <f>Depreciation!Z59</f>
        <v>11510.291666666461</v>
      </c>
      <c r="H18" s="460">
        <f>Depreciation!AA59</f>
        <v>45774.604166666766</v>
      </c>
      <c r="J18" s="461"/>
      <c r="K18" s="450"/>
      <c r="L18" s="450"/>
      <c r="M18" s="450"/>
      <c r="N18" s="450"/>
      <c r="O18" s="450"/>
      <c r="P18" s="450"/>
      <c r="R18" s="449"/>
      <c r="S18" s="461"/>
    </row>
    <row r="19" spans="1:27">
      <c r="B19" s="460"/>
      <c r="C19" s="460"/>
      <c r="D19" s="460"/>
      <c r="E19" s="460"/>
      <c r="F19" s="460"/>
      <c r="G19" s="460"/>
      <c r="H19" s="460"/>
      <c r="J19" s="461"/>
      <c r="K19" s="450"/>
      <c r="L19" s="450"/>
      <c r="M19" s="450"/>
      <c r="N19" s="450"/>
      <c r="O19" s="450"/>
      <c r="P19" s="450"/>
      <c r="R19" s="449"/>
      <c r="S19" s="461"/>
    </row>
    <row r="20" spans="1:27">
      <c r="B20" s="460"/>
      <c r="C20" s="460"/>
      <c r="D20" s="460"/>
      <c r="E20" s="460"/>
      <c r="F20" s="460"/>
      <c r="G20" s="460"/>
      <c r="H20" s="460"/>
      <c r="J20" s="461"/>
      <c r="K20" s="450"/>
      <c r="L20" s="450"/>
      <c r="M20" s="450"/>
      <c r="N20" s="450"/>
      <c r="O20" s="450"/>
      <c r="P20" s="450"/>
      <c r="R20" s="449"/>
      <c r="S20" s="461"/>
    </row>
    <row r="21" spans="1:27" s="447" customFormat="1" ht="12.75" thickBot="1">
      <c r="A21" s="462" t="s">
        <v>1258</v>
      </c>
      <c r="B21" s="463">
        <f>SUM(B16:B20)</f>
        <v>128811.16</v>
      </c>
      <c r="C21" s="463">
        <f>SUM(C16:C20)</f>
        <v>0</v>
      </c>
      <c r="D21" s="463">
        <f>SUM(D16:D20)</f>
        <v>128811.16</v>
      </c>
      <c r="E21" s="463">
        <f>SUM(E16:E19)</f>
        <v>20218.763333333005</v>
      </c>
      <c r="F21" s="463">
        <f>SUM(F16:F20)</f>
        <v>4275</v>
      </c>
      <c r="G21" s="463">
        <f>SUM(G16:G20)</f>
        <v>24493.763333333005</v>
      </c>
      <c r="H21" s="463">
        <f>SUM(H16:H20)</f>
        <v>92771.198333333494</v>
      </c>
      <c r="I21" s="464"/>
      <c r="J21" s="453">
        <f>H21-Depreciation!AA61</f>
        <v>0</v>
      </c>
      <c r="K21" s="465"/>
      <c r="L21" s="453"/>
      <c r="M21" s="453"/>
      <c r="N21" s="453"/>
      <c r="O21" s="453"/>
      <c r="P21" s="453"/>
      <c r="S21" s="453"/>
      <c r="T21" s="453"/>
      <c r="U21" s="453"/>
      <c r="V21" s="453"/>
      <c r="W21" s="453"/>
      <c r="X21" s="453"/>
      <c r="Y21" s="453"/>
      <c r="Z21" s="453"/>
      <c r="AA21" s="453"/>
    </row>
    <row r="22" spans="1:27">
      <c r="B22" s="460"/>
      <c r="C22" s="460"/>
      <c r="D22" s="460"/>
      <c r="E22" s="460"/>
      <c r="F22" s="460"/>
      <c r="G22" s="460"/>
      <c r="H22" s="460"/>
      <c r="K22" s="450"/>
      <c r="L22" s="450"/>
      <c r="M22" s="450"/>
      <c r="N22" s="450"/>
      <c r="O22" s="450"/>
      <c r="P22" s="450"/>
    </row>
    <row r="23" spans="1:27">
      <c r="A23" s="448" t="s">
        <v>1259</v>
      </c>
      <c r="B23" s="460">
        <f>Depreciation!L71</f>
        <v>0</v>
      </c>
      <c r="C23" s="460">
        <f>B23-D23</f>
        <v>0</v>
      </c>
      <c r="D23" s="460">
        <f>Depreciation!N71</f>
        <v>0</v>
      </c>
      <c r="E23" s="460">
        <f>Depreciation!T71</f>
        <v>0</v>
      </c>
      <c r="F23" s="460">
        <f>Depreciation!Y71</f>
        <v>0</v>
      </c>
      <c r="G23" s="460">
        <f>Depreciation!Z71</f>
        <v>0</v>
      </c>
      <c r="H23" s="460">
        <f>Depreciation!AA71</f>
        <v>0</v>
      </c>
      <c r="J23" s="461"/>
      <c r="K23" s="450"/>
      <c r="L23" s="450"/>
      <c r="M23" s="450"/>
      <c r="N23" s="450"/>
      <c r="O23" s="450"/>
      <c r="P23" s="450"/>
      <c r="R23" s="449"/>
      <c r="S23" s="461"/>
    </row>
    <row r="24" spans="1:27">
      <c r="B24" s="460"/>
      <c r="C24" s="460"/>
      <c r="D24" s="460"/>
      <c r="E24" s="460"/>
      <c r="F24" s="460"/>
      <c r="G24" s="460"/>
      <c r="H24" s="460"/>
      <c r="J24" s="461"/>
      <c r="K24" s="450"/>
      <c r="L24" s="450"/>
      <c r="M24" s="450"/>
      <c r="N24" s="450"/>
      <c r="O24" s="450"/>
      <c r="P24" s="450"/>
      <c r="R24" s="449"/>
      <c r="S24" s="461"/>
    </row>
    <row r="25" spans="1:27">
      <c r="A25" s="448" t="s">
        <v>1260</v>
      </c>
      <c r="B25" s="460">
        <f>Depreciation!L86</f>
        <v>67415.540000000008</v>
      </c>
      <c r="C25" s="460">
        <v>0</v>
      </c>
      <c r="D25" s="460">
        <f>Depreciation!N86</f>
        <v>45993.411800000002</v>
      </c>
      <c r="E25" s="460">
        <f>Depreciation!P86</f>
        <v>8473.7921633339938</v>
      </c>
      <c r="F25" s="460">
        <f>Depreciation!Y86</f>
        <v>125</v>
      </c>
      <c r="G25" s="460">
        <f>Depreciation!Z86</f>
        <v>8598.7921633339938</v>
      </c>
      <c r="H25" s="460">
        <f>Depreciation!AA86</f>
        <v>30595.873918333004</v>
      </c>
      <c r="J25" s="461"/>
      <c r="K25" s="450"/>
      <c r="L25" s="450"/>
      <c r="M25" s="450"/>
      <c r="N25" s="450"/>
      <c r="O25" s="450"/>
      <c r="P25" s="450"/>
      <c r="R25" s="449"/>
      <c r="S25" s="461"/>
    </row>
    <row r="26" spans="1:27">
      <c r="B26" s="460"/>
      <c r="C26" s="460"/>
      <c r="D26" s="460"/>
      <c r="E26" s="460"/>
      <c r="F26" s="460"/>
      <c r="G26" s="460"/>
      <c r="H26" s="460"/>
      <c r="J26" s="461"/>
      <c r="K26" s="450"/>
      <c r="L26" s="450"/>
      <c r="M26" s="450"/>
      <c r="N26" s="450"/>
      <c r="O26" s="450"/>
      <c r="P26" s="450"/>
      <c r="R26" s="449"/>
      <c r="S26" s="461"/>
    </row>
    <row r="27" spans="1:27">
      <c r="A27" s="448" t="s">
        <v>1261</v>
      </c>
      <c r="B27" s="460">
        <f>Depreciation!L79</f>
        <v>8559.24</v>
      </c>
      <c r="C27" s="460">
        <v>0</v>
      </c>
      <c r="D27" s="460">
        <f>Depreciation!N79</f>
        <v>8559.24</v>
      </c>
      <c r="E27" s="460">
        <f>Depreciation!P79</f>
        <v>1709.0439999999999</v>
      </c>
      <c r="F27" s="460">
        <f>Depreciation!Y79</f>
        <v>427.26099999999997</v>
      </c>
      <c r="G27" s="460">
        <f>Depreciation!Z79</f>
        <v>2136.3050000000003</v>
      </c>
      <c r="H27" s="460">
        <f>Depreciation!AA79</f>
        <v>7277.4570000000003</v>
      </c>
      <c r="J27" s="461"/>
      <c r="K27" s="450"/>
      <c r="L27" s="450"/>
      <c r="M27" s="450"/>
      <c r="N27" s="450"/>
      <c r="O27" s="450"/>
      <c r="P27" s="450"/>
      <c r="R27" s="449"/>
      <c r="S27" s="461"/>
    </row>
    <row r="28" spans="1:27">
      <c r="B28" s="460"/>
      <c r="C28" s="460"/>
      <c r="D28" s="460"/>
      <c r="E28" s="460"/>
      <c r="F28" s="460"/>
      <c r="G28" s="460"/>
      <c r="H28" s="460"/>
      <c r="J28" s="461"/>
      <c r="K28" s="450"/>
      <c r="L28" s="450"/>
      <c r="M28" s="450"/>
      <c r="N28" s="450"/>
      <c r="O28" s="450"/>
      <c r="P28" s="450"/>
      <c r="R28" s="449"/>
      <c r="S28" s="461"/>
    </row>
    <row r="29" spans="1:27">
      <c r="B29" s="460"/>
      <c r="C29" s="460"/>
      <c r="D29" s="460"/>
      <c r="E29" s="460"/>
      <c r="F29" s="460"/>
      <c r="G29" s="460"/>
      <c r="H29" s="460"/>
      <c r="J29" s="461"/>
      <c r="K29" s="450"/>
      <c r="L29" s="450"/>
      <c r="M29" s="450"/>
      <c r="N29" s="450"/>
      <c r="O29" s="450"/>
      <c r="P29" s="450"/>
      <c r="R29" s="449"/>
      <c r="S29" s="461"/>
    </row>
    <row r="30" spans="1:27" ht="12.75" thickBot="1">
      <c r="A30" s="466"/>
      <c r="B30" s="463">
        <f t="shared" ref="B30:H30" si="1">SUM(B23:B28)</f>
        <v>75974.780000000013</v>
      </c>
      <c r="C30" s="463">
        <f t="shared" si="1"/>
        <v>0</v>
      </c>
      <c r="D30" s="463">
        <f t="shared" si="1"/>
        <v>54552.6518</v>
      </c>
      <c r="E30" s="463">
        <f t="shared" si="1"/>
        <v>10182.836163333994</v>
      </c>
      <c r="F30" s="463">
        <f t="shared" si="1"/>
        <v>552.26099999999997</v>
      </c>
      <c r="G30" s="463">
        <f t="shared" si="1"/>
        <v>10735.097163333994</v>
      </c>
      <c r="H30" s="463">
        <f t="shared" si="1"/>
        <v>37873.330918333006</v>
      </c>
      <c r="J30" s="461"/>
      <c r="K30" s="450"/>
      <c r="L30" s="450"/>
      <c r="M30" s="450"/>
      <c r="N30" s="450"/>
      <c r="O30" s="450"/>
      <c r="P30" s="450"/>
      <c r="R30" s="449"/>
      <c r="S30" s="461"/>
    </row>
    <row r="31" spans="1:27">
      <c r="B31" s="460"/>
      <c r="C31" s="460"/>
      <c r="D31" s="460"/>
      <c r="E31" s="460"/>
      <c r="F31" s="460"/>
      <c r="G31" s="460"/>
      <c r="H31" s="460"/>
      <c r="J31" s="461"/>
      <c r="K31" s="450"/>
      <c r="L31" s="450"/>
      <c r="M31" s="450"/>
      <c r="N31" s="450"/>
      <c r="O31" s="450"/>
      <c r="P31" s="450"/>
      <c r="R31" s="449"/>
      <c r="S31" s="461"/>
    </row>
    <row r="32" spans="1:27" ht="12.75" thickBot="1">
      <c r="A32" s="462" t="s">
        <v>1262</v>
      </c>
      <c r="B32" s="463">
        <f t="shared" ref="B32:H32" si="2">B13+B21+B30</f>
        <v>955272.0199999999</v>
      </c>
      <c r="C32" s="463">
        <f t="shared" si="2"/>
        <v>154800.9887999999</v>
      </c>
      <c r="D32" s="463">
        <f t="shared" si="2"/>
        <v>779048.90299999993</v>
      </c>
      <c r="E32" s="463">
        <f t="shared" si="2"/>
        <v>100565.35899222105</v>
      </c>
      <c r="F32" s="463">
        <f t="shared" si="2"/>
        <v>13591.495867938467</v>
      </c>
      <c r="G32" s="463">
        <f t="shared" si="2"/>
        <v>114156.85486015951</v>
      </c>
      <c r="H32" s="463">
        <f t="shared" si="2"/>
        <v>631454.64963595103</v>
      </c>
      <c r="J32" s="467"/>
      <c r="K32" s="465"/>
      <c r="L32" s="453"/>
      <c r="M32" s="453"/>
      <c r="N32" s="453"/>
      <c r="O32" s="453"/>
      <c r="P32" s="453"/>
      <c r="R32" s="449"/>
      <c r="S32" s="453"/>
      <c r="T32" s="453"/>
      <c r="U32" s="453"/>
      <c r="V32" s="453"/>
      <c r="W32" s="453"/>
      <c r="X32" s="453"/>
      <c r="Y32" s="453"/>
    </row>
    <row r="33" spans="2:25">
      <c r="B33" s="450"/>
      <c r="C33" s="450"/>
      <c r="D33" s="450"/>
      <c r="E33" s="450"/>
      <c r="F33" s="450"/>
      <c r="G33" s="450"/>
      <c r="H33" s="450"/>
      <c r="J33" s="461"/>
      <c r="K33" s="450"/>
      <c r="L33" s="450"/>
      <c r="M33" s="450"/>
      <c r="N33" s="450"/>
      <c r="O33" s="450"/>
      <c r="P33" s="450"/>
      <c r="R33" s="449"/>
      <c r="S33" s="461"/>
    </row>
    <row r="34" spans="2:25">
      <c r="B34" s="468">
        <f>B32-Depreciation!L89</f>
        <v>0</v>
      </c>
      <c r="C34" s="468"/>
      <c r="D34" s="468">
        <f>D32-Depreciation!N89</f>
        <v>0</v>
      </c>
      <c r="E34" s="468">
        <f>E32-Depreciation!T89</f>
        <v>0</v>
      </c>
      <c r="F34" s="468">
        <f>F32-Depreciation!Y89</f>
        <v>0</v>
      </c>
      <c r="G34" s="468">
        <f>G32-Depreciation!Z89</f>
        <v>0</v>
      </c>
      <c r="H34" s="468">
        <f>H32-Depreciation!AA89</f>
        <v>0</v>
      </c>
      <c r="J34" s="461"/>
      <c r="K34" s="450"/>
      <c r="L34" s="450"/>
      <c r="M34" s="450"/>
      <c r="N34" s="450"/>
      <c r="O34" s="450"/>
      <c r="P34" s="450"/>
      <c r="R34" s="449"/>
      <c r="S34" s="461"/>
    </row>
    <row r="35" spans="2:25">
      <c r="K35" s="450"/>
      <c r="L35" s="450"/>
      <c r="M35" s="450"/>
      <c r="N35" s="450"/>
      <c r="O35" s="450"/>
      <c r="P35" s="450"/>
    </row>
    <row r="36" spans="2:25">
      <c r="J36" s="453"/>
      <c r="K36" s="453"/>
      <c r="L36" s="453"/>
      <c r="M36" s="453"/>
      <c r="N36" s="453"/>
      <c r="O36" s="453"/>
      <c r="P36" s="453"/>
      <c r="R36" s="447"/>
      <c r="S36" s="453"/>
      <c r="T36" s="453"/>
      <c r="U36" s="453"/>
      <c r="V36" s="453"/>
      <c r="W36" s="453"/>
      <c r="X36" s="453"/>
      <c r="Y36" s="453"/>
    </row>
    <row r="37" spans="2:25">
      <c r="E37" s="469"/>
      <c r="J37" s="461"/>
      <c r="K37" s="450"/>
      <c r="L37" s="450"/>
      <c r="M37" s="450"/>
      <c r="N37" s="450"/>
      <c r="O37" s="450"/>
      <c r="P37" s="450"/>
      <c r="R37" s="449"/>
      <c r="S37" s="461"/>
    </row>
  </sheetData>
  <pageMargins left="0.75" right="0.75" top="1" bottom="1" header="0.5" footer="0.5"/>
  <pageSetup scale="84" orientation="portrait" horizontalDpi="300" verticalDpi="300" r:id="rId1"/>
  <headerFooter alignWithMargins="0"/>
  <rowBreaks count="1" manualBreakCount="1">
    <brk id="34" max="8" man="1"/>
  </rowBreaks>
</worksheet>
</file>

<file path=xl/worksheets/sheet19.xml><?xml version="1.0" encoding="utf-8"?>
<worksheet xmlns="http://schemas.openxmlformats.org/spreadsheetml/2006/main" xmlns:r="http://schemas.openxmlformats.org/officeDocument/2006/relationships">
  <sheetPr>
    <pageSetUpPr fitToPage="1"/>
  </sheetPr>
  <dimension ref="A1:AI1645"/>
  <sheetViews>
    <sheetView zoomScaleNormal="100" workbookViewId="0">
      <selection activeCell="N93" sqref="N93"/>
    </sheetView>
  </sheetViews>
  <sheetFormatPr defaultColWidth="11.42578125" defaultRowHeight="12"/>
  <cols>
    <col min="1" max="1" width="6.7109375" style="470" bestFit="1" customWidth="1"/>
    <col min="2" max="2" width="6.85546875" style="470" customWidth="1"/>
    <col min="3" max="3" width="32.42578125" style="470" customWidth="1"/>
    <col min="4" max="4" width="4.42578125" style="470" bestFit="1" customWidth="1"/>
    <col min="5" max="5" width="7" style="470" customWidth="1"/>
    <col min="6" max="6" width="6.5703125" style="471" bestFit="1" customWidth="1"/>
    <col min="7" max="7" width="6.42578125" style="470" bestFit="1" customWidth="1"/>
    <col min="8" max="8" width="3.5703125" style="471" bestFit="1" customWidth="1"/>
    <col min="9" max="9" width="9.5703125" style="471" bestFit="1" customWidth="1"/>
    <col min="10" max="10" width="7" style="470" hidden="1" customWidth="1"/>
    <col min="11" max="11" width="4.140625" style="470" hidden="1" customWidth="1"/>
    <col min="12" max="12" width="7.7109375" style="470" bestFit="1" customWidth="1"/>
    <col min="13" max="13" width="7" style="470" hidden="1" customWidth="1"/>
    <col min="14" max="14" width="9.42578125" style="470" bestFit="1" customWidth="1"/>
    <col min="15" max="15" width="10" style="470" bestFit="1" customWidth="1"/>
    <col min="16" max="16" width="11.42578125" style="470" hidden="1" customWidth="1"/>
    <col min="17" max="17" width="7" style="470" hidden="1" customWidth="1"/>
    <col min="18" max="18" width="6.85546875" style="470" hidden="1" customWidth="1"/>
    <col min="19" max="19" width="4.140625" style="470" hidden="1" customWidth="1"/>
    <col min="20" max="20" width="7.5703125" style="470" bestFit="1" customWidth="1"/>
    <col min="21" max="21" width="4.42578125" style="470" hidden="1" customWidth="1"/>
    <col min="22" max="22" width="10.140625" style="470" bestFit="1" customWidth="1"/>
    <col min="23" max="23" width="10.140625" style="470" hidden="1" customWidth="1"/>
    <col min="24" max="24" width="5.85546875" style="470" hidden="1" customWidth="1"/>
    <col min="25" max="25" width="7.5703125" style="470" hidden="1" customWidth="1"/>
    <col min="26" max="26" width="10.140625" style="470" bestFit="1" customWidth="1"/>
    <col min="27" max="27" width="9" style="470" bestFit="1" customWidth="1"/>
    <col min="28" max="30" width="7" style="470" bestFit="1" customWidth="1"/>
    <col min="31" max="31" width="11.7109375" style="470" customWidth="1"/>
    <col min="32" max="32" width="7" style="470" bestFit="1" customWidth="1"/>
    <col min="33" max="256" width="11.42578125" style="470"/>
    <col min="257" max="257" width="6.7109375" style="470" bestFit="1" customWidth="1"/>
    <col min="258" max="258" width="6.85546875" style="470" customWidth="1"/>
    <col min="259" max="259" width="32.42578125" style="470" customWidth="1"/>
    <col min="260" max="260" width="4.42578125" style="470" bestFit="1" customWidth="1"/>
    <col min="261" max="261" width="7" style="470" customWidth="1"/>
    <col min="262" max="262" width="6.5703125" style="470" bestFit="1" customWidth="1"/>
    <col min="263" max="263" width="6.42578125" style="470" bestFit="1" customWidth="1"/>
    <col min="264" max="264" width="3.5703125" style="470" bestFit="1" customWidth="1"/>
    <col min="265" max="265" width="9.5703125" style="470" bestFit="1" customWidth="1"/>
    <col min="266" max="267" width="0" style="470" hidden="1" customWidth="1"/>
    <col min="268" max="268" width="7.7109375" style="470" bestFit="1" customWidth="1"/>
    <col min="269" max="269" width="0" style="470" hidden="1" customWidth="1"/>
    <col min="270" max="270" width="9.42578125" style="470" bestFit="1" customWidth="1"/>
    <col min="271" max="271" width="10" style="470" bestFit="1" customWidth="1"/>
    <col min="272" max="275" width="0" style="470" hidden="1" customWidth="1"/>
    <col min="276" max="276" width="7.5703125" style="470" bestFit="1" customWidth="1"/>
    <col min="277" max="277" width="0" style="470" hidden="1" customWidth="1"/>
    <col min="278" max="278" width="10.140625" style="470" bestFit="1" customWidth="1"/>
    <col min="279" max="281" width="0" style="470" hidden="1" customWidth="1"/>
    <col min="282" max="282" width="10.140625" style="470" bestFit="1" customWidth="1"/>
    <col min="283" max="283" width="9" style="470" bestFit="1" customWidth="1"/>
    <col min="284" max="286" width="7" style="470" bestFit="1" customWidth="1"/>
    <col min="287" max="287" width="11.7109375" style="470" customWidth="1"/>
    <col min="288" max="288" width="7" style="470" bestFit="1" customWidth="1"/>
    <col min="289" max="512" width="11.42578125" style="470"/>
    <col min="513" max="513" width="6.7109375" style="470" bestFit="1" customWidth="1"/>
    <col min="514" max="514" width="6.85546875" style="470" customWidth="1"/>
    <col min="515" max="515" width="32.42578125" style="470" customWidth="1"/>
    <col min="516" max="516" width="4.42578125" style="470" bestFit="1" customWidth="1"/>
    <col min="517" max="517" width="7" style="470" customWidth="1"/>
    <col min="518" max="518" width="6.5703125" style="470" bestFit="1" customWidth="1"/>
    <col min="519" max="519" width="6.42578125" style="470" bestFit="1" customWidth="1"/>
    <col min="520" max="520" width="3.5703125" style="470" bestFit="1" customWidth="1"/>
    <col min="521" max="521" width="9.5703125" style="470" bestFit="1" customWidth="1"/>
    <col min="522" max="523" width="0" style="470" hidden="1" customWidth="1"/>
    <col min="524" max="524" width="7.7109375" style="470" bestFit="1" customWidth="1"/>
    <col min="525" max="525" width="0" style="470" hidden="1" customWidth="1"/>
    <col min="526" max="526" width="9.42578125" style="470" bestFit="1" customWidth="1"/>
    <col min="527" max="527" width="10" style="470" bestFit="1" customWidth="1"/>
    <col min="528" max="531" width="0" style="470" hidden="1" customWidth="1"/>
    <col min="532" max="532" width="7.5703125" style="470" bestFit="1" customWidth="1"/>
    <col min="533" max="533" width="0" style="470" hidden="1" customWidth="1"/>
    <col min="534" max="534" width="10.140625" style="470" bestFit="1" customWidth="1"/>
    <col min="535" max="537" width="0" style="470" hidden="1" customWidth="1"/>
    <col min="538" max="538" width="10.140625" style="470" bestFit="1" customWidth="1"/>
    <col min="539" max="539" width="9" style="470" bestFit="1" customWidth="1"/>
    <col min="540" max="542" width="7" style="470" bestFit="1" customWidth="1"/>
    <col min="543" max="543" width="11.7109375" style="470" customWidth="1"/>
    <col min="544" max="544" width="7" style="470" bestFit="1" customWidth="1"/>
    <col min="545" max="768" width="11.42578125" style="470"/>
    <col min="769" max="769" width="6.7109375" style="470" bestFit="1" customWidth="1"/>
    <col min="770" max="770" width="6.85546875" style="470" customWidth="1"/>
    <col min="771" max="771" width="32.42578125" style="470" customWidth="1"/>
    <col min="772" max="772" width="4.42578125" style="470" bestFit="1" customWidth="1"/>
    <col min="773" max="773" width="7" style="470" customWidth="1"/>
    <col min="774" max="774" width="6.5703125" style="470" bestFit="1" customWidth="1"/>
    <col min="775" max="775" width="6.42578125" style="470" bestFit="1" customWidth="1"/>
    <col min="776" max="776" width="3.5703125" style="470" bestFit="1" customWidth="1"/>
    <col min="777" max="777" width="9.5703125" style="470" bestFit="1" customWidth="1"/>
    <col min="778" max="779" width="0" style="470" hidden="1" customWidth="1"/>
    <col min="780" max="780" width="7.7109375" style="470" bestFit="1" customWidth="1"/>
    <col min="781" max="781" width="0" style="470" hidden="1" customWidth="1"/>
    <col min="782" max="782" width="9.42578125" style="470" bestFit="1" customWidth="1"/>
    <col min="783" max="783" width="10" style="470" bestFit="1" customWidth="1"/>
    <col min="784" max="787" width="0" style="470" hidden="1" customWidth="1"/>
    <col min="788" max="788" width="7.5703125" style="470" bestFit="1" customWidth="1"/>
    <col min="789" max="789" width="0" style="470" hidden="1" customWidth="1"/>
    <col min="790" max="790" width="10.140625" style="470" bestFit="1" customWidth="1"/>
    <col min="791" max="793" width="0" style="470" hidden="1" customWidth="1"/>
    <col min="794" max="794" width="10.140625" style="470" bestFit="1" customWidth="1"/>
    <col min="795" max="795" width="9" style="470" bestFit="1" customWidth="1"/>
    <col min="796" max="798" width="7" style="470" bestFit="1" customWidth="1"/>
    <col min="799" max="799" width="11.7109375" style="470" customWidth="1"/>
    <col min="800" max="800" width="7" style="470" bestFit="1" customWidth="1"/>
    <col min="801" max="1024" width="11.42578125" style="470"/>
    <col min="1025" max="1025" width="6.7109375" style="470" bestFit="1" customWidth="1"/>
    <col min="1026" max="1026" width="6.85546875" style="470" customWidth="1"/>
    <col min="1027" max="1027" width="32.42578125" style="470" customWidth="1"/>
    <col min="1028" max="1028" width="4.42578125" style="470" bestFit="1" customWidth="1"/>
    <col min="1029" max="1029" width="7" style="470" customWidth="1"/>
    <col min="1030" max="1030" width="6.5703125" style="470" bestFit="1" customWidth="1"/>
    <col min="1031" max="1031" width="6.42578125" style="470" bestFit="1" customWidth="1"/>
    <col min="1032" max="1032" width="3.5703125" style="470" bestFit="1" customWidth="1"/>
    <col min="1033" max="1033" width="9.5703125" style="470" bestFit="1" customWidth="1"/>
    <col min="1034" max="1035" width="0" style="470" hidden="1" customWidth="1"/>
    <col min="1036" max="1036" width="7.7109375" style="470" bestFit="1" customWidth="1"/>
    <col min="1037" max="1037" width="0" style="470" hidden="1" customWidth="1"/>
    <col min="1038" max="1038" width="9.42578125" style="470" bestFit="1" customWidth="1"/>
    <col min="1039" max="1039" width="10" style="470" bestFit="1" customWidth="1"/>
    <col min="1040" max="1043" width="0" style="470" hidden="1" customWidth="1"/>
    <col min="1044" max="1044" width="7.5703125" style="470" bestFit="1" customWidth="1"/>
    <col min="1045" max="1045" width="0" style="470" hidden="1" customWidth="1"/>
    <col min="1046" max="1046" width="10.140625" style="470" bestFit="1" customWidth="1"/>
    <col min="1047" max="1049" width="0" style="470" hidden="1" customWidth="1"/>
    <col min="1050" max="1050" width="10.140625" style="470" bestFit="1" customWidth="1"/>
    <col min="1051" max="1051" width="9" style="470" bestFit="1" customWidth="1"/>
    <col min="1052" max="1054" width="7" style="470" bestFit="1" customWidth="1"/>
    <col min="1055" max="1055" width="11.7109375" style="470" customWidth="1"/>
    <col min="1056" max="1056" width="7" style="470" bestFit="1" customWidth="1"/>
    <col min="1057" max="1280" width="11.42578125" style="470"/>
    <col min="1281" max="1281" width="6.7109375" style="470" bestFit="1" customWidth="1"/>
    <col min="1282" max="1282" width="6.85546875" style="470" customWidth="1"/>
    <col min="1283" max="1283" width="32.42578125" style="470" customWidth="1"/>
    <col min="1284" max="1284" width="4.42578125" style="470" bestFit="1" customWidth="1"/>
    <col min="1285" max="1285" width="7" style="470" customWidth="1"/>
    <col min="1286" max="1286" width="6.5703125" style="470" bestFit="1" customWidth="1"/>
    <col min="1287" max="1287" width="6.42578125" style="470" bestFit="1" customWidth="1"/>
    <col min="1288" max="1288" width="3.5703125" style="470" bestFit="1" customWidth="1"/>
    <col min="1289" max="1289" width="9.5703125" style="470" bestFit="1" customWidth="1"/>
    <col min="1290" max="1291" width="0" style="470" hidden="1" customWidth="1"/>
    <col min="1292" max="1292" width="7.7109375" style="470" bestFit="1" customWidth="1"/>
    <col min="1293" max="1293" width="0" style="470" hidden="1" customWidth="1"/>
    <col min="1294" max="1294" width="9.42578125" style="470" bestFit="1" customWidth="1"/>
    <col min="1295" max="1295" width="10" style="470" bestFit="1" customWidth="1"/>
    <col min="1296" max="1299" width="0" style="470" hidden="1" customWidth="1"/>
    <col min="1300" max="1300" width="7.5703125" style="470" bestFit="1" customWidth="1"/>
    <col min="1301" max="1301" width="0" style="470" hidden="1" customWidth="1"/>
    <col min="1302" max="1302" width="10.140625" style="470" bestFit="1" customWidth="1"/>
    <col min="1303" max="1305" width="0" style="470" hidden="1" customWidth="1"/>
    <col min="1306" max="1306" width="10.140625" style="470" bestFit="1" customWidth="1"/>
    <col min="1307" max="1307" width="9" style="470" bestFit="1" customWidth="1"/>
    <col min="1308" max="1310" width="7" style="470" bestFit="1" customWidth="1"/>
    <col min="1311" max="1311" width="11.7109375" style="470" customWidth="1"/>
    <col min="1312" max="1312" width="7" style="470" bestFit="1" customWidth="1"/>
    <col min="1313" max="1536" width="11.42578125" style="470"/>
    <col min="1537" max="1537" width="6.7109375" style="470" bestFit="1" customWidth="1"/>
    <col min="1538" max="1538" width="6.85546875" style="470" customWidth="1"/>
    <col min="1539" max="1539" width="32.42578125" style="470" customWidth="1"/>
    <col min="1540" max="1540" width="4.42578125" style="470" bestFit="1" customWidth="1"/>
    <col min="1541" max="1541" width="7" style="470" customWidth="1"/>
    <col min="1542" max="1542" width="6.5703125" style="470" bestFit="1" customWidth="1"/>
    <col min="1543" max="1543" width="6.42578125" style="470" bestFit="1" customWidth="1"/>
    <col min="1544" max="1544" width="3.5703125" style="470" bestFit="1" customWidth="1"/>
    <col min="1545" max="1545" width="9.5703125" style="470" bestFit="1" customWidth="1"/>
    <col min="1546" max="1547" width="0" style="470" hidden="1" customWidth="1"/>
    <col min="1548" max="1548" width="7.7109375" style="470" bestFit="1" customWidth="1"/>
    <col min="1549" max="1549" width="0" style="470" hidden="1" customWidth="1"/>
    <col min="1550" max="1550" width="9.42578125" style="470" bestFit="1" customWidth="1"/>
    <col min="1551" max="1551" width="10" style="470" bestFit="1" customWidth="1"/>
    <col min="1552" max="1555" width="0" style="470" hidden="1" customWidth="1"/>
    <col min="1556" max="1556" width="7.5703125" style="470" bestFit="1" customWidth="1"/>
    <col min="1557" max="1557" width="0" style="470" hidden="1" customWidth="1"/>
    <col min="1558" max="1558" width="10.140625" style="470" bestFit="1" customWidth="1"/>
    <col min="1559" max="1561" width="0" style="470" hidden="1" customWidth="1"/>
    <col min="1562" max="1562" width="10.140625" style="470" bestFit="1" customWidth="1"/>
    <col min="1563" max="1563" width="9" style="470" bestFit="1" customWidth="1"/>
    <col min="1564" max="1566" width="7" style="470" bestFit="1" customWidth="1"/>
    <col min="1567" max="1567" width="11.7109375" style="470" customWidth="1"/>
    <col min="1568" max="1568" width="7" style="470" bestFit="1" customWidth="1"/>
    <col min="1569" max="1792" width="11.42578125" style="470"/>
    <col min="1793" max="1793" width="6.7109375" style="470" bestFit="1" customWidth="1"/>
    <col min="1794" max="1794" width="6.85546875" style="470" customWidth="1"/>
    <col min="1795" max="1795" width="32.42578125" style="470" customWidth="1"/>
    <col min="1796" max="1796" width="4.42578125" style="470" bestFit="1" customWidth="1"/>
    <col min="1797" max="1797" width="7" style="470" customWidth="1"/>
    <col min="1798" max="1798" width="6.5703125" style="470" bestFit="1" customWidth="1"/>
    <col min="1799" max="1799" width="6.42578125" style="470" bestFit="1" customWidth="1"/>
    <col min="1800" max="1800" width="3.5703125" style="470" bestFit="1" customWidth="1"/>
    <col min="1801" max="1801" width="9.5703125" style="470" bestFit="1" customWidth="1"/>
    <col min="1802" max="1803" width="0" style="470" hidden="1" customWidth="1"/>
    <col min="1804" max="1804" width="7.7109375" style="470" bestFit="1" customWidth="1"/>
    <col min="1805" max="1805" width="0" style="470" hidden="1" customWidth="1"/>
    <col min="1806" max="1806" width="9.42578125" style="470" bestFit="1" customWidth="1"/>
    <col min="1807" max="1807" width="10" style="470" bestFit="1" customWidth="1"/>
    <col min="1808" max="1811" width="0" style="470" hidden="1" customWidth="1"/>
    <col min="1812" max="1812" width="7.5703125" style="470" bestFit="1" customWidth="1"/>
    <col min="1813" max="1813" width="0" style="470" hidden="1" customWidth="1"/>
    <col min="1814" max="1814" width="10.140625" style="470" bestFit="1" customWidth="1"/>
    <col min="1815" max="1817" width="0" style="470" hidden="1" customWidth="1"/>
    <col min="1818" max="1818" width="10.140625" style="470" bestFit="1" customWidth="1"/>
    <col min="1819" max="1819" width="9" style="470" bestFit="1" customWidth="1"/>
    <col min="1820" max="1822" width="7" style="470" bestFit="1" customWidth="1"/>
    <col min="1823" max="1823" width="11.7109375" style="470" customWidth="1"/>
    <col min="1824" max="1824" width="7" style="470" bestFit="1" customWidth="1"/>
    <col min="1825" max="2048" width="11.42578125" style="470"/>
    <col min="2049" max="2049" width="6.7109375" style="470" bestFit="1" customWidth="1"/>
    <col min="2050" max="2050" width="6.85546875" style="470" customWidth="1"/>
    <col min="2051" max="2051" width="32.42578125" style="470" customWidth="1"/>
    <col min="2052" max="2052" width="4.42578125" style="470" bestFit="1" customWidth="1"/>
    <col min="2053" max="2053" width="7" style="470" customWidth="1"/>
    <col min="2054" max="2054" width="6.5703125" style="470" bestFit="1" customWidth="1"/>
    <col min="2055" max="2055" width="6.42578125" style="470" bestFit="1" customWidth="1"/>
    <col min="2056" max="2056" width="3.5703125" style="470" bestFit="1" customWidth="1"/>
    <col min="2057" max="2057" width="9.5703125" style="470" bestFit="1" customWidth="1"/>
    <col min="2058" max="2059" width="0" style="470" hidden="1" customWidth="1"/>
    <col min="2060" max="2060" width="7.7109375" style="470" bestFit="1" customWidth="1"/>
    <col min="2061" max="2061" width="0" style="470" hidden="1" customWidth="1"/>
    <col min="2062" max="2062" width="9.42578125" style="470" bestFit="1" customWidth="1"/>
    <col min="2063" max="2063" width="10" style="470" bestFit="1" customWidth="1"/>
    <col min="2064" max="2067" width="0" style="470" hidden="1" customWidth="1"/>
    <col min="2068" max="2068" width="7.5703125" style="470" bestFit="1" customWidth="1"/>
    <col min="2069" max="2069" width="0" style="470" hidden="1" customWidth="1"/>
    <col min="2070" max="2070" width="10.140625" style="470" bestFit="1" customWidth="1"/>
    <col min="2071" max="2073" width="0" style="470" hidden="1" customWidth="1"/>
    <col min="2074" max="2074" width="10.140625" style="470" bestFit="1" customWidth="1"/>
    <col min="2075" max="2075" width="9" style="470" bestFit="1" customWidth="1"/>
    <col min="2076" max="2078" width="7" style="470" bestFit="1" customWidth="1"/>
    <col min="2079" max="2079" width="11.7109375" style="470" customWidth="1"/>
    <col min="2080" max="2080" width="7" style="470" bestFit="1" customWidth="1"/>
    <col min="2081" max="2304" width="11.42578125" style="470"/>
    <col min="2305" max="2305" width="6.7109375" style="470" bestFit="1" customWidth="1"/>
    <col min="2306" max="2306" width="6.85546875" style="470" customWidth="1"/>
    <col min="2307" max="2307" width="32.42578125" style="470" customWidth="1"/>
    <col min="2308" max="2308" width="4.42578125" style="470" bestFit="1" customWidth="1"/>
    <col min="2309" max="2309" width="7" style="470" customWidth="1"/>
    <col min="2310" max="2310" width="6.5703125" style="470" bestFit="1" customWidth="1"/>
    <col min="2311" max="2311" width="6.42578125" style="470" bestFit="1" customWidth="1"/>
    <col min="2312" max="2312" width="3.5703125" style="470" bestFit="1" customWidth="1"/>
    <col min="2313" max="2313" width="9.5703125" style="470" bestFit="1" customWidth="1"/>
    <col min="2314" max="2315" width="0" style="470" hidden="1" customWidth="1"/>
    <col min="2316" max="2316" width="7.7109375" style="470" bestFit="1" customWidth="1"/>
    <col min="2317" max="2317" width="0" style="470" hidden="1" customWidth="1"/>
    <col min="2318" max="2318" width="9.42578125" style="470" bestFit="1" customWidth="1"/>
    <col min="2319" max="2319" width="10" style="470" bestFit="1" customWidth="1"/>
    <col min="2320" max="2323" width="0" style="470" hidden="1" customWidth="1"/>
    <col min="2324" max="2324" width="7.5703125" style="470" bestFit="1" customWidth="1"/>
    <col min="2325" max="2325" width="0" style="470" hidden="1" customWidth="1"/>
    <col min="2326" max="2326" width="10.140625" style="470" bestFit="1" customWidth="1"/>
    <col min="2327" max="2329" width="0" style="470" hidden="1" customWidth="1"/>
    <col min="2330" max="2330" width="10.140625" style="470" bestFit="1" customWidth="1"/>
    <col min="2331" max="2331" width="9" style="470" bestFit="1" customWidth="1"/>
    <col min="2332" max="2334" width="7" style="470" bestFit="1" customWidth="1"/>
    <col min="2335" max="2335" width="11.7109375" style="470" customWidth="1"/>
    <col min="2336" max="2336" width="7" style="470" bestFit="1" customWidth="1"/>
    <col min="2337" max="2560" width="11.42578125" style="470"/>
    <col min="2561" max="2561" width="6.7109375" style="470" bestFit="1" customWidth="1"/>
    <col min="2562" max="2562" width="6.85546875" style="470" customWidth="1"/>
    <col min="2563" max="2563" width="32.42578125" style="470" customWidth="1"/>
    <col min="2564" max="2564" width="4.42578125" style="470" bestFit="1" customWidth="1"/>
    <col min="2565" max="2565" width="7" style="470" customWidth="1"/>
    <col min="2566" max="2566" width="6.5703125" style="470" bestFit="1" customWidth="1"/>
    <col min="2567" max="2567" width="6.42578125" style="470" bestFit="1" customWidth="1"/>
    <col min="2568" max="2568" width="3.5703125" style="470" bestFit="1" customWidth="1"/>
    <col min="2569" max="2569" width="9.5703125" style="470" bestFit="1" customWidth="1"/>
    <col min="2570" max="2571" width="0" style="470" hidden="1" customWidth="1"/>
    <col min="2572" max="2572" width="7.7109375" style="470" bestFit="1" customWidth="1"/>
    <col min="2573" max="2573" width="0" style="470" hidden="1" customWidth="1"/>
    <col min="2574" max="2574" width="9.42578125" style="470" bestFit="1" customWidth="1"/>
    <col min="2575" max="2575" width="10" style="470" bestFit="1" customWidth="1"/>
    <col min="2576" max="2579" width="0" style="470" hidden="1" customWidth="1"/>
    <col min="2580" max="2580" width="7.5703125" style="470" bestFit="1" customWidth="1"/>
    <col min="2581" max="2581" width="0" style="470" hidden="1" customWidth="1"/>
    <col min="2582" max="2582" width="10.140625" style="470" bestFit="1" customWidth="1"/>
    <col min="2583" max="2585" width="0" style="470" hidden="1" customWidth="1"/>
    <col min="2586" max="2586" width="10.140625" style="470" bestFit="1" customWidth="1"/>
    <col min="2587" max="2587" width="9" style="470" bestFit="1" customWidth="1"/>
    <col min="2588" max="2590" width="7" style="470" bestFit="1" customWidth="1"/>
    <col min="2591" max="2591" width="11.7109375" style="470" customWidth="1"/>
    <col min="2592" max="2592" width="7" style="470" bestFit="1" customWidth="1"/>
    <col min="2593" max="2816" width="11.42578125" style="470"/>
    <col min="2817" max="2817" width="6.7109375" style="470" bestFit="1" customWidth="1"/>
    <col min="2818" max="2818" width="6.85546875" style="470" customWidth="1"/>
    <col min="2819" max="2819" width="32.42578125" style="470" customWidth="1"/>
    <col min="2820" max="2820" width="4.42578125" style="470" bestFit="1" customWidth="1"/>
    <col min="2821" max="2821" width="7" style="470" customWidth="1"/>
    <col min="2822" max="2822" width="6.5703125" style="470" bestFit="1" customWidth="1"/>
    <col min="2823" max="2823" width="6.42578125" style="470" bestFit="1" customWidth="1"/>
    <col min="2824" max="2824" width="3.5703125" style="470" bestFit="1" customWidth="1"/>
    <col min="2825" max="2825" width="9.5703125" style="470" bestFit="1" customWidth="1"/>
    <col min="2826" max="2827" width="0" style="470" hidden="1" customWidth="1"/>
    <col min="2828" max="2828" width="7.7109375" style="470" bestFit="1" customWidth="1"/>
    <col min="2829" max="2829" width="0" style="470" hidden="1" customWidth="1"/>
    <col min="2830" max="2830" width="9.42578125" style="470" bestFit="1" customWidth="1"/>
    <col min="2831" max="2831" width="10" style="470" bestFit="1" customWidth="1"/>
    <col min="2832" max="2835" width="0" style="470" hidden="1" customWidth="1"/>
    <col min="2836" max="2836" width="7.5703125" style="470" bestFit="1" customWidth="1"/>
    <col min="2837" max="2837" width="0" style="470" hidden="1" customWidth="1"/>
    <col min="2838" max="2838" width="10.140625" style="470" bestFit="1" customWidth="1"/>
    <col min="2839" max="2841" width="0" style="470" hidden="1" customWidth="1"/>
    <col min="2842" max="2842" width="10.140625" style="470" bestFit="1" customWidth="1"/>
    <col min="2843" max="2843" width="9" style="470" bestFit="1" customWidth="1"/>
    <col min="2844" max="2846" width="7" style="470" bestFit="1" customWidth="1"/>
    <col min="2847" max="2847" width="11.7109375" style="470" customWidth="1"/>
    <col min="2848" max="2848" width="7" style="470" bestFit="1" customWidth="1"/>
    <col min="2849" max="3072" width="11.42578125" style="470"/>
    <col min="3073" max="3073" width="6.7109375" style="470" bestFit="1" customWidth="1"/>
    <col min="3074" max="3074" width="6.85546875" style="470" customWidth="1"/>
    <col min="3075" max="3075" width="32.42578125" style="470" customWidth="1"/>
    <col min="3076" max="3076" width="4.42578125" style="470" bestFit="1" customWidth="1"/>
    <col min="3077" max="3077" width="7" style="470" customWidth="1"/>
    <col min="3078" max="3078" width="6.5703125" style="470" bestFit="1" customWidth="1"/>
    <col min="3079" max="3079" width="6.42578125" style="470" bestFit="1" customWidth="1"/>
    <col min="3080" max="3080" width="3.5703125" style="470" bestFit="1" customWidth="1"/>
    <col min="3081" max="3081" width="9.5703125" style="470" bestFit="1" customWidth="1"/>
    <col min="3082" max="3083" width="0" style="470" hidden="1" customWidth="1"/>
    <col min="3084" max="3084" width="7.7109375" style="470" bestFit="1" customWidth="1"/>
    <col min="3085" max="3085" width="0" style="470" hidden="1" customWidth="1"/>
    <col min="3086" max="3086" width="9.42578125" style="470" bestFit="1" customWidth="1"/>
    <col min="3087" max="3087" width="10" style="470" bestFit="1" customWidth="1"/>
    <col min="3088" max="3091" width="0" style="470" hidden="1" customWidth="1"/>
    <col min="3092" max="3092" width="7.5703125" style="470" bestFit="1" customWidth="1"/>
    <col min="3093" max="3093" width="0" style="470" hidden="1" customWidth="1"/>
    <col min="3094" max="3094" width="10.140625" style="470" bestFit="1" customWidth="1"/>
    <col min="3095" max="3097" width="0" style="470" hidden="1" customWidth="1"/>
    <col min="3098" max="3098" width="10.140625" style="470" bestFit="1" customWidth="1"/>
    <col min="3099" max="3099" width="9" style="470" bestFit="1" customWidth="1"/>
    <col min="3100" max="3102" width="7" style="470" bestFit="1" customWidth="1"/>
    <col min="3103" max="3103" width="11.7109375" style="470" customWidth="1"/>
    <col min="3104" max="3104" width="7" style="470" bestFit="1" customWidth="1"/>
    <col min="3105" max="3328" width="11.42578125" style="470"/>
    <col min="3329" max="3329" width="6.7109375" style="470" bestFit="1" customWidth="1"/>
    <col min="3330" max="3330" width="6.85546875" style="470" customWidth="1"/>
    <col min="3331" max="3331" width="32.42578125" style="470" customWidth="1"/>
    <col min="3332" max="3332" width="4.42578125" style="470" bestFit="1" customWidth="1"/>
    <col min="3333" max="3333" width="7" style="470" customWidth="1"/>
    <col min="3334" max="3334" width="6.5703125" style="470" bestFit="1" customWidth="1"/>
    <col min="3335" max="3335" width="6.42578125" style="470" bestFit="1" customWidth="1"/>
    <col min="3336" max="3336" width="3.5703125" style="470" bestFit="1" customWidth="1"/>
    <col min="3337" max="3337" width="9.5703125" style="470" bestFit="1" customWidth="1"/>
    <col min="3338" max="3339" width="0" style="470" hidden="1" customWidth="1"/>
    <col min="3340" max="3340" width="7.7109375" style="470" bestFit="1" customWidth="1"/>
    <col min="3341" max="3341" width="0" style="470" hidden="1" customWidth="1"/>
    <col min="3342" max="3342" width="9.42578125" style="470" bestFit="1" customWidth="1"/>
    <col min="3343" max="3343" width="10" style="470" bestFit="1" customWidth="1"/>
    <col min="3344" max="3347" width="0" style="470" hidden="1" customWidth="1"/>
    <col min="3348" max="3348" width="7.5703125" style="470" bestFit="1" customWidth="1"/>
    <col min="3349" max="3349" width="0" style="470" hidden="1" customWidth="1"/>
    <col min="3350" max="3350" width="10.140625" style="470" bestFit="1" customWidth="1"/>
    <col min="3351" max="3353" width="0" style="470" hidden="1" customWidth="1"/>
    <col min="3354" max="3354" width="10.140625" style="470" bestFit="1" customWidth="1"/>
    <col min="3355" max="3355" width="9" style="470" bestFit="1" customWidth="1"/>
    <col min="3356" max="3358" width="7" style="470" bestFit="1" customWidth="1"/>
    <col min="3359" max="3359" width="11.7109375" style="470" customWidth="1"/>
    <col min="3360" max="3360" width="7" style="470" bestFit="1" customWidth="1"/>
    <col min="3361" max="3584" width="11.42578125" style="470"/>
    <col min="3585" max="3585" width="6.7109375" style="470" bestFit="1" customWidth="1"/>
    <col min="3586" max="3586" width="6.85546875" style="470" customWidth="1"/>
    <col min="3587" max="3587" width="32.42578125" style="470" customWidth="1"/>
    <col min="3588" max="3588" width="4.42578125" style="470" bestFit="1" customWidth="1"/>
    <col min="3589" max="3589" width="7" style="470" customWidth="1"/>
    <col min="3590" max="3590" width="6.5703125" style="470" bestFit="1" customWidth="1"/>
    <col min="3591" max="3591" width="6.42578125" style="470" bestFit="1" customWidth="1"/>
    <col min="3592" max="3592" width="3.5703125" style="470" bestFit="1" customWidth="1"/>
    <col min="3593" max="3593" width="9.5703125" style="470" bestFit="1" customWidth="1"/>
    <col min="3594" max="3595" width="0" style="470" hidden="1" customWidth="1"/>
    <col min="3596" max="3596" width="7.7109375" style="470" bestFit="1" customWidth="1"/>
    <col min="3597" max="3597" width="0" style="470" hidden="1" customWidth="1"/>
    <col min="3598" max="3598" width="9.42578125" style="470" bestFit="1" customWidth="1"/>
    <col min="3599" max="3599" width="10" style="470" bestFit="1" customWidth="1"/>
    <col min="3600" max="3603" width="0" style="470" hidden="1" customWidth="1"/>
    <col min="3604" max="3604" width="7.5703125" style="470" bestFit="1" customWidth="1"/>
    <col min="3605" max="3605" width="0" style="470" hidden="1" customWidth="1"/>
    <col min="3606" max="3606" width="10.140625" style="470" bestFit="1" customWidth="1"/>
    <col min="3607" max="3609" width="0" style="470" hidden="1" customWidth="1"/>
    <col min="3610" max="3610" width="10.140625" style="470" bestFit="1" customWidth="1"/>
    <col min="3611" max="3611" width="9" style="470" bestFit="1" customWidth="1"/>
    <col min="3612" max="3614" width="7" style="470" bestFit="1" customWidth="1"/>
    <col min="3615" max="3615" width="11.7109375" style="470" customWidth="1"/>
    <col min="3616" max="3616" width="7" style="470" bestFit="1" customWidth="1"/>
    <col min="3617" max="3840" width="11.42578125" style="470"/>
    <col min="3841" max="3841" width="6.7109375" style="470" bestFit="1" customWidth="1"/>
    <col min="3842" max="3842" width="6.85546875" style="470" customWidth="1"/>
    <col min="3843" max="3843" width="32.42578125" style="470" customWidth="1"/>
    <col min="3844" max="3844" width="4.42578125" style="470" bestFit="1" customWidth="1"/>
    <col min="3845" max="3845" width="7" style="470" customWidth="1"/>
    <col min="3846" max="3846" width="6.5703125" style="470" bestFit="1" customWidth="1"/>
    <col min="3847" max="3847" width="6.42578125" style="470" bestFit="1" customWidth="1"/>
    <col min="3848" max="3848" width="3.5703125" style="470" bestFit="1" customWidth="1"/>
    <col min="3849" max="3849" width="9.5703125" style="470" bestFit="1" customWidth="1"/>
    <col min="3850" max="3851" width="0" style="470" hidden="1" customWidth="1"/>
    <col min="3852" max="3852" width="7.7109375" style="470" bestFit="1" customWidth="1"/>
    <col min="3853" max="3853" width="0" style="470" hidden="1" customWidth="1"/>
    <col min="3854" max="3854" width="9.42578125" style="470" bestFit="1" customWidth="1"/>
    <col min="3855" max="3855" width="10" style="470" bestFit="1" customWidth="1"/>
    <col min="3856" max="3859" width="0" style="470" hidden="1" customWidth="1"/>
    <col min="3860" max="3860" width="7.5703125" style="470" bestFit="1" customWidth="1"/>
    <col min="3861" max="3861" width="0" style="470" hidden="1" customWidth="1"/>
    <col min="3862" max="3862" width="10.140625" style="470" bestFit="1" customWidth="1"/>
    <col min="3863" max="3865" width="0" style="470" hidden="1" customWidth="1"/>
    <col min="3866" max="3866" width="10.140625" style="470" bestFit="1" customWidth="1"/>
    <col min="3867" max="3867" width="9" style="470" bestFit="1" customWidth="1"/>
    <col min="3868" max="3870" width="7" style="470" bestFit="1" customWidth="1"/>
    <col min="3871" max="3871" width="11.7109375" style="470" customWidth="1"/>
    <col min="3872" max="3872" width="7" style="470" bestFit="1" customWidth="1"/>
    <col min="3873" max="4096" width="11.42578125" style="470"/>
    <col min="4097" max="4097" width="6.7109375" style="470" bestFit="1" customWidth="1"/>
    <col min="4098" max="4098" width="6.85546875" style="470" customWidth="1"/>
    <col min="4099" max="4099" width="32.42578125" style="470" customWidth="1"/>
    <col min="4100" max="4100" width="4.42578125" style="470" bestFit="1" customWidth="1"/>
    <col min="4101" max="4101" width="7" style="470" customWidth="1"/>
    <col min="4102" max="4102" width="6.5703125" style="470" bestFit="1" customWidth="1"/>
    <col min="4103" max="4103" width="6.42578125" style="470" bestFit="1" customWidth="1"/>
    <col min="4104" max="4104" width="3.5703125" style="470" bestFit="1" customWidth="1"/>
    <col min="4105" max="4105" width="9.5703125" style="470" bestFit="1" customWidth="1"/>
    <col min="4106" max="4107" width="0" style="470" hidden="1" customWidth="1"/>
    <col min="4108" max="4108" width="7.7109375" style="470" bestFit="1" customWidth="1"/>
    <col min="4109" max="4109" width="0" style="470" hidden="1" customWidth="1"/>
    <col min="4110" max="4110" width="9.42578125" style="470" bestFit="1" customWidth="1"/>
    <col min="4111" max="4111" width="10" style="470" bestFit="1" customWidth="1"/>
    <col min="4112" max="4115" width="0" style="470" hidden="1" customWidth="1"/>
    <col min="4116" max="4116" width="7.5703125" style="470" bestFit="1" customWidth="1"/>
    <col min="4117" max="4117" width="0" style="470" hidden="1" customWidth="1"/>
    <col min="4118" max="4118" width="10.140625" style="470" bestFit="1" customWidth="1"/>
    <col min="4119" max="4121" width="0" style="470" hidden="1" customWidth="1"/>
    <col min="4122" max="4122" width="10.140625" style="470" bestFit="1" customWidth="1"/>
    <col min="4123" max="4123" width="9" style="470" bestFit="1" customWidth="1"/>
    <col min="4124" max="4126" width="7" style="470" bestFit="1" customWidth="1"/>
    <col min="4127" max="4127" width="11.7109375" style="470" customWidth="1"/>
    <col min="4128" max="4128" width="7" style="470" bestFit="1" customWidth="1"/>
    <col min="4129" max="4352" width="11.42578125" style="470"/>
    <col min="4353" max="4353" width="6.7109375" style="470" bestFit="1" customWidth="1"/>
    <col min="4354" max="4354" width="6.85546875" style="470" customWidth="1"/>
    <col min="4355" max="4355" width="32.42578125" style="470" customWidth="1"/>
    <col min="4356" max="4356" width="4.42578125" style="470" bestFit="1" customWidth="1"/>
    <col min="4357" max="4357" width="7" style="470" customWidth="1"/>
    <col min="4358" max="4358" width="6.5703125" style="470" bestFit="1" customWidth="1"/>
    <col min="4359" max="4359" width="6.42578125" style="470" bestFit="1" customWidth="1"/>
    <col min="4360" max="4360" width="3.5703125" style="470" bestFit="1" customWidth="1"/>
    <col min="4361" max="4361" width="9.5703125" style="470" bestFit="1" customWidth="1"/>
    <col min="4362" max="4363" width="0" style="470" hidden="1" customWidth="1"/>
    <col min="4364" max="4364" width="7.7109375" style="470" bestFit="1" customWidth="1"/>
    <col min="4365" max="4365" width="0" style="470" hidden="1" customWidth="1"/>
    <col min="4366" max="4366" width="9.42578125" style="470" bestFit="1" customWidth="1"/>
    <col min="4367" max="4367" width="10" style="470" bestFit="1" customWidth="1"/>
    <col min="4368" max="4371" width="0" style="470" hidden="1" customWidth="1"/>
    <col min="4372" max="4372" width="7.5703125" style="470" bestFit="1" customWidth="1"/>
    <col min="4373" max="4373" width="0" style="470" hidden="1" customWidth="1"/>
    <col min="4374" max="4374" width="10.140625" style="470" bestFit="1" customWidth="1"/>
    <col min="4375" max="4377" width="0" style="470" hidden="1" customWidth="1"/>
    <col min="4378" max="4378" width="10.140625" style="470" bestFit="1" customWidth="1"/>
    <col min="4379" max="4379" width="9" style="470" bestFit="1" customWidth="1"/>
    <col min="4380" max="4382" width="7" style="470" bestFit="1" customWidth="1"/>
    <col min="4383" max="4383" width="11.7109375" style="470" customWidth="1"/>
    <col min="4384" max="4384" width="7" style="470" bestFit="1" customWidth="1"/>
    <col min="4385" max="4608" width="11.42578125" style="470"/>
    <col min="4609" max="4609" width="6.7109375" style="470" bestFit="1" customWidth="1"/>
    <col min="4610" max="4610" width="6.85546875" style="470" customWidth="1"/>
    <col min="4611" max="4611" width="32.42578125" style="470" customWidth="1"/>
    <col min="4612" max="4612" width="4.42578125" style="470" bestFit="1" customWidth="1"/>
    <col min="4613" max="4613" width="7" style="470" customWidth="1"/>
    <col min="4614" max="4614" width="6.5703125" style="470" bestFit="1" customWidth="1"/>
    <col min="4615" max="4615" width="6.42578125" style="470" bestFit="1" customWidth="1"/>
    <col min="4616" max="4616" width="3.5703125" style="470" bestFit="1" customWidth="1"/>
    <col min="4617" max="4617" width="9.5703125" style="470" bestFit="1" customWidth="1"/>
    <col min="4618" max="4619" width="0" style="470" hidden="1" customWidth="1"/>
    <col min="4620" max="4620" width="7.7109375" style="470" bestFit="1" customWidth="1"/>
    <col min="4621" max="4621" width="0" style="470" hidden="1" customWidth="1"/>
    <col min="4622" max="4622" width="9.42578125" style="470" bestFit="1" customWidth="1"/>
    <col min="4623" max="4623" width="10" style="470" bestFit="1" customWidth="1"/>
    <col min="4624" max="4627" width="0" style="470" hidden="1" customWidth="1"/>
    <col min="4628" max="4628" width="7.5703125" style="470" bestFit="1" customWidth="1"/>
    <col min="4629" max="4629" width="0" style="470" hidden="1" customWidth="1"/>
    <col min="4630" max="4630" width="10.140625" style="470" bestFit="1" customWidth="1"/>
    <col min="4631" max="4633" width="0" style="470" hidden="1" customWidth="1"/>
    <col min="4634" max="4634" width="10.140625" style="470" bestFit="1" customWidth="1"/>
    <col min="4635" max="4635" width="9" style="470" bestFit="1" customWidth="1"/>
    <col min="4636" max="4638" width="7" style="470" bestFit="1" customWidth="1"/>
    <col min="4639" max="4639" width="11.7109375" style="470" customWidth="1"/>
    <col min="4640" max="4640" width="7" style="470" bestFit="1" customWidth="1"/>
    <col min="4641" max="4864" width="11.42578125" style="470"/>
    <col min="4865" max="4865" width="6.7109375" style="470" bestFit="1" customWidth="1"/>
    <col min="4866" max="4866" width="6.85546875" style="470" customWidth="1"/>
    <col min="4867" max="4867" width="32.42578125" style="470" customWidth="1"/>
    <col min="4868" max="4868" width="4.42578125" style="470" bestFit="1" customWidth="1"/>
    <col min="4869" max="4869" width="7" style="470" customWidth="1"/>
    <col min="4870" max="4870" width="6.5703125" style="470" bestFit="1" customWidth="1"/>
    <col min="4871" max="4871" width="6.42578125" style="470" bestFit="1" customWidth="1"/>
    <col min="4872" max="4872" width="3.5703125" style="470" bestFit="1" customWidth="1"/>
    <col min="4873" max="4873" width="9.5703125" style="470" bestFit="1" customWidth="1"/>
    <col min="4874" max="4875" width="0" style="470" hidden="1" customWidth="1"/>
    <col min="4876" max="4876" width="7.7109375" style="470" bestFit="1" customWidth="1"/>
    <col min="4877" max="4877" width="0" style="470" hidden="1" customWidth="1"/>
    <col min="4878" max="4878" width="9.42578125" style="470" bestFit="1" customWidth="1"/>
    <col min="4879" max="4879" width="10" style="470" bestFit="1" customWidth="1"/>
    <col min="4880" max="4883" width="0" style="470" hidden="1" customWidth="1"/>
    <col min="4884" max="4884" width="7.5703125" style="470" bestFit="1" customWidth="1"/>
    <col min="4885" max="4885" width="0" style="470" hidden="1" customWidth="1"/>
    <col min="4886" max="4886" width="10.140625" style="470" bestFit="1" customWidth="1"/>
    <col min="4887" max="4889" width="0" style="470" hidden="1" customWidth="1"/>
    <col min="4890" max="4890" width="10.140625" style="470" bestFit="1" customWidth="1"/>
    <col min="4891" max="4891" width="9" style="470" bestFit="1" customWidth="1"/>
    <col min="4892" max="4894" width="7" style="470" bestFit="1" customWidth="1"/>
    <col min="4895" max="4895" width="11.7109375" style="470" customWidth="1"/>
    <col min="4896" max="4896" width="7" style="470" bestFit="1" customWidth="1"/>
    <col min="4897" max="5120" width="11.42578125" style="470"/>
    <col min="5121" max="5121" width="6.7109375" style="470" bestFit="1" customWidth="1"/>
    <col min="5122" max="5122" width="6.85546875" style="470" customWidth="1"/>
    <col min="5123" max="5123" width="32.42578125" style="470" customWidth="1"/>
    <col min="5124" max="5124" width="4.42578125" style="470" bestFit="1" customWidth="1"/>
    <col min="5125" max="5125" width="7" style="470" customWidth="1"/>
    <col min="5126" max="5126" width="6.5703125" style="470" bestFit="1" customWidth="1"/>
    <col min="5127" max="5127" width="6.42578125" style="470" bestFit="1" customWidth="1"/>
    <col min="5128" max="5128" width="3.5703125" style="470" bestFit="1" customWidth="1"/>
    <col min="5129" max="5129" width="9.5703125" style="470" bestFit="1" customWidth="1"/>
    <col min="5130" max="5131" width="0" style="470" hidden="1" customWidth="1"/>
    <col min="5132" max="5132" width="7.7109375" style="470" bestFit="1" customWidth="1"/>
    <col min="5133" max="5133" width="0" style="470" hidden="1" customWidth="1"/>
    <col min="5134" max="5134" width="9.42578125" style="470" bestFit="1" customWidth="1"/>
    <col min="5135" max="5135" width="10" style="470" bestFit="1" customWidth="1"/>
    <col min="5136" max="5139" width="0" style="470" hidden="1" customWidth="1"/>
    <col min="5140" max="5140" width="7.5703125" style="470" bestFit="1" customWidth="1"/>
    <col min="5141" max="5141" width="0" style="470" hidden="1" customWidth="1"/>
    <col min="5142" max="5142" width="10.140625" style="470" bestFit="1" customWidth="1"/>
    <col min="5143" max="5145" width="0" style="470" hidden="1" customWidth="1"/>
    <col min="5146" max="5146" width="10.140625" style="470" bestFit="1" customWidth="1"/>
    <col min="5147" max="5147" width="9" style="470" bestFit="1" customWidth="1"/>
    <col min="5148" max="5150" width="7" style="470" bestFit="1" customWidth="1"/>
    <col min="5151" max="5151" width="11.7109375" style="470" customWidth="1"/>
    <col min="5152" max="5152" width="7" style="470" bestFit="1" customWidth="1"/>
    <col min="5153" max="5376" width="11.42578125" style="470"/>
    <col min="5377" max="5377" width="6.7109375" style="470" bestFit="1" customWidth="1"/>
    <col min="5378" max="5378" width="6.85546875" style="470" customWidth="1"/>
    <col min="5379" max="5379" width="32.42578125" style="470" customWidth="1"/>
    <col min="5380" max="5380" width="4.42578125" style="470" bestFit="1" customWidth="1"/>
    <col min="5381" max="5381" width="7" style="470" customWidth="1"/>
    <col min="5382" max="5382" width="6.5703125" style="470" bestFit="1" customWidth="1"/>
    <col min="5383" max="5383" width="6.42578125" style="470" bestFit="1" customWidth="1"/>
    <col min="5384" max="5384" width="3.5703125" style="470" bestFit="1" customWidth="1"/>
    <col min="5385" max="5385" width="9.5703125" style="470" bestFit="1" customWidth="1"/>
    <col min="5386" max="5387" width="0" style="470" hidden="1" customWidth="1"/>
    <col min="5388" max="5388" width="7.7109375" style="470" bestFit="1" customWidth="1"/>
    <col min="5389" max="5389" width="0" style="470" hidden="1" customWidth="1"/>
    <col min="5390" max="5390" width="9.42578125" style="470" bestFit="1" customWidth="1"/>
    <col min="5391" max="5391" width="10" style="470" bestFit="1" customWidth="1"/>
    <col min="5392" max="5395" width="0" style="470" hidden="1" customWidth="1"/>
    <col min="5396" max="5396" width="7.5703125" style="470" bestFit="1" customWidth="1"/>
    <col min="5397" max="5397" width="0" style="470" hidden="1" customWidth="1"/>
    <col min="5398" max="5398" width="10.140625" style="470" bestFit="1" customWidth="1"/>
    <col min="5399" max="5401" width="0" style="470" hidden="1" customWidth="1"/>
    <col min="5402" max="5402" width="10.140625" style="470" bestFit="1" customWidth="1"/>
    <col min="5403" max="5403" width="9" style="470" bestFit="1" customWidth="1"/>
    <col min="5404" max="5406" width="7" style="470" bestFit="1" customWidth="1"/>
    <col min="5407" max="5407" width="11.7109375" style="470" customWidth="1"/>
    <col min="5408" max="5408" width="7" style="470" bestFit="1" customWidth="1"/>
    <col min="5409" max="5632" width="11.42578125" style="470"/>
    <col min="5633" max="5633" width="6.7109375" style="470" bestFit="1" customWidth="1"/>
    <col min="5634" max="5634" width="6.85546875" style="470" customWidth="1"/>
    <col min="5635" max="5635" width="32.42578125" style="470" customWidth="1"/>
    <col min="5636" max="5636" width="4.42578125" style="470" bestFit="1" customWidth="1"/>
    <col min="5637" max="5637" width="7" style="470" customWidth="1"/>
    <col min="5638" max="5638" width="6.5703125" style="470" bestFit="1" customWidth="1"/>
    <col min="5639" max="5639" width="6.42578125" style="470" bestFit="1" customWidth="1"/>
    <col min="5640" max="5640" width="3.5703125" style="470" bestFit="1" customWidth="1"/>
    <col min="5641" max="5641" width="9.5703125" style="470" bestFit="1" customWidth="1"/>
    <col min="5642" max="5643" width="0" style="470" hidden="1" customWidth="1"/>
    <col min="5644" max="5644" width="7.7109375" style="470" bestFit="1" customWidth="1"/>
    <col min="5645" max="5645" width="0" style="470" hidden="1" customWidth="1"/>
    <col min="5646" max="5646" width="9.42578125" style="470" bestFit="1" customWidth="1"/>
    <col min="5647" max="5647" width="10" style="470" bestFit="1" customWidth="1"/>
    <col min="5648" max="5651" width="0" style="470" hidden="1" customWidth="1"/>
    <col min="5652" max="5652" width="7.5703125" style="470" bestFit="1" customWidth="1"/>
    <col min="5653" max="5653" width="0" style="470" hidden="1" customWidth="1"/>
    <col min="5654" max="5654" width="10.140625" style="470" bestFit="1" customWidth="1"/>
    <col min="5655" max="5657" width="0" style="470" hidden="1" customWidth="1"/>
    <col min="5658" max="5658" width="10.140625" style="470" bestFit="1" customWidth="1"/>
    <col min="5659" max="5659" width="9" style="470" bestFit="1" customWidth="1"/>
    <col min="5660" max="5662" width="7" style="470" bestFit="1" customWidth="1"/>
    <col min="5663" max="5663" width="11.7109375" style="470" customWidth="1"/>
    <col min="5664" max="5664" width="7" style="470" bestFit="1" customWidth="1"/>
    <col min="5665" max="5888" width="11.42578125" style="470"/>
    <col min="5889" max="5889" width="6.7109375" style="470" bestFit="1" customWidth="1"/>
    <col min="5890" max="5890" width="6.85546875" style="470" customWidth="1"/>
    <col min="5891" max="5891" width="32.42578125" style="470" customWidth="1"/>
    <col min="5892" max="5892" width="4.42578125" style="470" bestFit="1" customWidth="1"/>
    <col min="5893" max="5893" width="7" style="470" customWidth="1"/>
    <col min="5894" max="5894" width="6.5703125" style="470" bestFit="1" customWidth="1"/>
    <col min="5895" max="5895" width="6.42578125" style="470" bestFit="1" customWidth="1"/>
    <col min="5896" max="5896" width="3.5703125" style="470" bestFit="1" customWidth="1"/>
    <col min="5897" max="5897" width="9.5703125" style="470" bestFit="1" customWidth="1"/>
    <col min="5898" max="5899" width="0" style="470" hidden="1" customWidth="1"/>
    <col min="5900" max="5900" width="7.7109375" style="470" bestFit="1" customWidth="1"/>
    <col min="5901" max="5901" width="0" style="470" hidden="1" customWidth="1"/>
    <col min="5902" max="5902" width="9.42578125" style="470" bestFit="1" customWidth="1"/>
    <col min="5903" max="5903" width="10" style="470" bestFit="1" customWidth="1"/>
    <col min="5904" max="5907" width="0" style="470" hidden="1" customWidth="1"/>
    <col min="5908" max="5908" width="7.5703125" style="470" bestFit="1" customWidth="1"/>
    <col min="5909" max="5909" width="0" style="470" hidden="1" customWidth="1"/>
    <col min="5910" max="5910" width="10.140625" style="470" bestFit="1" customWidth="1"/>
    <col min="5911" max="5913" width="0" style="470" hidden="1" customWidth="1"/>
    <col min="5914" max="5914" width="10.140625" style="470" bestFit="1" customWidth="1"/>
    <col min="5915" max="5915" width="9" style="470" bestFit="1" customWidth="1"/>
    <col min="5916" max="5918" width="7" style="470" bestFit="1" customWidth="1"/>
    <col min="5919" max="5919" width="11.7109375" style="470" customWidth="1"/>
    <col min="5920" max="5920" width="7" style="470" bestFit="1" customWidth="1"/>
    <col min="5921" max="6144" width="11.42578125" style="470"/>
    <col min="6145" max="6145" width="6.7109375" style="470" bestFit="1" customWidth="1"/>
    <col min="6146" max="6146" width="6.85546875" style="470" customWidth="1"/>
    <col min="6147" max="6147" width="32.42578125" style="470" customWidth="1"/>
    <col min="6148" max="6148" width="4.42578125" style="470" bestFit="1" customWidth="1"/>
    <col min="6149" max="6149" width="7" style="470" customWidth="1"/>
    <col min="6150" max="6150" width="6.5703125" style="470" bestFit="1" customWidth="1"/>
    <col min="6151" max="6151" width="6.42578125" style="470" bestFit="1" customWidth="1"/>
    <col min="6152" max="6152" width="3.5703125" style="470" bestFit="1" customWidth="1"/>
    <col min="6153" max="6153" width="9.5703125" style="470" bestFit="1" customWidth="1"/>
    <col min="6154" max="6155" width="0" style="470" hidden="1" customWidth="1"/>
    <col min="6156" max="6156" width="7.7109375" style="470" bestFit="1" customWidth="1"/>
    <col min="6157" max="6157" width="0" style="470" hidden="1" customWidth="1"/>
    <col min="6158" max="6158" width="9.42578125" style="470" bestFit="1" customWidth="1"/>
    <col min="6159" max="6159" width="10" style="470" bestFit="1" customWidth="1"/>
    <col min="6160" max="6163" width="0" style="470" hidden="1" customWidth="1"/>
    <col min="6164" max="6164" width="7.5703125" style="470" bestFit="1" customWidth="1"/>
    <col min="6165" max="6165" width="0" style="470" hidden="1" customWidth="1"/>
    <col min="6166" max="6166" width="10.140625" style="470" bestFit="1" customWidth="1"/>
    <col min="6167" max="6169" width="0" style="470" hidden="1" customWidth="1"/>
    <col min="6170" max="6170" width="10.140625" style="470" bestFit="1" customWidth="1"/>
    <col min="6171" max="6171" width="9" style="470" bestFit="1" customWidth="1"/>
    <col min="6172" max="6174" width="7" style="470" bestFit="1" customWidth="1"/>
    <col min="6175" max="6175" width="11.7109375" style="470" customWidth="1"/>
    <col min="6176" max="6176" width="7" style="470" bestFit="1" customWidth="1"/>
    <col min="6177" max="6400" width="11.42578125" style="470"/>
    <col min="6401" max="6401" width="6.7109375" style="470" bestFit="1" customWidth="1"/>
    <col min="6402" max="6402" width="6.85546875" style="470" customWidth="1"/>
    <col min="6403" max="6403" width="32.42578125" style="470" customWidth="1"/>
    <col min="6404" max="6404" width="4.42578125" style="470" bestFit="1" customWidth="1"/>
    <col min="6405" max="6405" width="7" style="470" customWidth="1"/>
    <col min="6406" max="6406" width="6.5703125" style="470" bestFit="1" customWidth="1"/>
    <col min="6407" max="6407" width="6.42578125" style="470" bestFit="1" customWidth="1"/>
    <col min="6408" max="6408" width="3.5703125" style="470" bestFit="1" customWidth="1"/>
    <col min="6409" max="6409" width="9.5703125" style="470" bestFit="1" customWidth="1"/>
    <col min="6410" max="6411" width="0" style="470" hidden="1" customWidth="1"/>
    <col min="6412" max="6412" width="7.7109375" style="470" bestFit="1" customWidth="1"/>
    <col min="6413" max="6413" width="0" style="470" hidden="1" customWidth="1"/>
    <col min="6414" max="6414" width="9.42578125" style="470" bestFit="1" customWidth="1"/>
    <col min="6415" max="6415" width="10" style="470" bestFit="1" customWidth="1"/>
    <col min="6416" max="6419" width="0" style="470" hidden="1" customWidth="1"/>
    <col min="6420" max="6420" width="7.5703125" style="470" bestFit="1" customWidth="1"/>
    <col min="6421" max="6421" width="0" style="470" hidden="1" customWidth="1"/>
    <col min="6422" max="6422" width="10.140625" style="470" bestFit="1" customWidth="1"/>
    <col min="6423" max="6425" width="0" style="470" hidden="1" customWidth="1"/>
    <col min="6426" max="6426" width="10.140625" style="470" bestFit="1" customWidth="1"/>
    <col min="6427" max="6427" width="9" style="470" bestFit="1" customWidth="1"/>
    <col min="6428" max="6430" width="7" style="470" bestFit="1" customWidth="1"/>
    <col min="6431" max="6431" width="11.7109375" style="470" customWidth="1"/>
    <col min="6432" max="6432" width="7" style="470" bestFit="1" customWidth="1"/>
    <col min="6433" max="6656" width="11.42578125" style="470"/>
    <col min="6657" max="6657" width="6.7109375" style="470" bestFit="1" customWidth="1"/>
    <col min="6658" max="6658" width="6.85546875" style="470" customWidth="1"/>
    <col min="6659" max="6659" width="32.42578125" style="470" customWidth="1"/>
    <col min="6660" max="6660" width="4.42578125" style="470" bestFit="1" customWidth="1"/>
    <col min="6661" max="6661" width="7" style="470" customWidth="1"/>
    <col min="6662" max="6662" width="6.5703125" style="470" bestFit="1" customWidth="1"/>
    <col min="6663" max="6663" width="6.42578125" style="470" bestFit="1" customWidth="1"/>
    <col min="6664" max="6664" width="3.5703125" style="470" bestFit="1" customWidth="1"/>
    <col min="6665" max="6665" width="9.5703125" style="470" bestFit="1" customWidth="1"/>
    <col min="6666" max="6667" width="0" style="470" hidden="1" customWidth="1"/>
    <col min="6668" max="6668" width="7.7109375" style="470" bestFit="1" customWidth="1"/>
    <col min="6669" max="6669" width="0" style="470" hidden="1" customWidth="1"/>
    <col min="6670" max="6670" width="9.42578125" style="470" bestFit="1" customWidth="1"/>
    <col min="6671" max="6671" width="10" style="470" bestFit="1" customWidth="1"/>
    <col min="6672" max="6675" width="0" style="470" hidden="1" customWidth="1"/>
    <col min="6676" max="6676" width="7.5703125" style="470" bestFit="1" customWidth="1"/>
    <col min="6677" max="6677" width="0" style="470" hidden="1" customWidth="1"/>
    <col min="6678" max="6678" width="10.140625" style="470" bestFit="1" customWidth="1"/>
    <col min="6679" max="6681" width="0" style="470" hidden="1" customWidth="1"/>
    <col min="6682" max="6682" width="10.140625" style="470" bestFit="1" customWidth="1"/>
    <col min="6683" max="6683" width="9" style="470" bestFit="1" customWidth="1"/>
    <col min="6684" max="6686" width="7" style="470" bestFit="1" customWidth="1"/>
    <col min="6687" max="6687" width="11.7109375" style="470" customWidth="1"/>
    <col min="6688" max="6688" width="7" style="470" bestFit="1" customWidth="1"/>
    <col min="6689" max="6912" width="11.42578125" style="470"/>
    <col min="6913" max="6913" width="6.7109375" style="470" bestFit="1" customWidth="1"/>
    <col min="6914" max="6914" width="6.85546875" style="470" customWidth="1"/>
    <col min="6915" max="6915" width="32.42578125" style="470" customWidth="1"/>
    <col min="6916" max="6916" width="4.42578125" style="470" bestFit="1" customWidth="1"/>
    <col min="6917" max="6917" width="7" style="470" customWidth="1"/>
    <col min="6918" max="6918" width="6.5703125" style="470" bestFit="1" customWidth="1"/>
    <col min="6919" max="6919" width="6.42578125" style="470" bestFit="1" customWidth="1"/>
    <col min="6920" max="6920" width="3.5703125" style="470" bestFit="1" customWidth="1"/>
    <col min="6921" max="6921" width="9.5703125" style="470" bestFit="1" customWidth="1"/>
    <col min="6922" max="6923" width="0" style="470" hidden="1" customWidth="1"/>
    <col min="6924" max="6924" width="7.7109375" style="470" bestFit="1" customWidth="1"/>
    <col min="6925" max="6925" width="0" style="470" hidden="1" customWidth="1"/>
    <col min="6926" max="6926" width="9.42578125" style="470" bestFit="1" customWidth="1"/>
    <col min="6927" max="6927" width="10" style="470" bestFit="1" customWidth="1"/>
    <col min="6928" max="6931" width="0" style="470" hidden="1" customWidth="1"/>
    <col min="6932" max="6932" width="7.5703125" style="470" bestFit="1" customWidth="1"/>
    <col min="6933" max="6933" width="0" style="470" hidden="1" customWidth="1"/>
    <col min="6934" max="6934" width="10.140625" style="470" bestFit="1" customWidth="1"/>
    <col min="6935" max="6937" width="0" style="470" hidden="1" customWidth="1"/>
    <col min="6938" max="6938" width="10.140625" style="470" bestFit="1" customWidth="1"/>
    <col min="6939" max="6939" width="9" style="470" bestFit="1" customWidth="1"/>
    <col min="6940" max="6942" width="7" style="470" bestFit="1" customWidth="1"/>
    <col min="6943" max="6943" width="11.7109375" style="470" customWidth="1"/>
    <col min="6944" max="6944" width="7" style="470" bestFit="1" customWidth="1"/>
    <col min="6945" max="7168" width="11.42578125" style="470"/>
    <col min="7169" max="7169" width="6.7109375" style="470" bestFit="1" customWidth="1"/>
    <col min="7170" max="7170" width="6.85546875" style="470" customWidth="1"/>
    <col min="7171" max="7171" width="32.42578125" style="470" customWidth="1"/>
    <col min="7172" max="7172" width="4.42578125" style="470" bestFit="1" customWidth="1"/>
    <col min="7173" max="7173" width="7" style="470" customWidth="1"/>
    <col min="7174" max="7174" width="6.5703125" style="470" bestFit="1" customWidth="1"/>
    <col min="7175" max="7175" width="6.42578125" style="470" bestFit="1" customWidth="1"/>
    <col min="7176" max="7176" width="3.5703125" style="470" bestFit="1" customWidth="1"/>
    <col min="7177" max="7177" width="9.5703125" style="470" bestFit="1" customWidth="1"/>
    <col min="7178" max="7179" width="0" style="470" hidden="1" customWidth="1"/>
    <col min="7180" max="7180" width="7.7109375" style="470" bestFit="1" customWidth="1"/>
    <col min="7181" max="7181" width="0" style="470" hidden="1" customWidth="1"/>
    <col min="7182" max="7182" width="9.42578125" style="470" bestFit="1" customWidth="1"/>
    <col min="7183" max="7183" width="10" style="470" bestFit="1" customWidth="1"/>
    <col min="7184" max="7187" width="0" style="470" hidden="1" customWidth="1"/>
    <col min="7188" max="7188" width="7.5703125" style="470" bestFit="1" customWidth="1"/>
    <col min="7189" max="7189" width="0" style="470" hidden="1" customWidth="1"/>
    <col min="7190" max="7190" width="10.140625" style="470" bestFit="1" customWidth="1"/>
    <col min="7191" max="7193" width="0" style="470" hidden="1" customWidth="1"/>
    <col min="7194" max="7194" width="10.140625" style="470" bestFit="1" customWidth="1"/>
    <col min="7195" max="7195" width="9" style="470" bestFit="1" customWidth="1"/>
    <col min="7196" max="7198" width="7" style="470" bestFit="1" customWidth="1"/>
    <col min="7199" max="7199" width="11.7109375" style="470" customWidth="1"/>
    <col min="7200" max="7200" width="7" style="470" bestFit="1" customWidth="1"/>
    <col min="7201" max="7424" width="11.42578125" style="470"/>
    <col min="7425" max="7425" width="6.7109375" style="470" bestFit="1" customWidth="1"/>
    <col min="7426" max="7426" width="6.85546875" style="470" customWidth="1"/>
    <col min="7427" max="7427" width="32.42578125" style="470" customWidth="1"/>
    <col min="7428" max="7428" width="4.42578125" style="470" bestFit="1" customWidth="1"/>
    <col min="7429" max="7429" width="7" style="470" customWidth="1"/>
    <col min="7430" max="7430" width="6.5703125" style="470" bestFit="1" customWidth="1"/>
    <col min="7431" max="7431" width="6.42578125" style="470" bestFit="1" customWidth="1"/>
    <col min="7432" max="7432" width="3.5703125" style="470" bestFit="1" customWidth="1"/>
    <col min="7433" max="7433" width="9.5703125" style="470" bestFit="1" customWidth="1"/>
    <col min="7434" max="7435" width="0" style="470" hidden="1" customWidth="1"/>
    <col min="7436" max="7436" width="7.7109375" style="470" bestFit="1" customWidth="1"/>
    <col min="7437" max="7437" width="0" style="470" hidden="1" customWidth="1"/>
    <col min="7438" max="7438" width="9.42578125" style="470" bestFit="1" customWidth="1"/>
    <col min="7439" max="7439" width="10" style="470" bestFit="1" customWidth="1"/>
    <col min="7440" max="7443" width="0" style="470" hidden="1" customWidth="1"/>
    <col min="7444" max="7444" width="7.5703125" style="470" bestFit="1" customWidth="1"/>
    <col min="7445" max="7445" width="0" style="470" hidden="1" customWidth="1"/>
    <col min="7446" max="7446" width="10.140625" style="470" bestFit="1" customWidth="1"/>
    <col min="7447" max="7449" width="0" style="470" hidden="1" customWidth="1"/>
    <col min="7450" max="7450" width="10.140625" style="470" bestFit="1" customWidth="1"/>
    <col min="7451" max="7451" width="9" style="470" bestFit="1" customWidth="1"/>
    <col min="7452" max="7454" width="7" style="470" bestFit="1" customWidth="1"/>
    <col min="7455" max="7455" width="11.7109375" style="470" customWidth="1"/>
    <col min="7456" max="7456" width="7" style="470" bestFit="1" customWidth="1"/>
    <col min="7457" max="7680" width="11.42578125" style="470"/>
    <col min="7681" max="7681" width="6.7109375" style="470" bestFit="1" customWidth="1"/>
    <col min="7682" max="7682" width="6.85546875" style="470" customWidth="1"/>
    <col min="7683" max="7683" width="32.42578125" style="470" customWidth="1"/>
    <col min="7684" max="7684" width="4.42578125" style="470" bestFit="1" customWidth="1"/>
    <col min="7685" max="7685" width="7" style="470" customWidth="1"/>
    <col min="7686" max="7686" width="6.5703125" style="470" bestFit="1" customWidth="1"/>
    <col min="7687" max="7687" width="6.42578125" style="470" bestFit="1" customWidth="1"/>
    <col min="7688" max="7688" width="3.5703125" style="470" bestFit="1" customWidth="1"/>
    <col min="7689" max="7689" width="9.5703125" style="470" bestFit="1" customWidth="1"/>
    <col min="7690" max="7691" width="0" style="470" hidden="1" customWidth="1"/>
    <col min="7692" max="7692" width="7.7109375" style="470" bestFit="1" customWidth="1"/>
    <col min="7693" max="7693" width="0" style="470" hidden="1" customWidth="1"/>
    <col min="7694" max="7694" width="9.42578125" style="470" bestFit="1" customWidth="1"/>
    <col min="7695" max="7695" width="10" style="470" bestFit="1" customWidth="1"/>
    <col min="7696" max="7699" width="0" style="470" hidden="1" customWidth="1"/>
    <col min="7700" max="7700" width="7.5703125" style="470" bestFit="1" customWidth="1"/>
    <col min="7701" max="7701" width="0" style="470" hidden="1" customWidth="1"/>
    <col min="7702" max="7702" width="10.140625" style="470" bestFit="1" customWidth="1"/>
    <col min="7703" max="7705" width="0" style="470" hidden="1" customWidth="1"/>
    <col min="7706" max="7706" width="10.140625" style="470" bestFit="1" customWidth="1"/>
    <col min="7707" max="7707" width="9" style="470" bestFit="1" customWidth="1"/>
    <col min="7708" max="7710" width="7" style="470" bestFit="1" customWidth="1"/>
    <col min="7711" max="7711" width="11.7109375" style="470" customWidth="1"/>
    <col min="7712" max="7712" width="7" style="470" bestFit="1" customWidth="1"/>
    <col min="7713" max="7936" width="11.42578125" style="470"/>
    <col min="7937" max="7937" width="6.7109375" style="470" bestFit="1" customWidth="1"/>
    <col min="7938" max="7938" width="6.85546875" style="470" customWidth="1"/>
    <col min="7939" max="7939" width="32.42578125" style="470" customWidth="1"/>
    <col min="7940" max="7940" width="4.42578125" style="470" bestFit="1" customWidth="1"/>
    <col min="7941" max="7941" width="7" style="470" customWidth="1"/>
    <col min="7942" max="7942" width="6.5703125" style="470" bestFit="1" customWidth="1"/>
    <col min="7943" max="7943" width="6.42578125" style="470" bestFit="1" customWidth="1"/>
    <col min="7944" max="7944" width="3.5703125" style="470" bestFit="1" customWidth="1"/>
    <col min="7945" max="7945" width="9.5703125" style="470" bestFit="1" customWidth="1"/>
    <col min="7946" max="7947" width="0" style="470" hidden="1" customWidth="1"/>
    <col min="7948" max="7948" width="7.7109375" style="470" bestFit="1" customWidth="1"/>
    <col min="7949" max="7949" width="0" style="470" hidden="1" customWidth="1"/>
    <col min="7950" max="7950" width="9.42578125" style="470" bestFit="1" customWidth="1"/>
    <col min="7951" max="7951" width="10" style="470" bestFit="1" customWidth="1"/>
    <col min="7952" max="7955" width="0" style="470" hidden="1" customWidth="1"/>
    <col min="7956" max="7956" width="7.5703125" style="470" bestFit="1" customWidth="1"/>
    <col min="7957" max="7957" width="0" style="470" hidden="1" customWidth="1"/>
    <col min="7958" max="7958" width="10.140625" style="470" bestFit="1" customWidth="1"/>
    <col min="7959" max="7961" width="0" style="470" hidden="1" customWidth="1"/>
    <col min="7962" max="7962" width="10.140625" style="470" bestFit="1" customWidth="1"/>
    <col min="7963" max="7963" width="9" style="470" bestFit="1" customWidth="1"/>
    <col min="7964" max="7966" width="7" style="470" bestFit="1" customWidth="1"/>
    <col min="7967" max="7967" width="11.7109375" style="470" customWidth="1"/>
    <col min="7968" max="7968" width="7" style="470" bestFit="1" customWidth="1"/>
    <col min="7969" max="8192" width="11.42578125" style="470"/>
    <col min="8193" max="8193" width="6.7109375" style="470" bestFit="1" customWidth="1"/>
    <col min="8194" max="8194" width="6.85546875" style="470" customWidth="1"/>
    <col min="8195" max="8195" width="32.42578125" style="470" customWidth="1"/>
    <col min="8196" max="8196" width="4.42578125" style="470" bestFit="1" customWidth="1"/>
    <col min="8197" max="8197" width="7" style="470" customWidth="1"/>
    <col min="8198" max="8198" width="6.5703125" style="470" bestFit="1" customWidth="1"/>
    <col min="8199" max="8199" width="6.42578125" style="470" bestFit="1" customWidth="1"/>
    <col min="8200" max="8200" width="3.5703125" style="470" bestFit="1" customWidth="1"/>
    <col min="8201" max="8201" width="9.5703125" style="470" bestFit="1" customWidth="1"/>
    <col min="8202" max="8203" width="0" style="470" hidden="1" customWidth="1"/>
    <col min="8204" max="8204" width="7.7109375" style="470" bestFit="1" customWidth="1"/>
    <col min="8205" max="8205" width="0" style="470" hidden="1" customWidth="1"/>
    <col min="8206" max="8206" width="9.42578125" style="470" bestFit="1" customWidth="1"/>
    <col min="8207" max="8207" width="10" style="470" bestFit="1" customWidth="1"/>
    <col min="8208" max="8211" width="0" style="470" hidden="1" customWidth="1"/>
    <col min="8212" max="8212" width="7.5703125" style="470" bestFit="1" customWidth="1"/>
    <col min="8213" max="8213" width="0" style="470" hidden="1" customWidth="1"/>
    <col min="8214" max="8214" width="10.140625" style="470" bestFit="1" customWidth="1"/>
    <col min="8215" max="8217" width="0" style="470" hidden="1" customWidth="1"/>
    <col min="8218" max="8218" width="10.140625" style="470" bestFit="1" customWidth="1"/>
    <col min="8219" max="8219" width="9" style="470" bestFit="1" customWidth="1"/>
    <col min="8220" max="8222" width="7" style="470" bestFit="1" customWidth="1"/>
    <col min="8223" max="8223" width="11.7109375" style="470" customWidth="1"/>
    <col min="8224" max="8224" width="7" style="470" bestFit="1" customWidth="1"/>
    <col min="8225" max="8448" width="11.42578125" style="470"/>
    <col min="8449" max="8449" width="6.7109375" style="470" bestFit="1" customWidth="1"/>
    <col min="8450" max="8450" width="6.85546875" style="470" customWidth="1"/>
    <col min="8451" max="8451" width="32.42578125" style="470" customWidth="1"/>
    <col min="8452" max="8452" width="4.42578125" style="470" bestFit="1" customWidth="1"/>
    <col min="8453" max="8453" width="7" style="470" customWidth="1"/>
    <col min="8454" max="8454" width="6.5703125" style="470" bestFit="1" customWidth="1"/>
    <col min="8455" max="8455" width="6.42578125" style="470" bestFit="1" customWidth="1"/>
    <col min="8456" max="8456" width="3.5703125" style="470" bestFit="1" customWidth="1"/>
    <col min="8457" max="8457" width="9.5703125" style="470" bestFit="1" customWidth="1"/>
    <col min="8458" max="8459" width="0" style="470" hidden="1" customWidth="1"/>
    <col min="8460" max="8460" width="7.7109375" style="470" bestFit="1" customWidth="1"/>
    <col min="8461" max="8461" width="0" style="470" hidden="1" customWidth="1"/>
    <col min="8462" max="8462" width="9.42578125" style="470" bestFit="1" customWidth="1"/>
    <col min="8463" max="8463" width="10" style="470" bestFit="1" customWidth="1"/>
    <col min="8464" max="8467" width="0" style="470" hidden="1" customWidth="1"/>
    <col min="8468" max="8468" width="7.5703125" style="470" bestFit="1" customWidth="1"/>
    <col min="8469" max="8469" width="0" style="470" hidden="1" customWidth="1"/>
    <col min="8470" max="8470" width="10.140625" style="470" bestFit="1" customWidth="1"/>
    <col min="8471" max="8473" width="0" style="470" hidden="1" customWidth="1"/>
    <col min="8474" max="8474" width="10.140625" style="470" bestFit="1" customWidth="1"/>
    <col min="8475" max="8475" width="9" style="470" bestFit="1" customWidth="1"/>
    <col min="8476" max="8478" width="7" style="470" bestFit="1" customWidth="1"/>
    <col min="8479" max="8479" width="11.7109375" style="470" customWidth="1"/>
    <col min="8480" max="8480" width="7" style="470" bestFit="1" customWidth="1"/>
    <col min="8481" max="8704" width="11.42578125" style="470"/>
    <col min="8705" max="8705" width="6.7109375" style="470" bestFit="1" customWidth="1"/>
    <col min="8706" max="8706" width="6.85546875" style="470" customWidth="1"/>
    <col min="8707" max="8707" width="32.42578125" style="470" customWidth="1"/>
    <col min="8708" max="8708" width="4.42578125" style="470" bestFit="1" customWidth="1"/>
    <col min="8709" max="8709" width="7" style="470" customWidth="1"/>
    <col min="8710" max="8710" width="6.5703125" style="470" bestFit="1" customWidth="1"/>
    <col min="8711" max="8711" width="6.42578125" style="470" bestFit="1" customWidth="1"/>
    <col min="8712" max="8712" width="3.5703125" style="470" bestFit="1" customWidth="1"/>
    <col min="8713" max="8713" width="9.5703125" style="470" bestFit="1" customWidth="1"/>
    <col min="8714" max="8715" width="0" style="470" hidden="1" customWidth="1"/>
    <col min="8716" max="8716" width="7.7109375" style="470" bestFit="1" customWidth="1"/>
    <col min="8717" max="8717" width="0" style="470" hidden="1" customWidth="1"/>
    <col min="8718" max="8718" width="9.42578125" style="470" bestFit="1" customWidth="1"/>
    <col min="8719" max="8719" width="10" style="470" bestFit="1" customWidth="1"/>
    <col min="8720" max="8723" width="0" style="470" hidden="1" customWidth="1"/>
    <col min="8724" max="8724" width="7.5703125" style="470" bestFit="1" customWidth="1"/>
    <col min="8725" max="8725" width="0" style="470" hidden="1" customWidth="1"/>
    <col min="8726" max="8726" width="10.140625" style="470" bestFit="1" customWidth="1"/>
    <col min="8727" max="8729" width="0" style="470" hidden="1" customWidth="1"/>
    <col min="8730" max="8730" width="10.140625" style="470" bestFit="1" customWidth="1"/>
    <col min="8731" max="8731" width="9" style="470" bestFit="1" customWidth="1"/>
    <col min="8732" max="8734" width="7" style="470" bestFit="1" customWidth="1"/>
    <col min="8735" max="8735" width="11.7109375" style="470" customWidth="1"/>
    <col min="8736" max="8736" width="7" style="470" bestFit="1" customWidth="1"/>
    <col min="8737" max="8960" width="11.42578125" style="470"/>
    <col min="8961" max="8961" width="6.7109375" style="470" bestFit="1" customWidth="1"/>
    <col min="8962" max="8962" width="6.85546875" style="470" customWidth="1"/>
    <col min="8963" max="8963" width="32.42578125" style="470" customWidth="1"/>
    <col min="8964" max="8964" width="4.42578125" style="470" bestFit="1" customWidth="1"/>
    <col min="8965" max="8965" width="7" style="470" customWidth="1"/>
    <col min="8966" max="8966" width="6.5703125" style="470" bestFit="1" customWidth="1"/>
    <col min="8967" max="8967" width="6.42578125" style="470" bestFit="1" customWidth="1"/>
    <col min="8968" max="8968" width="3.5703125" style="470" bestFit="1" customWidth="1"/>
    <col min="8969" max="8969" width="9.5703125" style="470" bestFit="1" customWidth="1"/>
    <col min="8970" max="8971" width="0" style="470" hidden="1" customWidth="1"/>
    <col min="8972" max="8972" width="7.7109375" style="470" bestFit="1" customWidth="1"/>
    <col min="8973" max="8973" width="0" style="470" hidden="1" customWidth="1"/>
    <col min="8974" max="8974" width="9.42578125" style="470" bestFit="1" customWidth="1"/>
    <col min="8975" max="8975" width="10" style="470" bestFit="1" customWidth="1"/>
    <col min="8976" max="8979" width="0" style="470" hidden="1" customWidth="1"/>
    <col min="8980" max="8980" width="7.5703125" style="470" bestFit="1" customWidth="1"/>
    <col min="8981" max="8981" width="0" style="470" hidden="1" customWidth="1"/>
    <col min="8982" max="8982" width="10.140625" style="470" bestFit="1" customWidth="1"/>
    <col min="8983" max="8985" width="0" style="470" hidden="1" customWidth="1"/>
    <col min="8986" max="8986" width="10.140625" style="470" bestFit="1" customWidth="1"/>
    <col min="8987" max="8987" width="9" style="470" bestFit="1" customWidth="1"/>
    <col min="8988" max="8990" width="7" style="470" bestFit="1" customWidth="1"/>
    <col min="8991" max="8991" width="11.7109375" style="470" customWidth="1"/>
    <col min="8992" max="8992" width="7" style="470" bestFit="1" customWidth="1"/>
    <col min="8993" max="9216" width="11.42578125" style="470"/>
    <col min="9217" max="9217" width="6.7109375" style="470" bestFit="1" customWidth="1"/>
    <col min="9218" max="9218" width="6.85546875" style="470" customWidth="1"/>
    <col min="9219" max="9219" width="32.42578125" style="470" customWidth="1"/>
    <col min="9220" max="9220" width="4.42578125" style="470" bestFit="1" customWidth="1"/>
    <col min="9221" max="9221" width="7" style="470" customWidth="1"/>
    <col min="9222" max="9222" width="6.5703125" style="470" bestFit="1" customWidth="1"/>
    <col min="9223" max="9223" width="6.42578125" style="470" bestFit="1" customWidth="1"/>
    <col min="9224" max="9224" width="3.5703125" style="470" bestFit="1" customWidth="1"/>
    <col min="9225" max="9225" width="9.5703125" style="470" bestFit="1" customWidth="1"/>
    <col min="9226" max="9227" width="0" style="470" hidden="1" customWidth="1"/>
    <col min="9228" max="9228" width="7.7109375" style="470" bestFit="1" customWidth="1"/>
    <col min="9229" max="9229" width="0" style="470" hidden="1" customWidth="1"/>
    <col min="9230" max="9230" width="9.42578125" style="470" bestFit="1" customWidth="1"/>
    <col min="9231" max="9231" width="10" style="470" bestFit="1" customWidth="1"/>
    <col min="9232" max="9235" width="0" style="470" hidden="1" customWidth="1"/>
    <col min="9236" max="9236" width="7.5703125" style="470" bestFit="1" customWidth="1"/>
    <col min="9237" max="9237" width="0" style="470" hidden="1" customWidth="1"/>
    <col min="9238" max="9238" width="10.140625" style="470" bestFit="1" customWidth="1"/>
    <col min="9239" max="9241" width="0" style="470" hidden="1" customWidth="1"/>
    <col min="9242" max="9242" width="10.140625" style="470" bestFit="1" customWidth="1"/>
    <col min="9243" max="9243" width="9" style="470" bestFit="1" customWidth="1"/>
    <col min="9244" max="9246" width="7" style="470" bestFit="1" customWidth="1"/>
    <col min="9247" max="9247" width="11.7109375" style="470" customWidth="1"/>
    <col min="9248" max="9248" width="7" style="470" bestFit="1" customWidth="1"/>
    <col min="9249" max="9472" width="11.42578125" style="470"/>
    <col min="9473" max="9473" width="6.7109375" style="470" bestFit="1" customWidth="1"/>
    <col min="9474" max="9474" width="6.85546875" style="470" customWidth="1"/>
    <col min="9475" max="9475" width="32.42578125" style="470" customWidth="1"/>
    <col min="9476" max="9476" width="4.42578125" style="470" bestFit="1" customWidth="1"/>
    <col min="9477" max="9477" width="7" style="470" customWidth="1"/>
    <col min="9478" max="9478" width="6.5703125" style="470" bestFit="1" customWidth="1"/>
    <col min="9479" max="9479" width="6.42578125" style="470" bestFit="1" customWidth="1"/>
    <col min="9480" max="9480" width="3.5703125" style="470" bestFit="1" customWidth="1"/>
    <col min="9481" max="9481" width="9.5703125" style="470" bestFit="1" customWidth="1"/>
    <col min="9482" max="9483" width="0" style="470" hidden="1" customWidth="1"/>
    <col min="9484" max="9484" width="7.7109375" style="470" bestFit="1" customWidth="1"/>
    <col min="9485" max="9485" width="0" style="470" hidden="1" customWidth="1"/>
    <col min="9486" max="9486" width="9.42578125" style="470" bestFit="1" customWidth="1"/>
    <col min="9487" max="9487" width="10" style="470" bestFit="1" customWidth="1"/>
    <col min="9488" max="9491" width="0" style="470" hidden="1" customWidth="1"/>
    <col min="9492" max="9492" width="7.5703125" style="470" bestFit="1" customWidth="1"/>
    <col min="9493" max="9493" width="0" style="470" hidden="1" customWidth="1"/>
    <col min="9494" max="9494" width="10.140625" style="470" bestFit="1" customWidth="1"/>
    <col min="9495" max="9497" width="0" style="470" hidden="1" customWidth="1"/>
    <col min="9498" max="9498" width="10.140625" style="470" bestFit="1" customWidth="1"/>
    <col min="9499" max="9499" width="9" style="470" bestFit="1" customWidth="1"/>
    <col min="9500" max="9502" width="7" style="470" bestFit="1" customWidth="1"/>
    <col min="9503" max="9503" width="11.7109375" style="470" customWidth="1"/>
    <col min="9504" max="9504" width="7" style="470" bestFit="1" customWidth="1"/>
    <col min="9505" max="9728" width="11.42578125" style="470"/>
    <col min="9729" max="9729" width="6.7109375" style="470" bestFit="1" customWidth="1"/>
    <col min="9730" max="9730" width="6.85546875" style="470" customWidth="1"/>
    <col min="9731" max="9731" width="32.42578125" style="470" customWidth="1"/>
    <col min="9732" max="9732" width="4.42578125" style="470" bestFit="1" customWidth="1"/>
    <col min="9733" max="9733" width="7" style="470" customWidth="1"/>
    <col min="9734" max="9734" width="6.5703125" style="470" bestFit="1" customWidth="1"/>
    <col min="9735" max="9735" width="6.42578125" style="470" bestFit="1" customWidth="1"/>
    <col min="9736" max="9736" width="3.5703125" style="470" bestFit="1" customWidth="1"/>
    <col min="9737" max="9737" width="9.5703125" style="470" bestFit="1" customWidth="1"/>
    <col min="9738" max="9739" width="0" style="470" hidden="1" customWidth="1"/>
    <col min="9740" max="9740" width="7.7109375" style="470" bestFit="1" customWidth="1"/>
    <col min="9741" max="9741" width="0" style="470" hidden="1" customWidth="1"/>
    <col min="9742" max="9742" width="9.42578125" style="470" bestFit="1" customWidth="1"/>
    <col min="9743" max="9743" width="10" style="470" bestFit="1" customWidth="1"/>
    <col min="9744" max="9747" width="0" style="470" hidden="1" customWidth="1"/>
    <col min="9748" max="9748" width="7.5703125" style="470" bestFit="1" customWidth="1"/>
    <col min="9749" max="9749" width="0" style="470" hidden="1" customWidth="1"/>
    <col min="9750" max="9750" width="10.140625" style="470" bestFit="1" customWidth="1"/>
    <col min="9751" max="9753" width="0" style="470" hidden="1" customWidth="1"/>
    <col min="9754" max="9754" width="10.140625" style="470" bestFit="1" customWidth="1"/>
    <col min="9755" max="9755" width="9" style="470" bestFit="1" customWidth="1"/>
    <col min="9756" max="9758" width="7" style="470" bestFit="1" customWidth="1"/>
    <col min="9759" max="9759" width="11.7109375" style="470" customWidth="1"/>
    <col min="9760" max="9760" width="7" style="470" bestFit="1" customWidth="1"/>
    <col min="9761" max="9984" width="11.42578125" style="470"/>
    <col min="9985" max="9985" width="6.7109375" style="470" bestFit="1" customWidth="1"/>
    <col min="9986" max="9986" width="6.85546875" style="470" customWidth="1"/>
    <col min="9987" max="9987" width="32.42578125" style="470" customWidth="1"/>
    <col min="9988" max="9988" width="4.42578125" style="470" bestFit="1" customWidth="1"/>
    <col min="9989" max="9989" width="7" style="470" customWidth="1"/>
    <col min="9990" max="9990" width="6.5703125" style="470" bestFit="1" customWidth="1"/>
    <col min="9991" max="9991" width="6.42578125" style="470" bestFit="1" customWidth="1"/>
    <col min="9992" max="9992" width="3.5703125" style="470" bestFit="1" customWidth="1"/>
    <col min="9993" max="9993" width="9.5703125" style="470" bestFit="1" customWidth="1"/>
    <col min="9994" max="9995" width="0" style="470" hidden="1" customWidth="1"/>
    <col min="9996" max="9996" width="7.7109375" style="470" bestFit="1" customWidth="1"/>
    <col min="9997" max="9997" width="0" style="470" hidden="1" customWidth="1"/>
    <col min="9998" max="9998" width="9.42578125" style="470" bestFit="1" customWidth="1"/>
    <col min="9999" max="9999" width="10" style="470" bestFit="1" customWidth="1"/>
    <col min="10000" max="10003" width="0" style="470" hidden="1" customWidth="1"/>
    <col min="10004" max="10004" width="7.5703125" style="470" bestFit="1" customWidth="1"/>
    <col min="10005" max="10005" width="0" style="470" hidden="1" customWidth="1"/>
    <col min="10006" max="10006" width="10.140625" style="470" bestFit="1" customWidth="1"/>
    <col min="10007" max="10009" width="0" style="470" hidden="1" customWidth="1"/>
    <col min="10010" max="10010" width="10.140625" style="470" bestFit="1" customWidth="1"/>
    <col min="10011" max="10011" width="9" style="470" bestFit="1" customWidth="1"/>
    <col min="10012" max="10014" width="7" style="470" bestFit="1" customWidth="1"/>
    <col min="10015" max="10015" width="11.7109375" style="470" customWidth="1"/>
    <col min="10016" max="10016" width="7" style="470" bestFit="1" customWidth="1"/>
    <col min="10017" max="10240" width="11.42578125" style="470"/>
    <col min="10241" max="10241" width="6.7109375" style="470" bestFit="1" customWidth="1"/>
    <col min="10242" max="10242" width="6.85546875" style="470" customWidth="1"/>
    <col min="10243" max="10243" width="32.42578125" style="470" customWidth="1"/>
    <col min="10244" max="10244" width="4.42578125" style="470" bestFit="1" customWidth="1"/>
    <col min="10245" max="10245" width="7" style="470" customWidth="1"/>
    <col min="10246" max="10246" width="6.5703125" style="470" bestFit="1" customWidth="1"/>
    <col min="10247" max="10247" width="6.42578125" style="470" bestFit="1" customWidth="1"/>
    <col min="10248" max="10248" width="3.5703125" style="470" bestFit="1" customWidth="1"/>
    <col min="10249" max="10249" width="9.5703125" style="470" bestFit="1" customWidth="1"/>
    <col min="10250" max="10251" width="0" style="470" hidden="1" customWidth="1"/>
    <col min="10252" max="10252" width="7.7109375" style="470" bestFit="1" customWidth="1"/>
    <col min="10253" max="10253" width="0" style="470" hidden="1" customWidth="1"/>
    <col min="10254" max="10254" width="9.42578125" style="470" bestFit="1" customWidth="1"/>
    <col min="10255" max="10255" width="10" style="470" bestFit="1" customWidth="1"/>
    <col min="10256" max="10259" width="0" style="470" hidden="1" customWidth="1"/>
    <col min="10260" max="10260" width="7.5703125" style="470" bestFit="1" customWidth="1"/>
    <col min="10261" max="10261" width="0" style="470" hidden="1" customWidth="1"/>
    <col min="10262" max="10262" width="10.140625" style="470" bestFit="1" customWidth="1"/>
    <col min="10263" max="10265" width="0" style="470" hidden="1" customWidth="1"/>
    <col min="10266" max="10266" width="10.140625" style="470" bestFit="1" customWidth="1"/>
    <col min="10267" max="10267" width="9" style="470" bestFit="1" customWidth="1"/>
    <col min="10268" max="10270" width="7" style="470" bestFit="1" customWidth="1"/>
    <col min="10271" max="10271" width="11.7109375" style="470" customWidth="1"/>
    <col min="10272" max="10272" width="7" style="470" bestFit="1" customWidth="1"/>
    <col min="10273" max="10496" width="11.42578125" style="470"/>
    <col min="10497" max="10497" width="6.7109375" style="470" bestFit="1" customWidth="1"/>
    <col min="10498" max="10498" width="6.85546875" style="470" customWidth="1"/>
    <col min="10499" max="10499" width="32.42578125" style="470" customWidth="1"/>
    <col min="10500" max="10500" width="4.42578125" style="470" bestFit="1" customWidth="1"/>
    <col min="10501" max="10501" width="7" style="470" customWidth="1"/>
    <col min="10502" max="10502" width="6.5703125" style="470" bestFit="1" customWidth="1"/>
    <col min="10503" max="10503" width="6.42578125" style="470" bestFit="1" customWidth="1"/>
    <col min="10504" max="10504" width="3.5703125" style="470" bestFit="1" customWidth="1"/>
    <col min="10505" max="10505" width="9.5703125" style="470" bestFit="1" customWidth="1"/>
    <col min="10506" max="10507" width="0" style="470" hidden="1" customWidth="1"/>
    <col min="10508" max="10508" width="7.7109375" style="470" bestFit="1" customWidth="1"/>
    <col min="10509" max="10509" width="0" style="470" hidden="1" customWidth="1"/>
    <col min="10510" max="10510" width="9.42578125" style="470" bestFit="1" customWidth="1"/>
    <col min="10511" max="10511" width="10" style="470" bestFit="1" customWidth="1"/>
    <col min="10512" max="10515" width="0" style="470" hidden="1" customWidth="1"/>
    <col min="10516" max="10516" width="7.5703125" style="470" bestFit="1" customWidth="1"/>
    <col min="10517" max="10517" width="0" style="470" hidden="1" customWidth="1"/>
    <col min="10518" max="10518" width="10.140625" style="470" bestFit="1" customWidth="1"/>
    <col min="10519" max="10521" width="0" style="470" hidden="1" customWidth="1"/>
    <col min="10522" max="10522" width="10.140625" style="470" bestFit="1" customWidth="1"/>
    <col min="10523" max="10523" width="9" style="470" bestFit="1" customWidth="1"/>
    <col min="10524" max="10526" width="7" style="470" bestFit="1" customWidth="1"/>
    <col min="10527" max="10527" width="11.7109375" style="470" customWidth="1"/>
    <col min="10528" max="10528" width="7" style="470" bestFit="1" customWidth="1"/>
    <col min="10529" max="10752" width="11.42578125" style="470"/>
    <col min="10753" max="10753" width="6.7109375" style="470" bestFit="1" customWidth="1"/>
    <col min="10754" max="10754" width="6.85546875" style="470" customWidth="1"/>
    <col min="10755" max="10755" width="32.42578125" style="470" customWidth="1"/>
    <col min="10756" max="10756" width="4.42578125" style="470" bestFit="1" customWidth="1"/>
    <col min="10757" max="10757" width="7" style="470" customWidth="1"/>
    <col min="10758" max="10758" width="6.5703125" style="470" bestFit="1" customWidth="1"/>
    <col min="10759" max="10759" width="6.42578125" style="470" bestFit="1" customWidth="1"/>
    <col min="10760" max="10760" width="3.5703125" style="470" bestFit="1" customWidth="1"/>
    <col min="10761" max="10761" width="9.5703125" style="470" bestFit="1" customWidth="1"/>
    <col min="10762" max="10763" width="0" style="470" hidden="1" customWidth="1"/>
    <col min="10764" max="10764" width="7.7109375" style="470" bestFit="1" customWidth="1"/>
    <col min="10765" max="10765" width="0" style="470" hidden="1" customWidth="1"/>
    <col min="10766" max="10766" width="9.42578125" style="470" bestFit="1" customWidth="1"/>
    <col min="10767" max="10767" width="10" style="470" bestFit="1" customWidth="1"/>
    <col min="10768" max="10771" width="0" style="470" hidden="1" customWidth="1"/>
    <col min="10772" max="10772" width="7.5703125" style="470" bestFit="1" customWidth="1"/>
    <col min="10773" max="10773" width="0" style="470" hidden="1" customWidth="1"/>
    <col min="10774" max="10774" width="10.140625" style="470" bestFit="1" customWidth="1"/>
    <col min="10775" max="10777" width="0" style="470" hidden="1" customWidth="1"/>
    <col min="10778" max="10778" width="10.140625" style="470" bestFit="1" customWidth="1"/>
    <col min="10779" max="10779" width="9" style="470" bestFit="1" customWidth="1"/>
    <col min="10780" max="10782" width="7" style="470" bestFit="1" customWidth="1"/>
    <col min="10783" max="10783" width="11.7109375" style="470" customWidth="1"/>
    <col min="10784" max="10784" width="7" style="470" bestFit="1" customWidth="1"/>
    <col min="10785" max="11008" width="11.42578125" style="470"/>
    <col min="11009" max="11009" width="6.7109375" style="470" bestFit="1" customWidth="1"/>
    <col min="11010" max="11010" width="6.85546875" style="470" customWidth="1"/>
    <col min="11011" max="11011" width="32.42578125" style="470" customWidth="1"/>
    <col min="11012" max="11012" width="4.42578125" style="470" bestFit="1" customWidth="1"/>
    <col min="11013" max="11013" width="7" style="470" customWidth="1"/>
    <col min="11014" max="11014" width="6.5703125" style="470" bestFit="1" customWidth="1"/>
    <col min="11015" max="11015" width="6.42578125" style="470" bestFit="1" customWidth="1"/>
    <col min="11016" max="11016" width="3.5703125" style="470" bestFit="1" customWidth="1"/>
    <col min="11017" max="11017" width="9.5703125" style="470" bestFit="1" customWidth="1"/>
    <col min="11018" max="11019" width="0" style="470" hidden="1" customWidth="1"/>
    <col min="11020" max="11020" width="7.7109375" style="470" bestFit="1" customWidth="1"/>
    <col min="11021" max="11021" width="0" style="470" hidden="1" customWidth="1"/>
    <col min="11022" max="11022" width="9.42578125" style="470" bestFit="1" customWidth="1"/>
    <col min="11023" max="11023" width="10" style="470" bestFit="1" customWidth="1"/>
    <col min="11024" max="11027" width="0" style="470" hidden="1" customWidth="1"/>
    <col min="11028" max="11028" width="7.5703125" style="470" bestFit="1" customWidth="1"/>
    <col min="11029" max="11029" width="0" style="470" hidden="1" customWidth="1"/>
    <col min="11030" max="11030" width="10.140625" style="470" bestFit="1" customWidth="1"/>
    <col min="11031" max="11033" width="0" style="470" hidden="1" customWidth="1"/>
    <col min="11034" max="11034" width="10.140625" style="470" bestFit="1" customWidth="1"/>
    <col min="11035" max="11035" width="9" style="470" bestFit="1" customWidth="1"/>
    <col min="11036" max="11038" width="7" style="470" bestFit="1" customWidth="1"/>
    <col min="11039" max="11039" width="11.7109375" style="470" customWidth="1"/>
    <col min="11040" max="11040" width="7" style="470" bestFit="1" customWidth="1"/>
    <col min="11041" max="11264" width="11.42578125" style="470"/>
    <col min="11265" max="11265" width="6.7109375" style="470" bestFit="1" customWidth="1"/>
    <col min="11266" max="11266" width="6.85546875" style="470" customWidth="1"/>
    <col min="11267" max="11267" width="32.42578125" style="470" customWidth="1"/>
    <col min="11268" max="11268" width="4.42578125" style="470" bestFit="1" customWidth="1"/>
    <col min="11269" max="11269" width="7" style="470" customWidth="1"/>
    <col min="11270" max="11270" width="6.5703125" style="470" bestFit="1" customWidth="1"/>
    <col min="11271" max="11271" width="6.42578125" style="470" bestFit="1" customWidth="1"/>
    <col min="11272" max="11272" width="3.5703125" style="470" bestFit="1" customWidth="1"/>
    <col min="11273" max="11273" width="9.5703125" style="470" bestFit="1" customWidth="1"/>
    <col min="11274" max="11275" width="0" style="470" hidden="1" customWidth="1"/>
    <col min="11276" max="11276" width="7.7109375" style="470" bestFit="1" customWidth="1"/>
    <col min="11277" max="11277" width="0" style="470" hidden="1" customWidth="1"/>
    <col min="11278" max="11278" width="9.42578125" style="470" bestFit="1" customWidth="1"/>
    <col min="11279" max="11279" width="10" style="470" bestFit="1" customWidth="1"/>
    <col min="11280" max="11283" width="0" style="470" hidden="1" customWidth="1"/>
    <col min="11284" max="11284" width="7.5703125" style="470" bestFit="1" customWidth="1"/>
    <col min="11285" max="11285" width="0" style="470" hidden="1" customWidth="1"/>
    <col min="11286" max="11286" width="10.140625" style="470" bestFit="1" customWidth="1"/>
    <col min="11287" max="11289" width="0" style="470" hidden="1" customWidth="1"/>
    <col min="11290" max="11290" width="10.140625" style="470" bestFit="1" customWidth="1"/>
    <col min="11291" max="11291" width="9" style="470" bestFit="1" customWidth="1"/>
    <col min="11292" max="11294" width="7" style="470" bestFit="1" customWidth="1"/>
    <col min="11295" max="11295" width="11.7109375" style="470" customWidth="1"/>
    <col min="11296" max="11296" width="7" style="470" bestFit="1" customWidth="1"/>
    <col min="11297" max="11520" width="11.42578125" style="470"/>
    <col min="11521" max="11521" width="6.7109375" style="470" bestFit="1" customWidth="1"/>
    <col min="11522" max="11522" width="6.85546875" style="470" customWidth="1"/>
    <col min="11523" max="11523" width="32.42578125" style="470" customWidth="1"/>
    <col min="11524" max="11524" width="4.42578125" style="470" bestFit="1" customWidth="1"/>
    <col min="11525" max="11525" width="7" style="470" customWidth="1"/>
    <col min="11526" max="11526" width="6.5703125" style="470" bestFit="1" customWidth="1"/>
    <col min="11527" max="11527" width="6.42578125" style="470" bestFit="1" customWidth="1"/>
    <col min="11528" max="11528" width="3.5703125" style="470" bestFit="1" customWidth="1"/>
    <col min="11529" max="11529" width="9.5703125" style="470" bestFit="1" customWidth="1"/>
    <col min="11530" max="11531" width="0" style="470" hidden="1" customWidth="1"/>
    <col min="11532" max="11532" width="7.7109375" style="470" bestFit="1" customWidth="1"/>
    <col min="11533" max="11533" width="0" style="470" hidden="1" customWidth="1"/>
    <col min="11534" max="11534" width="9.42578125" style="470" bestFit="1" customWidth="1"/>
    <col min="11535" max="11535" width="10" style="470" bestFit="1" customWidth="1"/>
    <col min="11536" max="11539" width="0" style="470" hidden="1" customWidth="1"/>
    <col min="11540" max="11540" width="7.5703125" style="470" bestFit="1" customWidth="1"/>
    <col min="11541" max="11541" width="0" style="470" hidden="1" customWidth="1"/>
    <col min="11542" max="11542" width="10.140625" style="470" bestFit="1" customWidth="1"/>
    <col min="11543" max="11545" width="0" style="470" hidden="1" customWidth="1"/>
    <col min="11546" max="11546" width="10.140625" style="470" bestFit="1" customWidth="1"/>
    <col min="11547" max="11547" width="9" style="470" bestFit="1" customWidth="1"/>
    <col min="11548" max="11550" width="7" style="470" bestFit="1" customWidth="1"/>
    <col min="11551" max="11551" width="11.7109375" style="470" customWidth="1"/>
    <col min="11552" max="11552" width="7" style="470" bestFit="1" customWidth="1"/>
    <col min="11553" max="11776" width="11.42578125" style="470"/>
    <col min="11777" max="11777" width="6.7109375" style="470" bestFit="1" customWidth="1"/>
    <col min="11778" max="11778" width="6.85546875" style="470" customWidth="1"/>
    <col min="11779" max="11779" width="32.42578125" style="470" customWidth="1"/>
    <col min="11780" max="11780" width="4.42578125" style="470" bestFit="1" customWidth="1"/>
    <col min="11781" max="11781" width="7" style="470" customWidth="1"/>
    <col min="11782" max="11782" width="6.5703125" style="470" bestFit="1" customWidth="1"/>
    <col min="11783" max="11783" width="6.42578125" style="470" bestFit="1" customWidth="1"/>
    <col min="11784" max="11784" width="3.5703125" style="470" bestFit="1" customWidth="1"/>
    <col min="11785" max="11785" width="9.5703125" style="470" bestFit="1" customWidth="1"/>
    <col min="11786" max="11787" width="0" style="470" hidden="1" customWidth="1"/>
    <col min="11788" max="11788" width="7.7109375" style="470" bestFit="1" customWidth="1"/>
    <col min="11789" max="11789" width="0" style="470" hidden="1" customWidth="1"/>
    <col min="11790" max="11790" width="9.42578125" style="470" bestFit="1" customWidth="1"/>
    <col min="11791" max="11791" width="10" style="470" bestFit="1" customWidth="1"/>
    <col min="11792" max="11795" width="0" style="470" hidden="1" customWidth="1"/>
    <col min="11796" max="11796" width="7.5703125" style="470" bestFit="1" customWidth="1"/>
    <col min="11797" max="11797" width="0" style="470" hidden="1" customWidth="1"/>
    <col min="11798" max="11798" width="10.140625" style="470" bestFit="1" customWidth="1"/>
    <col min="11799" max="11801" width="0" style="470" hidden="1" customWidth="1"/>
    <col min="11802" max="11802" width="10.140625" style="470" bestFit="1" customWidth="1"/>
    <col min="11803" max="11803" width="9" style="470" bestFit="1" customWidth="1"/>
    <col min="11804" max="11806" width="7" style="470" bestFit="1" customWidth="1"/>
    <col min="11807" max="11807" width="11.7109375" style="470" customWidth="1"/>
    <col min="11808" max="11808" width="7" style="470" bestFit="1" customWidth="1"/>
    <col min="11809" max="12032" width="11.42578125" style="470"/>
    <col min="12033" max="12033" width="6.7109375" style="470" bestFit="1" customWidth="1"/>
    <col min="12034" max="12034" width="6.85546875" style="470" customWidth="1"/>
    <col min="12035" max="12035" width="32.42578125" style="470" customWidth="1"/>
    <col min="12036" max="12036" width="4.42578125" style="470" bestFit="1" customWidth="1"/>
    <col min="12037" max="12037" width="7" style="470" customWidth="1"/>
    <col min="12038" max="12038" width="6.5703125" style="470" bestFit="1" customWidth="1"/>
    <col min="12039" max="12039" width="6.42578125" style="470" bestFit="1" customWidth="1"/>
    <col min="12040" max="12040" width="3.5703125" style="470" bestFit="1" customWidth="1"/>
    <col min="12041" max="12041" width="9.5703125" style="470" bestFit="1" customWidth="1"/>
    <col min="12042" max="12043" width="0" style="470" hidden="1" customWidth="1"/>
    <col min="12044" max="12044" width="7.7109375" style="470" bestFit="1" customWidth="1"/>
    <col min="12045" max="12045" width="0" style="470" hidden="1" customWidth="1"/>
    <col min="12046" max="12046" width="9.42578125" style="470" bestFit="1" customWidth="1"/>
    <col min="12047" max="12047" width="10" style="470" bestFit="1" customWidth="1"/>
    <col min="12048" max="12051" width="0" style="470" hidden="1" customWidth="1"/>
    <col min="12052" max="12052" width="7.5703125" style="470" bestFit="1" customWidth="1"/>
    <col min="12053" max="12053" width="0" style="470" hidden="1" customWidth="1"/>
    <col min="12054" max="12054" width="10.140625" style="470" bestFit="1" customWidth="1"/>
    <col min="12055" max="12057" width="0" style="470" hidden="1" customWidth="1"/>
    <col min="12058" max="12058" width="10.140625" style="470" bestFit="1" customWidth="1"/>
    <col min="12059" max="12059" width="9" style="470" bestFit="1" customWidth="1"/>
    <col min="12060" max="12062" width="7" style="470" bestFit="1" customWidth="1"/>
    <col min="12063" max="12063" width="11.7109375" style="470" customWidth="1"/>
    <col min="12064" max="12064" width="7" style="470" bestFit="1" customWidth="1"/>
    <col min="12065" max="12288" width="11.42578125" style="470"/>
    <col min="12289" max="12289" width="6.7109375" style="470" bestFit="1" customWidth="1"/>
    <col min="12290" max="12290" width="6.85546875" style="470" customWidth="1"/>
    <col min="12291" max="12291" width="32.42578125" style="470" customWidth="1"/>
    <col min="12292" max="12292" width="4.42578125" style="470" bestFit="1" customWidth="1"/>
    <col min="12293" max="12293" width="7" style="470" customWidth="1"/>
    <col min="12294" max="12294" width="6.5703125" style="470" bestFit="1" customWidth="1"/>
    <col min="12295" max="12295" width="6.42578125" style="470" bestFit="1" customWidth="1"/>
    <col min="12296" max="12296" width="3.5703125" style="470" bestFit="1" customWidth="1"/>
    <col min="12297" max="12297" width="9.5703125" style="470" bestFit="1" customWidth="1"/>
    <col min="12298" max="12299" width="0" style="470" hidden="1" customWidth="1"/>
    <col min="12300" max="12300" width="7.7109375" style="470" bestFit="1" customWidth="1"/>
    <col min="12301" max="12301" width="0" style="470" hidden="1" customWidth="1"/>
    <col min="12302" max="12302" width="9.42578125" style="470" bestFit="1" customWidth="1"/>
    <col min="12303" max="12303" width="10" style="470" bestFit="1" customWidth="1"/>
    <col min="12304" max="12307" width="0" style="470" hidden="1" customWidth="1"/>
    <col min="12308" max="12308" width="7.5703125" style="470" bestFit="1" customWidth="1"/>
    <col min="12309" max="12309" width="0" style="470" hidden="1" customWidth="1"/>
    <col min="12310" max="12310" width="10.140625" style="470" bestFit="1" customWidth="1"/>
    <col min="12311" max="12313" width="0" style="470" hidden="1" customWidth="1"/>
    <col min="12314" max="12314" width="10.140625" style="470" bestFit="1" customWidth="1"/>
    <col min="12315" max="12315" width="9" style="470" bestFit="1" customWidth="1"/>
    <col min="12316" max="12318" width="7" style="470" bestFit="1" customWidth="1"/>
    <col min="12319" max="12319" width="11.7109375" style="470" customWidth="1"/>
    <col min="12320" max="12320" width="7" style="470" bestFit="1" customWidth="1"/>
    <col min="12321" max="12544" width="11.42578125" style="470"/>
    <col min="12545" max="12545" width="6.7109375" style="470" bestFit="1" customWidth="1"/>
    <col min="12546" max="12546" width="6.85546875" style="470" customWidth="1"/>
    <col min="12547" max="12547" width="32.42578125" style="470" customWidth="1"/>
    <col min="12548" max="12548" width="4.42578125" style="470" bestFit="1" customWidth="1"/>
    <col min="12549" max="12549" width="7" style="470" customWidth="1"/>
    <col min="12550" max="12550" width="6.5703125" style="470" bestFit="1" customWidth="1"/>
    <col min="12551" max="12551" width="6.42578125" style="470" bestFit="1" customWidth="1"/>
    <col min="12552" max="12552" width="3.5703125" style="470" bestFit="1" customWidth="1"/>
    <col min="12553" max="12553" width="9.5703125" style="470" bestFit="1" customWidth="1"/>
    <col min="12554" max="12555" width="0" style="470" hidden="1" customWidth="1"/>
    <col min="12556" max="12556" width="7.7109375" style="470" bestFit="1" customWidth="1"/>
    <col min="12557" max="12557" width="0" style="470" hidden="1" customWidth="1"/>
    <col min="12558" max="12558" width="9.42578125" style="470" bestFit="1" customWidth="1"/>
    <col min="12559" max="12559" width="10" style="470" bestFit="1" customWidth="1"/>
    <col min="12560" max="12563" width="0" style="470" hidden="1" customWidth="1"/>
    <col min="12564" max="12564" width="7.5703125" style="470" bestFit="1" customWidth="1"/>
    <col min="12565" max="12565" width="0" style="470" hidden="1" customWidth="1"/>
    <col min="12566" max="12566" width="10.140625" style="470" bestFit="1" customWidth="1"/>
    <col min="12567" max="12569" width="0" style="470" hidden="1" customWidth="1"/>
    <col min="12570" max="12570" width="10.140625" style="470" bestFit="1" customWidth="1"/>
    <col min="12571" max="12571" width="9" style="470" bestFit="1" customWidth="1"/>
    <col min="12572" max="12574" width="7" style="470" bestFit="1" customWidth="1"/>
    <col min="12575" max="12575" width="11.7109375" style="470" customWidth="1"/>
    <col min="12576" max="12576" width="7" style="470" bestFit="1" customWidth="1"/>
    <col min="12577" max="12800" width="11.42578125" style="470"/>
    <col min="12801" max="12801" width="6.7109375" style="470" bestFit="1" customWidth="1"/>
    <col min="12802" max="12802" width="6.85546875" style="470" customWidth="1"/>
    <col min="12803" max="12803" width="32.42578125" style="470" customWidth="1"/>
    <col min="12804" max="12804" width="4.42578125" style="470" bestFit="1" customWidth="1"/>
    <col min="12805" max="12805" width="7" style="470" customWidth="1"/>
    <col min="12806" max="12806" width="6.5703125" style="470" bestFit="1" customWidth="1"/>
    <col min="12807" max="12807" width="6.42578125" style="470" bestFit="1" customWidth="1"/>
    <col min="12808" max="12808" width="3.5703125" style="470" bestFit="1" customWidth="1"/>
    <col min="12809" max="12809" width="9.5703125" style="470" bestFit="1" customWidth="1"/>
    <col min="12810" max="12811" width="0" style="470" hidden="1" customWidth="1"/>
    <col min="12812" max="12812" width="7.7109375" style="470" bestFit="1" customWidth="1"/>
    <col min="12813" max="12813" width="0" style="470" hidden="1" customWidth="1"/>
    <col min="12814" max="12814" width="9.42578125" style="470" bestFit="1" customWidth="1"/>
    <col min="12815" max="12815" width="10" style="470" bestFit="1" customWidth="1"/>
    <col min="12816" max="12819" width="0" style="470" hidden="1" customWidth="1"/>
    <col min="12820" max="12820" width="7.5703125" style="470" bestFit="1" customWidth="1"/>
    <col min="12821" max="12821" width="0" style="470" hidden="1" customWidth="1"/>
    <col min="12822" max="12822" width="10.140625" style="470" bestFit="1" customWidth="1"/>
    <col min="12823" max="12825" width="0" style="470" hidden="1" customWidth="1"/>
    <col min="12826" max="12826" width="10.140625" style="470" bestFit="1" customWidth="1"/>
    <col min="12827" max="12827" width="9" style="470" bestFit="1" customWidth="1"/>
    <col min="12828" max="12830" width="7" style="470" bestFit="1" customWidth="1"/>
    <col min="12831" max="12831" width="11.7109375" style="470" customWidth="1"/>
    <col min="12832" max="12832" width="7" style="470" bestFit="1" customWidth="1"/>
    <col min="12833" max="13056" width="11.42578125" style="470"/>
    <col min="13057" max="13057" width="6.7109375" style="470" bestFit="1" customWidth="1"/>
    <col min="13058" max="13058" width="6.85546875" style="470" customWidth="1"/>
    <col min="13059" max="13059" width="32.42578125" style="470" customWidth="1"/>
    <col min="13060" max="13060" width="4.42578125" style="470" bestFit="1" customWidth="1"/>
    <col min="13061" max="13061" width="7" style="470" customWidth="1"/>
    <col min="13062" max="13062" width="6.5703125" style="470" bestFit="1" customWidth="1"/>
    <col min="13063" max="13063" width="6.42578125" style="470" bestFit="1" customWidth="1"/>
    <col min="13064" max="13064" width="3.5703125" style="470" bestFit="1" customWidth="1"/>
    <col min="13065" max="13065" width="9.5703125" style="470" bestFit="1" customWidth="1"/>
    <col min="13066" max="13067" width="0" style="470" hidden="1" customWidth="1"/>
    <col min="13068" max="13068" width="7.7109375" style="470" bestFit="1" customWidth="1"/>
    <col min="13069" max="13069" width="0" style="470" hidden="1" customWidth="1"/>
    <col min="13070" max="13070" width="9.42578125" style="470" bestFit="1" customWidth="1"/>
    <col min="13071" max="13071" width="10" style="470" bestFit="1" customWidth="1"/>
    <col min="13072" max="13075" width="0" style="470" hidden="1" customWidth="1"/>
    <col min="13076" max="13076" width="7.5703125" style="470" bestFit="1" customWidth="1"/>
    <col min="13077" max="13077" width="0" style="470" hidden="1" customWidth="1"/>
    <col min="13078" max="13078" width="10.140625" style="470" bestFit="1" customWidth="1"/>
    <col min="13079" max="13081" width="0" style="470" hidden="1" customWidth="1"/>
    <col min="13082" max="13082" width="10.140625" style="470" bestFit="1" customWidth="1"/>
    <col min="13083" max="13083" width="9" style="470" bestFit="1" customWidth="1"/>
    <col min="13084" max="13086" width="7" style="470" bestFit="1" customWidth="1"/>
    <col min="13087" max="13087" width="11.7109375" style="470" customWidth="1"/>
    <col min="13088" max="13088" width="7" style="470" bestFit="1" customWidth="1"/>
    <col min="13089" max="13312" width="11.42578125" style="470"/>
    <col min="13313" max="13313" width="6.7109375" style="470" bestFit="1" customWidth="1"/>
    <col min="13314" max="13314" width="6.85546875" style="470" customWidth="1"/>
    <col min="13315" max="13315" width="32.42578125" style="470" customWidth="1"/>
    <col min="13316" max="13316" width="4.42578125" style="470" bestFit="1" customWidth="1"/>
    <col min="13317" max="13317" width="7" style="470" customWidth="1"/>
    <col min="13318" max="13318" width="6.5703125" style="470" bestFit="1" customWidth="1"/>
    <col min="13319" max="13319" width="6.42578125" style="470" bestFit="1" customWidth="1"/>
    <col min="13320" max="13320" width="3.5703125" style="470" bestFit="1" customWidth="1"/>
    <col min="13321" max="13321" width="9.5703125" style="470" bestFit="1" customWidth="1"/>
    <col min="13322" max="13323" width="0" style="470" hidden="1" customWidth="1"/>
    <col min="13324" max="13324" width="7.7109375" style="470" bestFit="1" customWidth="1"/>
    <col min="13325" max="13325" width="0" style="470" hidden="1" customWidth="1"/>
    <col min="13326" max="13326" width="9.42578125" style="470" bestFit="1" customWidth="1"/>
    <col min="13327" max="13327" width="10" style="470" bestFit="1" customWidth="1"/>
    <col min="13328" max="13331" width="0" style="470" hidden="1" customWidth="1"/>
    <col min="13332" max="13332" width="7.5703125" style="470" bestFit="1" customWidth="1"/>
    <col min="13333" max="13333" width="0" style="470" hidden="1" customWidth="1"/>
    <col min="13334" max="13334" width="10.140625" style="470" bestFit="1" customWidth="1"/>
    <col min="13335" max="13337" width="0" style="470" hidden="1" customWidth="1"/>
    <col min="13338" max="13338" width="10.140625" style="470" bestFit="1" customWidth="1"/>
    <col min="13339" max="13339" width="9" style="470" bestFit="1" customWidth="1"/>
    <col min="13340" max="13342" width="7" style="470" bestFit="1" customWidth="1"/>
    <col min="13343" max="13343" width="11.7109375" style="470" customWidth="1"/>
    <col min="13344" max="13344" width="7" style="470" bestFit="1" customWidth="1"/>
    <col min="13345" max="13568" width="11.42578125" style="470"/>
    <col min="13569" max="13569" width="6.7109375" style="470" bestFit="1" customWidth="1"/>
    <col min="13570" max="13570" width="6.85546875" style="470" customWidth="1"/>
    <col min="13571" max="13571" width="32.42578125" style="470" customWidth="1"/>
    <col min="13572" max="13572" width="4.42578125" style="470" bestFit="1" customWidth="1"/>
    <col min="13573" max="13573" width="7" style="470" customWidth="1"/>
    <col min="13574" max="13574" width="6.5703125" style="470" bestFit="1" customWidth="1"/>
    <col min="13575" max="13575" width="6.42578125" style="470" bestFit="1" customWidth="1"/>
    <col min="13576" max="13576" width="3.5703125" style="470" bestFit="1" customWidth="1"/>
    <col min="13577" max="13577" width="9.5703125" style="470" bestFit="1" customWidth="1"/>
    <col min="13578" max="13579" width="0" style="470" hidden="1" customWidth="1"/>
    <col min="13580" max="13580" width="7.7109375" style="470" bestFit="1" customWidth="1"/>
    <col min="13581" max="13581" width="0" style="470" hidden="1" customWidth="1"/>
    <col min="13582" max="13582" width="9.42578125" style="470" bestFit="1" customWidth="1"/>
    <col min="13583" max="13583" width="10" style="470" bestFit="1" customWidth="1"/>
    <col min="13584" max="13587" width="0" style="470" hidden="1" customWidth="1"/>
    <col min="13588" max="13588" width="7.5703125" style="470" bestFit="1" customWidth="1"/>
    <col min="13589" max="13589" width="0" style="470" hidden="1" customWidth="1"/>
    <col min="13590" max="13590" width="10.140625" style="470" bestFit="1" customWidth="1"/>
    <col min="13591" max="13593" width="0" style="470" hidden="1" customWidth="1"/>
    <col min="13594" max="13594" width="10.140625" style="470" bestFit="1" customWidth="1"/>
    <col min="13595" max="13595" width="9" style="470" bestFit="1" customWidth="1"/>
    <col min="13596" max="13598" width="7" style="470" bestFit="1" customWidth="1"/>
    <col min="13599" max="13599" width="11.7109375" style="470" customWidth="1"/>
    <col min="13600" max="13600" width="7" style="470" bestFit="1" customWidth="1"/>
    <col min="13601" max="13824" width="11.42578125" style="470"/>
    <col min="13825" max="13825" width="6.7109375" style="470" bestFit="1" customWidth="1"/>
    <col min="13826" max="13826" width="6.85546875" style="470" customWidth="1"/>
    <col min="13827" max="13827" width="32.42578125" style="470" customWidth="1"/>
    <col min="13828" max="13828" width="4.42578125" style="470" bestFit="1" customWidth="1"/>
    <col min="13829" max="13829" width="7" style="470" customWidth="1"/>
    <col min="13830" max="13830" width="6.5703125" style="470" bestFit="1" customWidth="1"/>
    <col min="13831" max="13831" width="6.42578125" style="470" bestFit="1" customWidth="1"/>
    <col min="13832" max="13832" width="3.5703125" style="470" bestFit="1" customWidth="1"/>
    <col min="13833" max="13833" width="9.5703125" style="470" bestFit="1" customWidth="1"/>
    <col min="13834" max="13835" width="0" style="470" hidden="1" customWidth="1"/>
    <col min="13836" max="13836" width="7.7109375" style="470" bestFit="1" customWidth="1"/>
    <col min="13837" max="13837" width="0" style="470" hidden="1" customWidth="1"/>
    <col min="13838" max="13838" width="9.42578125" style="470" bestFit="1" customWidth="1"/>
    <col min="13839" max="13839" width="10" style="470" bestFit="1" customWidth="1"/>
    <col min="13840" max="13843" width="0" style="470" hidden="1" customWidth="1"/>
    <col min="13844" max="13844" width="7.5703125" style="470" bestFit="1" customWidth="1"/>
    <col min="13845" max="13845" width="0" style="470" hidden="1" customWidth="1"/>
    <col min="13846" max="13846" width="10.140625" style="470" bestFit="1" customWidth="1"/>
    <col min="13847" max="13849" width="0" style="470" hidden="1" customWidth="1"/>
    <col min="13850" max="13850" width="10.140625" style="470" bestFit="1" customWidth="1"/>
    <col min="13851" max="13851" width="9" style="470" bestFit="1" customWidth="1"/>
    <col min="13852" max="13854" width="7" style="470" bestFit="1" customWidth="1"/>
    <col min="13855" max="13855" width="11.7109375" style="470" customWidth="1"/>
    <col min="13856" max="13856" width="7" style="470" bestFit="1" customWidth="1"/>
    <col min="13857" max="14080" width="11.42578125" style="470"/>
    <col min="14081" max="14081" width="6.7109375" style="470" bestFit="1" customWidth="1"/>
    <col min="14082" max="14082" width="6.85546875" style="470" customWidth="1"/>
    <col min="14083" max="14083" width="32.42578125" style="470" customWidth="1"/>
    <col min="14084" max="14084" width="4.42578125" style="470" bestFit="1" customWidth="1"/>
    <col min="14085" max="14085" width="7" style="470" customWidth="1"/>
    <col min="14086" max="14086" width="6.5703125" style="470" bestFit="1" customWidth="1"/>
    <col min="14087" max="14087" width="6.42578125" style="470" bestFit="1" customWidth="1"/>
    <col min="14088" max="14088" width="3.5703125" style="470" bestFit="1" customWidth="1"/>
    <col min="14089" max="14089" width="9.5703125" style="470" bestFit="1" customWidth="1"/>
    <col min="14090" max="14091" width="0" style="470" hidden="1" customWidth="1"/>
    <col min="14092" max="14092" width="7.7109375" style="470" bestFit="1" customWidth="1"/>
    <col min="14093" max="14093" width="0" style="470" hidden="1" customWidth="1"/>
    <col min="14094" max="14094" width="9.42578125" style="470" bestFit="1" customWidth="1"/>
    <col min="14095" max="14095" width="10" style="470" bestFit="1" customWidth="1"/>
    <col min="14096" max="14099" width="0" style="470" hidden="1" customWidth="1"/>
    <col min="14100" max="14100" width="7.5703125" style="470" bestFit="1" customWidth="1"/>
    <col min="14101" max="14101" width="0" style="470" hidden="1" customWidth="1"/>
    <col min="14102" max="14102" width="10.140625" style="470" bestFit="1" customWidth="1"/>
    <col min="14103" max="14105" width="0" style="470" hidden="1" customWidth="1"/>
    <col min="14106" max="14106" width="10.140625" style="470" bestFit="1" customWidth="1"/>
    <col min="14107" max="14107" width="9" style="470" bestFit="1" customWidth="1"/>
    <col min="14108" max="14110" width="7" style="470" bestFit="1" customWidth="1"/>
    <col min="14111" max="14111" width="11.7109375" style="470" customWidth="1"/>
    <col min="14112" max="14112" width="7" style="470" bestFit="1" customWidth="1"/>
    <col min="14113" max="14336" width="11.42578125" style="470"/>
    <col min="14337" max="14337" width="6.7109375" style="470" bestFit="1" customWidth="1"/>
    <col min="14338" max="14338" width="6.85546875" style="470" customWidth="1"/>
    <col min="14339" max="14339" width="32.42578125" style="470" customWidth="1"/>
    <col min="14340" max="14340" width="4.42578125" style="470" bestFit="1" customWidth="1"/>
    <col min="14341" max="14341" width="7" style="470" customWidth="1"/>
    <col min="14342" max="14342" width="6.5703125" style="470" bestFit="1" customWidth="1"/>
    <col min="14343" max="14343" width="6.42578125" style="470" bestFit="1" customWidth="1"/>
    <col min="14344" max="14344" width="3.5703125" style="470" bestFit="1" customWidth="1"/>
    <col min="14345" max="14345" width="9.5703125" style="470" bestFit="1" customWidth="1"/>
    <col min="14346" max="14347" width="0" style="470" hidden="1" customWidth="1"/>
    <col min="14348" max="14348" width="7.7109375" style="470" bestFit="1" customWidth="1"/>
    <col min="14349" max="14349" width="0" style="470" hidden="1" customWidth="1"/>
    <col min="14350" max="14350" width="9.42578125" style="470" bestFit="1" customWidth="1"/>
    <col min="14351" max="14351" width="10" style="470" bestFit="1" customWidth="1"/>
    <col min="14352" max="14355" width="0" style="470" hidden="1" customWidth="1"/>
    <col min="14356" max="14356" width="7.5703125" style="470" bestFit="1" customWidth="1"/>
    <col min="14357" max="14357" width="0" style="470" hidden="1" customWidth="1"/>
    <col min="14358" max="14358" width="10.140625" style="470" bestFit="1" customWidth="1"/>
    <col min="14359" max="14361" width="0" style="470" hidden="1" customWidth="1"/>
    <col min="14362" max="14362" width="10.140625" style="470" bestFit="1" customWidth="1"/>
    <col min="14363" max="14363" width="9" style="470" bestFit="1" customWidth="1"/>
    <col min="14364" max="14366" width="7" style="470" bestFit="1" customWidth="1"/>
    <col min="14367" max="14367" width="11.7109375" style="470" customWidth="1"/>
    <col min="14368" max="14368" width="7" style="470" bestFit="1" customWidth="1"/>
    <col min="14369" max="14592" width="11.42578125" style="470"/>
    <col min="14593" max="14593" width="6.7109375" style="470" bestFit="1" customWidth="1"/>
    <col min="14594" max="14594" width="6.85546875" style="470" customWidth="1"/>
    <col min="14595" max="14595" width="32.42578125" style="470" customWidth="1"/>
    <col min="14596" max="14596" width="4.42578125" style="470" bestFit="1" customWidth="1"/>
    <col min="14597" max="14597" width="7" style="470" customWidth="1"/>
    <col min="14598" max="14598" width="6.5703125" style="470" bestFit="1" customWidth="1"/>
    <col min="14599" max="14599" width="6.42578125" style="470" bestFit="1" customWidth="1"/>
    <col min="14600" max="14600" width="3.5703125" style="470" bestFit="1" customWidth="1"/>
    <col min="14601" max="14601" width="9.5703125" style="470" bestFit="1" customWidth="1"/>
    <col min="14602" max="14603" width="0" style="470" hidden="1" customWidth="1"/>
    <col min="14604" max="14604" width="7.7109375" style="470" bestFit="1" customWidth="1"/>
    <col min="14605" max="14605" width="0" style="470" hidden="1" customWidth="1"/>
    <col min="14606" max="14606" width="9.42578125" style="470" bestFit="1" customWidth="1"/>
    <col min="14607" max="14607" width="10" style="470" bestFit="1" customWidth="1"/>
    <col min="14608" max="14611" width="0" style="470" hidden="1" customWidth="1"/>
    <col min="14612" max="14612" width="7.5703125" style="470" bestFit="1" customWidth="1"/>
    <col min="14613" max="14613" width="0" style="470" hidden="1" customWidth="1"/>
    <col min="14614" max="14614" width="10.140625" style="470" bestFit="1" customWidth="1"/>
    <col min="14615" max="14617" width="0" style="470" hidden="1" customWidth="1"/>
    <col min="14618" max="14618" width="10.140625" style="470" bestFit="1" customWidth="1"/>
    <col min="14619" max="14619" width="9" style="470" bestFit="1" customWidth="1"/>
    <col min="14620" max="14622" width="7" style="470" bestFit="1" customWidth="1"/>
    <col min="14623" max="14623" width="11.7109375" style="470" customWidth="1"/>
    <col min="14624" max="14624" width="7" style="470" bestFit="1" customWidth="1"/>
    <col min="14625" max="14848" width="11.42578125" style="470"/>
    <col min="14849" max="14849" width="6.7109375" style="470" bestFit="1" customWidth="1"/>
    <col min="14850" max="14850" width="6.85546875" style="470" customWidth="1"/>
    <col min="14851" max="14851" width="32.42578125" style="470" customWidth="1"/>
    <col min="14852" max="14852" width="4.42578125" style="470" bestFit="1" customWidth="1"/>
    <col min="14853" max="14853" width="7" style="470" customWidth="1"/>
    <col min="14854" max="14854" width="6.5703125" style="470" bestFit="1" customWidth="1"/>
    <col min="14855" max="14855" width="6.42578125" style="470" bestFit="1" customWidth="1"/>
    <col min="14856" max="14856" width="3.5703125" style="470" bestFit="1" customWidth="1"/>
    <col min="14857" max="14857" width="9.5703125" style="470" bestFit="1" customWidth="1"/>
    <col min="14858" max="14859" width="0" style="470" hidden="1" customWidth="1"/>
    <col min="14860" max="14860" width="7.7109375" style="470" bestFit="1" customWidth="1"/>
    <col min="14861" max="14861" width="0" style="470" hidden="1" customWidth="1"/>
    <col min="14862" max="14862" width="9.42578125" style="470" bestFit="1" customWidth="1"/>
    <col min="14863" max="14863" width="10" style="470" bestFit="1" customWidth="1"/>
    <col min="14864" max="14867" width="0" style="470" hidden="1" customWidth="1"/>
    <col min="14868" max="14868" width="7.5703125" style="470" bestFit="1" customWidth="1"/>
    <col min="14869" max="14869" width="0" style="470" hidden="1" customWidth="1"/>
    <col min="14870" max="14870" width="10.140625" style="470" bestFit="1" customWidth="1"/>
    <col min="14871" max="14873" width="0" style="470" hidden="1" customWidth="1"/>
    <col min="14874" max="14874" width="10.140625" style="470" bestFit="1" customWidth="1"/>
    <col min="14875" max="14875" width="9" style="470" bestFit="1" customWidth="1"/>
    <col min="14876" max="14878" width="7" style="470" bestFit="1" customWidth="1"/>
    <col min="14879" max="14879" width="11.7109375" style="470" customWidth="1"/>
    <col min="14880" max="14880" width="7" style="470" bestFit="1" customWidth="1"/>
    <col min="14881" max="15104" width="11.42578125" style="470"/>
    <col min="15105" max="15105" width="6.7109375" style="470" bestFit="1" customWidth="1"/>
    <col min="15106" max="15106" width="6.85546875" style="470" customWidth="1"/>
    <col min="15107" max="15107" width="32.42578125" style="470" customWidth="1"/>
    <col min="15108" max="15108" width="4.42578125" style="470" bestFit="1" customWidth="1"/>
    <col min="15109" max="15109" width="7" style="470" customWidth="1"/>
    <col min="15110" max="15110" width="6.5703125" style="470" bestFit="1" customWidth="1"/>
    <col min="15111" max="15111" width="6.42578125" style="470" bestFit="1" customWidth="1"/>
    <col min="15112" max="15112" width="3.5703125" style="470" bestFit="1" customWidth="1"/>
    <col min="15113" max="15113" width="9.5703125" style="470" bestFit="1" customWidth="1"/>
    <col min="15114" max="15115" width="0" style="470" hidden="1" customWidth="1"/>
    <col min="15116" max="15116" width="7.7109375" style="470" bestFit="1" customWidth="1"/>
    <col min="15117" max="15117" width="0" style="470" hidden="1" customWidth="1"/>
    <col min="15118" max="15118" width="9.42578125" style="470" bestFit="1" customWidth="1"/>
    <col min="15119" max="15119" width="10" style="470" bestFit="1" customWidth="1"/>
    <col min="15120" max="15123" width="0" style="470" hidden="1" customWidth="1"/>
    <col min="15124" max="15124" width="7.5703125" style="470" bestFit="1" customWidth="1"/>
    <col min="15125" max="15125" width="0" style="470" hidden="1" customWidth="1"/>
    <col min="15126" max="15126" width="10.140625" style="470" bestFit="1" customWidth="1"/>
    <col min="15127" max="15129" width="0" style="470" hidden="1" customWidth="1"/>
    <col min="15130" max="15130" width="10.140625" style="470" bestFit="1" customWidth="1"/>
    <col min="15131" max="15131" width="9" style="470" bestFit="1" customWidth="1"/>
    <col min="15132" max="15134" width="7" style="470" bestFit="1" customWidth="1"/>
    <col min="15135" max="15135" width="11.7109375" style="470" customWidth="1"/>
    <col min="15136" max="15136" width="7" style="470" bestFit="1" customWidth="1"/>
    <col min="15137" max="15360" width="11.42578125" style="470"/>
    <col min="15361" max="15361" width="6.7109375" style="470" bestFit="1" customWidth="1"/>
    <col min="15362" max="15362" width="6.85546875" style="470" customWidth="1"/>
    <col min="15363" max="15363" width="32.42578125" style="470" customWidth="1"/>
    <col min="15364" max="15364" width="4.42578125" style="470" bestFit="1" customWidth="1"/>
    <col min="15365" max="15365" width="7" style="470" customWidth="1"/>
    <col min="15366" max="15366" width="6.5703125" style="470" bestFit="1" customWidth="1"/>
    <col min="15367" max="15367" width="6.42578125" style="470" bestFit="1" customWidth="1"/>
    <col min="15368" max="15368" width="3.5703125" style="470" bestFit="1" customWidth="1"/>
    <col min="15369" max="15369" width="9.5703125" style="470" bestFit="1" customWidth="1"/>
    <col min="15370" max="15371" width="0" style="470" hidden="1" customWidth="1"/>
    <col min="15372" max="15372" width="7.7109375" style="470" bestFit="1" customWidth="1"/>
    <col min="15373" max="15373" width="0" style="470" hidden="1" customWidth="1"/>
    <col min="15374" max="15374" width="9.42578125" style="470" bestFit="1" customWidth="1"/>
    <col min="15375" max="15375" width="10" style="470" bestFit="1" customWidth="1"/>
    <col min="15376" max="15379" width="0" style="470" hidden="1" customWidth="1"/>
    <col min="15380" max="15380" width="7.5703125" style="470" bestFit="1" customWidth="1"/>
    <col min="15381" max="15381" width="0" style="470" hidden="1" customWidth="1"/>
    <col min="15382" max="15382" width="10.140625" style="470" bestFit="1" customWidth="1"/>
    <col min="15383" max="15385" width="0" style="470" hidden="1" customWidth="1"/>
    <col min="15386" max="15386" width="10.140625" style="470" bestFit="1" customWidth="1"/>
    <col min="15387" max="15387" width="9" style="470" bestFit="1" customWidth="1"/>
    <col min="15388" max="15390" width="7" style="470" bestFit="1" customWidth="1"/>
    <col min="15391" max="15391" width="11.7109375" style="470" customWidth="1"/>
    <col min="15392" max="15392" width="7" style="470" bestFit="1" customWidth="1"/>
    <col min="15393" max="15616" width="11.42578125" style="470"/>
    <col min="15617" max="15617" width="6.7109375" style="470" bestFit="1" customWidth="1"/>
    <col min="15618" max="15618" width="6.85546875" style="470" customWidth="1"/>
    <col min="15619" max="15619" width="32.42578125" style="470" customWidth="1"/>
    <col min="15620" max="15620" width="4.42578125" style="470" bestFit="1" customWidth="1"/>
    <col min="15621" max="15621" width="7" style="470" customWidth="1"/>
    <col min="15622" max="15622" width="6.5703125" style="470" bestFit="1" customWidth="1"/>
    <col min="15623" max="15623" width="6.42578125" style="470" bestFit="1" customWidth="1"/>
    <col min="15624" max="15624" width="3.5703125" style="470" bestFit="1" customWidth="1"/>
    <col min="15625" max="15625" width="9.5703125" style="470" bestFit="1" customWidth="1"/>
    <col min="15626" max="15627" width="0" style="470" hidden="1" customWidth="1"/>
    <col min="15628" max="15628" width="7.7109375" style="470" bestFit="1" customWidth="1"/>
    <col min="15629" max="15629" width="0" style="470" hidden="1" customWidth="1"/>
    <col min="15630" max="15630" width="9.42578125" style="470" bestFit="1" customWidth="1"/>
    <col min="15631" max="15631" width="10" style="470" bestFit="1" customWidth="1"/>
    <col min="15632" max="15635" width="0" style="470" hidden="1" customWidth="1"/>
    <col min="15636" max="15636" width="7.5703125" style="470" bestFit="1" customWidth="1"/>
    <col min="15637" max="15637" width="0" style="470" hidden="1" customWidth="1"/>
    <col min="15638" max="15638" width="10.140625" style="470" bestFit="1" customWidth="1"/>
    <col min="15639" max="15641" width="0" style="470" hidden="1" customWidth="1"/>
    <col min="15642" max="15642" width="10.140625" style="470" bestFit="1" customWidth="1"/>
    <col min="15643" max="15643" width="9" style="470" bestFit="1" customWidth="1"/>
    <col min="15644" max="15646" width="7" style="470" bestFit="1" customWidth="1"/>
    <col min="15647" max="15647" width="11.7109375" style="470" customWidth="1"/>
    <col min="15648" max="15648" width="7" style="470" bestFit="1" customWidth="1"/>
    <col min="15649" max="15872" width="11.42578125" style="470"/>
    <col min="15873" max="15873" width="6.7109375" style="470" bestFit="1" customWidth="1"/>
    <col min="15874" max="15874" width="6.85546875" style="470" customWidth="1"/>
    <col min="15875" max="15875" width="32.42578125" style="470" customWidth="1"/>
    <col min="15876" max="15876" width="4.42578125" style="470" bestFit="1" customWidth="1"/>
    <col min="15877" max="15877" width="7" style="470" customWidth="1"/>
    <col min="15878" max="15878" width="6.5703125" style="470" bestFit="1" customWidth="1"/>
    <col min="15879" max="15879" width="6.42578125" style="470" bestFit="1" customWidth="1"/>
    <col min="15880" max="15880" width="3.5703125" style="470" bestFit="1" customWidth="1"/>
    <col min="15881" max="15881" width="9.5703125" style="470" bestFit="1" customWidth="1"/>
    <col min="15882" max="15883" width="0" style="470" hidden="1" customWidth="1"/>
    <col min="15884" max="15884" width="7.7109375" style="470" bestFit="1" customWidth="1"/>
    <col min="15885" max="15885" width="0" style="470" hidden="1" customWidth="1"/>
    <col min="15886" max="15886" width="9.42578125" style="470" bestFit="1" customWidth="1"/>
    <col min="15887" max="15887" width="10" style="470" bestFit="1" customWidth="1"/>
    <col min="15888" max="15891" width="0" style="470" hidden="1" customWidth="1"/>
    <col min="15892" max="15892" width="7.5703125" style="470" bestFit="1" customWidth="1"/>
    <col min="15893" max="15893" width="0" style="470" hidden="1" customWidth="1"/>
    <col min="15894" max="15894" width="10.140625" style="470" bestFit="1" customWidth="1"/>
    <col min="15895" max="15897" width="0" style="470" hidden="1" customWidth="1"/>
    <col min="15898" max="15898" width="10.140625" style="470" bestFit="1" customWidth="1"/>
    <col min="15899" max="15899" width="9" style="470" bestFit="1" customWidth="1"/>
    <col min="15900" max="15902" width="7" style="470" bestFit="1" customWidth="1"/>
    <col min="15903" max="15903" width="11.7109375" style="470" customWidth="1"/>
    <col min="15904" max="15904" width="7" style="470" bestFit="1" customWidth="1"/>
    <col min="15905" max="16128" width="11.42578125" style="470"/>
    <col min="16129" max="16129" width="6.7109375" style="470" bestFit="1" customWidth="1"/>
    <col min="16130" max="16130" width="6.85546875" style="470" customWidth="1"/>
    <col min="16131" max="16131" width="32.42578125" style="470" customWidth="1"/>
    <col min="16132" max="16132" width="4.42578125" style="470" bestFit="1" customWidth="1"/>
    <col min="16133" max="16133" width="7" style="470" customWidth="1"/>
    <col min="16134" max="16134" width="6.5703125" style="470" bestFit="1" customWidth="1"/>
    <col min="16135" max="16135" width="6.42578125" style="470" bestFit="1" customWidth="1"/>
    <col min="16136" max="16136" width="3.5703125" style="470" bestFit="1" customWidth="1"/>
    <col min="16137" max="16137" width="9.5703125" style="470" bestFit="1" customWidth="1"/>
    <col min="16138" max="16139" width="0" style="470" hidden="1" customWidth="1"/>
    <col min="16140" max="16140" width="7.7109375" style="470" bestFit="1" customWidth="1"/>
    <col min="16141" max="16141" width="0" style="470" hidden="1" customWidth="1"/>
    <col min="16142" max="16142" width="9.42578125" style="470" bestFit="1" customWidth="1"/>
    <col min="16143" max="16143" width="10" style="470" bestFit="1" customWidth="1"/>
    <col min="16144" max="16147" width="0" style="470" hidden="1" customWidth="1"/>
    <col min="16148" max="16148" width="7.5703125" style="470" bestFit="1" customWidth="1"/>
    <col min="16149" max="16149" width="0" style="470" hidden="1" customWidth="1"/>
    <col min="16150" max="16150" width="10.140625" style="470" bestFit="1" customWidth="1"/>
    <col min="16151" max="16153" width="0" style="470" hidden="1" customWidth="1"/>
    <col min="16154" max="16154" width="10.140625" style="470" bestFit="1" customWidth="1"/>
    <col min="16155" max="16155" width="9" style="470" bestFit="1" customWidth="1"/>
    <col min="16156" max="16158" width="7" style="470" bestFit="1" customWidth="1"/>
    <col min="16159" max="16159" width="11.7109375" style="470" customWidth="1"/>
    <col min="16160" max="16160" width="7" style="470" bestFit="1" customWidth="1"/>
    <col min="16161" max="16384" width="11.42578125" style="470"/>
  </cols>
  <sheetData>
    <row r="1" spans="1:35">
      <c r="B1" s="471"/>
      <c r="C1" s="472" t="str">
        <f>'Depr Summary'!A1</f>
        <v>Columbia River Disposal, Inc. G-48/G-51</v>
      </c>
      <c r="D1" s="473"/>
      <c r="E1" s="473"/>
      <c r="F1" s="474"/>
      <c r="G1" s="473"/>
      <c r="H1" s="474"/>
      <c r="I1" s="474"/>
      <c r="J1" s="473"/>
      <c r="K1" s="473"/>
      <c r="L1" s="473"/>
      <c r="M1" s="475"/>
      <c r="N1" s="475"/>
      <c r="O1" s="475"/>
      <c r="P1" s="475"/>
      <c r="Q1" s="475"/>
      <c r="R1" s="475"/>
      <c r="S1" s="475"/>
      <c r="T1" s="475"/>
      <c r="U1" s="475"/>
      <c r="V1" s="475"/>
      <c r="W1" s="475"/>
      <c r="X1" s="475"/>
      <c r="Y1" s="475"/>
      <c r="Z1" s="475"/>
      <c r="AA1" s="475"/>
      <c r="AB1" s="475"/>
      <c r="AC1" s="475"/>
      <c r="AD1" s="476">
        <v>40544</v>
      </c>
      <c r="AE1" s="475"/>
      <c r="AF1" s="475"/>
    </row>
    <row r="2" spans="1:35">
      <c r="B2" s="471"/>
      <c r="C2" s="472" t="s">
        <v>1263</v>
      </c>
      <c r="D2" s="473"/>
      <c r="E2" s="473"/>
      <c r="F2" s="474"/>
      <c r="G2" s="473"/>
      <c r="H2" s="474"/>
      <c r="I2" s="474"/>
      <c r="J2" s="473"/>
      <c r="K2" s="473"/>
      <c r="L2" s="473"/>
      <c r="M2" s="475"/>
      <c r="N2" s="475">
        <v>9</v>
      </c>
      <c r="O2" s="477" t="s">
        <v>1264</v>
      </c>
      <c r="Q2" s="475"/>
      <c r="R2" s="475"/>
      <c r="S2" s="475"/>
      <c r="T2" s="475"/>
      <c r="U2" s="475"/>
      <c r="V2" s="475"/>
      <c r="W2" s="475"/>
      <c r="X2" s="475"/>
      <c r="Y2" s="475"/>
      <c r="Z2" s="475"/>
      <c r="AA2" s="475"/>
      <c r="AB2" s="475"/>
      <c r="AC2" s="475"/>
      <c r="AD2" s="475"/>
      <c r="AE2" s="475"/>
      <c r="AF2" s="475"/>
    </row>
    <row r="3" spans="1:35">
      <c r="B3" s="471"/>
      <c r="C3" s="478">
        <f>'Depr Summary'!H7</f>
        <v>42460</v>
      </c>
      <c r="D3" s="473"/>
      <c r="E3" s="473"/>
      <c r="F3" s="479"/>
      <c r="G3" s="473"/>
      <c r="H3" s="474"/>
      <c r="I3" s="474"/>
      <c r="J3" s="473"/>
      <c r="K3" s="473"/>
      <c r="L3" s="473"/>
      <c r="M3" s="475"/>
      <c r="N3" s="475">
        <v>3</v>
      </c>
      <c r="O3" s="477" t="s">
        <v>1265</v>
      </c>
      <c r="Q3" s="475"/>
      <c r="R3" s="475"/>
      <c r="S3" s="475"/>
      <c r="T3" s="475"/>
      <c r="U3" s="475"/>
      <c r="V3" s="475"/>
      <c r="W3" s="475"/>
      <c r="X3" s="475"/>
      <c r="Y3" s="475"/>
      <c r="Z3" s="475"/>
      <c r="AA3" s="475"/>
      <c r="AB3" s="475"/>
      <c r="AC3" s="475"/>
      <c r="AD3" s="477" t="s">
        <v>1266</v>
      </c>
      <c r="AE3" s="477" t="s">
        <v>1267</v>
      </c>
      <c r="AF3" s="475"/>
    </row>
    <row r="4" spans="1:35">
      <c r="B4" s="480"/>
      <c r="C4" s="477"/>
      <c r="D4" s="477"/>
      <c r="E4" s="475"/>
      <c r="F4" s="474"/>
      <c r="G4" s="475"/>
      <c r="H4" s="474"/>
      <c r="I4" s="474"/>
      <c r="J4" s="475"/>
      <c r="K4" s="475"/>
      <c r="L4" s="475"/>
      <c r="M4" s="475"/>
      <c r="N4" s="481">
        <v>2015</v>
      </c>
      <c r="O4" s="477" t="s">
        <v>1268</v>
      </c>
      <c r="Q4" s="475"/>
      <c r="R4" s="475"/>
      <c r="S4" s="475"/>
      <c r="T4" s="475"/>
      <c r="U4" s="475"/>
      <c r="V4" s="475"/>
      <c r="W4" s="475"/>
      <c r="X4" s="475"/>
      <c r="Y4" s="475"/>
      <c r="Z4" s="475"/>
      <c r="AA4" s="475"/>
      <c r="AB4" s="475"/>
      <c r="AC4" s="475"/>
      <c r="AD4" s="477" t="s">
        <v>1269</v>
      </c>
      <c r="AE4" s="477" t="s">
        <v>1270</v>
      </c>
      <c r="AF4" s="475"/>
    </row>
    <row r="5" spans="1:35">
      <c r="B5" s="480"/>
      <c r="C5" s="475"/>
      <c r="D5" s="477"/>
      <c r="E5" s="475"/>
      <c r="F5" s="474"/>
      <c r="G5" s="475"/>
      <c r="H5" s="474"/>
      <c r="I5" s="474"/>
      <c r="J5" s="475"/>
      <c r="K5" s="475"/>
      <c r="L5" s="475"/>
      <c r="M5" s="475"/>
      <c r="N5" s="481">
        <v>2016</v>
      </c>
      <c r="O5" s="477" t="s">
        <v>1271</v>
      </c>
      <c r="Q5" s="475"/>
      <c r="R5" s="475"/>
      <c r="S5" s="475"/>
      <c r="T5" s="475"/>
      <c r="U5" s="475"/>
      <c r="V5" s="475"/>
      <c r="W5" s="475"/>
      <c r="X5" s="475"/>
      <c r="Y5" s="475"/>
      <c r="Z5" s="475"/>
      <c r="AA5" s="475"/>
      <c r="AB5" s="475"/>
      <c r="AC5" s="475"/>
      <c r="AD5" s="477" t="s">
        <v>1272</v>
      </c>
      <c r="AE5" s="477" t="s">
        <v>1273</v>
      </c>
      <c r="AF5" s="475"/>
    </row>
    <row r="6" spans="1:35">
      <c r="B6" s="480"/>
      <c r="C6" s="475"/>
      <c r="D6" s="477"/>
      <c r="E6" s="475"/>
      <c r="F6" s="479"/>
      <c r="G6" s="475"/>
      <c r="H6" s="474"/>
      <c r="I6" s="474"/>
      <c r="J6" s="475"/>
      <c r="K6" s="475"/>
      <c r="L6" s="475"/>
      <c r="M6" s="475"/>
      <c r="N6" s="475"/>
      <c r="O6" s="475"/>
      <c r="P6" s="475"/>
      <c r="Q6" s="475"/>
      <c r="R6" s="475"/>
      <c r="S6" s="475"/>
      <c r="T6" s="475"/>
      <c r="U6" s="475"/>
      <c r="V6" s="475"/>
      <c r="W6" s="475"/>
      <c r="X6" s="475"/>
      <c r="Y6" s="475"/>
      <c r="Z6" s="475"/>
      <c r="AA6" s="475"/>
      <c r="AB6" s="475"/>
      <c r="AC6" s="475"/>
      <c r="AD6" s="477" t="s">
        <v>1274</v>
      </c>
      <c r="AE6" s="477" t="s">
        <v>1275</v>
      </c>
      <c r="AF6" s="475"/>
    </row>
    <row r="7" spans="1:35">
      <c r="B7" s="480"/>
      <c r="C7" s="475"/>
      <c r="D7" s="475"/>
      <c r="E7" s="475"/>
      <c r="F7" s="474"/>
      <c r="G7" s="475"/>
      <c r="H7" s="474"/>
      <c r="I7" s="474"/>
      <c r="J7" s="475"/>
      <c r="K7" s="475"/>
      <c r="L7" s="475"/>
      <c r="M7" s="475"/>
      <c r="N7" s="475"/>
      <c r="O7" s="475"/>
      <c r="P7" s="475"/>
      <c r="Q7" s="475"/>
      <c r="R7" s="475"/>
      <c r="S7" s="475"/>
      <c r="T7" s="482" t="s">
        <v>1</v>
      </c>
      <c r="U7" s="475"/>
      <c r="V7" s="482" t="s">
        <v>1245</v>
      </c>
      <c r="W7" s="482" t="s">
        <v>124</v>
      </c>
      <c r="X7" s="483"/>
      <c r="Y7" s="482" t="s">
        <v>124</v>
      </c>
      <c r="Z7" s="482" t="s">
        <v>1246</v>
      </c>
      <c r="AA7" s="475"/>
      <c r="AB7" s="475"/>
      <c r="AC7" s="475"/>
      <c r="AD7" s="477" t="s">
        <v>1276</v>
      </c>
      <c r="AE7" s="477" t="s">
        <v>1277</v>
      </c>
      <c r="AF7" s="475"/>
    </row>
    <row r="8" spans="1:35">
      <c r="B8" s="480"/>
      <c r="C8" s="483"/>
      <c r="D8" s="484" t="s">
        <v>1278</v>
      </c>
      <c r="E8" s="484"/>
      <c r="F8" s="482" t="s">
        <v>1248</v>
      </c>
      <c r="G8" s="483"/>
      <c r="H8" s="482"/>
      <c r="I8" s="482" t="s">
        <v>1279</v>
      </c>
      <c r="J8" s="483"/>
      <c r="K8" s="483"/>
      <c r="L8" s="483"/>
      <c r="M8" s="483"/>
      <c r="N8" s="483"/>
      <c r="O8" s="483"/>
      <c r="P8" s="483"/>
      <c r="Q8" s="482" t="s">
        <v>21</v>
      </c>
      <c r="R8" s="482" t="s">
        <v>1</v>
      </c>
      <c r="S8" s="483"/>
      <c r="T8" s="482" t="s">
        <v>124</v>
      </c>
      <c r="U8" s="483"/>
      <c r="V8" s="482" t="s">
        <v>1280</v>
      </c>
      <c r="W8" s="482" t="s">
        <v>1280</v>
      </c>
      <c r="X8" s="482" t="s">
        <v>1281</v>
      </c>
      <c r="Y8" s="482" t="s">
        <v>1282</v>
      </c>
      <c r="Z8" s="482" t="s">
        <v>1280</v>
      </c>
      <c r="AA8" s="482" t="s">
        <v>757</v>
      </c>
      <c r="AB8" s="475"/>
      <c r="AC8" s="475"/>
      <c r="AD8" s="475"/>
      <c r="AE8" s="475"/>
      <c r="AF8" s="475"/>
    </row>
    <row r="9" spans="1:35">
      <c r="B9" s="471"/>
      <c r="C9" s="483"/>
      <c r="D9" s="482"/>
      <c r="E9" s="483"/>
      <c r="F9" s="482" t="s">
        <v>1283</v>
      </c>
      <c r="G9" s="482" t="s">
        <v>1284</v>
      </c>
      <c r="H9" s="482" t="s">
        <v>1285</v>
      </c>
      <c r="I9" s="482" t="s">
        <v>1286</v>
      </c>
      <c r="J9" s="482" t="s">
        <v>21</v>
      </c>
      <c r="K9" s="483"/>
      <c r="L9" s="482" t="s">
        <v>1287</v>
      </c>
      <c r="M9" s="482" t="s">
        <v>1287</v>
      </c>
      <c r="N9" s="482" t="s">
        <v>1288</v>
      </c>
      <c r="O9" s="482" t="s">
        <v>1289</v>
      </c>
      <c r="P9" s="482" t="s">
        <v>1290</v>
      </c>
      <c r="Q9" s="482" t="s">
        <v>1279</v>
      </c>
      <c r="R9" s="482" t="s">
        <v>1291</v>
      </c>
      <c r="S9" s="482" t="s">
        <v>1292</v>
      </c>
      <c r="T9" s="482" t="s">
        <v>1290</v>
      </c>
      <c r="U9" s="483"/>
      <c r="V9" s="482" t="s">
        <v>101</v>
      </c>
      <c r="W9" s="482" t="s">
        <v>101</v>
      </c>
      <c r="X9" s="482" t="s">
        <v>1293</v>
      </c>
      <c r="Y9" s="482" t="s">
        <v>1294</v>
      </c>
      <c r="Z9" s="482" t="s">
        <v>101</v>
      </c>
      <c r="AA9" s="485" t="s">
        <v>1251</v>
      </c>
      <c r="AB9" s="474"/>
      <c r="AC9" s="474"/>
      <c r="AD9" s="474"/>
      <c r="AE9" s="475"/>
      <c r="AF9" s="475"/>
    </row>
    <row r="10" spans="1:35">
      <c r="A10" s="486" t="s">
        <v>1295</v>
      </c>
      <c r="B10" s="487" t="s">
        <v>1296</v>
      </c>
      <c r="C10" s="482" t="s">
        <v>1297</v>
      </c>
      <c r="D10" s="485" t="s">
        <v>1279</v>
      </c>
      <c r="E10" s="485" t="s">
        <v>1298</v>
      </c>
      <c r="F10" s="485" t="s">
        <v>1292</v>
      </c>
      <c r="G10" s="485"/>
      <c r="H10" s="485"/>
      <c r="I10" s="485" t="s">
        <v>1299</v>
      </c>
      <c r="J10" s="485" t="s">
        <v>1300</v>
      </c>
      <c r="K10" s="485" t="s">
        <v>1301</v>
      </c>
      <c r="L10" s="485" t="s">
        <v>1247</v>
      </c>
      <c r="M10" s="485" t="s">
        <v>21</v>
      </c>
      <c r="N10" s="485" t="s">
        <v>1247</v>
      </c>
      <c r="O10" s="485" t="s">
        <v>101</v>
      </c>
      <c r="P10" s="485" t="s">
        <v>101</v>
      </c>
      <c r="Q10" s="485" t="s">
        <v>1294</v>
      </c>
      <c r="R10" s="485" t="s">
        <v>1294</v>
      </c>
      <c r="S10" s="485" t="s">
        <v>1293</v>
      </c>
      <c r="T10" s="485" t="s">
        <v>1294</v>
      </c>
      <c r="U10" s="488"/>
      <c r="V10" s="489">
        <f>'Depr Summary'!F7</f>
        <v>42095</v>
      </c>
      <c r="W10" s="489">
        <f>C3</f>
        <v>42460</v>
      </c>
      <c r="X10" s="485" t="s">
        <v>1292</v>
      </c>
      <c r="Y10" s="490">
        <f>V10</f>
        <v>42095</v>
      </c>
      <c r="Z10" s="491">
        <f>C3</f>
        <v>42460</v>
      </c>
      <c r="AA10" s="492">
        <f>C3</f>
        <v>42460</v>
      </c>
      <c r="AB10" s="474" t="s">
        <v>1266</v>
      </c>
      <c r="AC10" s="474" t="s">
        <v>1302</v>
      </c>
      <c r="AD10" s="474" t="s">
        <v>1303</v>
      </c>
      <c r="AE10" s="474" t="s">
        <v>1274</v>
      </c>
      <c r="AF10" s="474" t="s">
        <v>1276</v>
      </c>
      <c r="AG10" s="493"/>
      <c r="AH10" s="493"/>
      <c r="AI10" s="493"/>
    </row>
    <row r="11" spans="1:35">
      <c r="B11" s="471"/>
      <c r="C11" s="477"/>
      <c r="D11" s="481"/>
      <c r="E11" s="474"/>
      <c r="F11" s="474"/>
      <c r="G11" s="474"/>
      <c r="H11" s="474"/>
      <c r="I11" s="494"/>
      <c r="J11" s="475"/>
      <c r="K11" s="475"/>
      <c r="L11" s="475"/>
      <c r="M11" s="475"/>
      <c r="N11" s="475"/>
      <c r="O11" s="475"/>
      <c r="P11" s="475"/>
      <c r="Q11" s="475"/>
      <c r="R11" s="475"/>
      <c r="S11" s="475"/>
      <c r="T11" s="475"/>
      <c r="U11" s="475"/>
      <c r="V11" s="475"/>
      <c r="W11" s="475"/>
      <c r="X11" s="475"/>
      <c r="Y11" s="475"/>
      <c r="Z11" s="475"/>
      <c r="AA11" s="475"/>
      <c r="AB11" s="475"/>
      <c r="AC11" s="475"/>
      <c r="AD11" s="475"/>
      <c r="AE11" s="495"/>
      <c r="AF11" s="495"/>
    </row>
    <row r="12" spans="1:35">
      <c r="B12" s="471"/>
      <c r="C12" s="496" t="s">
        <v>1304</v>
      </c>
      <c r="D12" s="481"/>
      <c r="E12" s="474"/>
      <c r="F12" s="474"/>
      <c r="G12" s="475"/>
      <c r="H12" s="474"/>
      <c r="I12" s="494"/>
      <c r="J12" s="475"/>
      <c r="K12" s="475"/>
      <c r="L12" s="475"/>
      <c r="M12" s="475"/>
      <c r="N12" s="475"/>
      <c r="O12" s="475"/>
      <c r="P12" s="475"/>
      <c r="Q12" s="475"/>
      <c r="R12" s="475"/>
      <c r="S12" s="475"/>
      <c r="T12" s="475"/>
      <c r="U12" s="475"/>
      <c r="V12" s="475"/>
      <c r="W12" s="475"/>
      <c r="X12" s="475"/>
      <c r="Y12" s="475"/>
      <c r="Z12" s="475"/>
      <c r="AA12" s="475"/>
      <c r="AB12" s="475"/>
      <c r="AC12" s="475"/>
      <c r="AD12" s="475"/>
      <c r="AE12" s="495"/>
      <c r="AF12" s="495"/>
    </row>
    <row r="13" spans="1:35">
      <c r="A13" s="470" t="s">
        <v>1305</v>
      </c>
      <c r="B13" s="497">
        <v>27</v>
      </c>
      <c r="C13" s="498" t="s">
        <v>1306</v>
      </c>
      <c r="D13" s="499">
        <v>2015</v>
      </c>
      <c r="E13" s="474">
        <v>1</v>
      </c>
      <c r="F13" s="500">
        <v>0.33</v>
      </c>
      <c r="G13" s="474" t="s">
        <v>1307</v>
      </c>
      <c r="H13" s="474">
        <v>5</v>
      </c>
      <c r="I13" s="494">
        <f t="shared" ref="I13:I23" si="0">D13+H13</f>
        <v>2020</v>
      </c>
      <c r="J13" s="475"/>
      <c r="K13" s="475"/>
      <c r="L13" s="501">
        <f>45000+12261+66609+655.54</f>
        <v>124525.54</v>
      </c>
      <c r="M13" s="502"/>
      <c r="N13" s="502">
        <f t="shared" ref="N13:N22" si="1">L13-L13*F13</f>
        <v>83432.111799999984</v>
      </c>
      <c r="O13" s="502">
        <f t="shared" ref="O13:O22" si="2">N13/H13/12</f>
        <v>1390.5351966666665</v>
      </c>
      <c r="P13" s="502">
        <f t="shared" ref="P13:P22" si="3">IF(M13&gt;0,0,IF((OR((AB13&gt;AC13),(AD13&lt;AE13))),0,IF((AND((AD13&gt;=AE13),(AD13&lt;=AC13))),O13*((AD13-AE13)*12),IF((AND((AE13&lt;=AB13),(AC13&gt;=AB13))),((AC13-AB13)*12)*O13,IF(AD13&gt;AC13,12*O13,0)))))</f>
        <v>16686.422359999997</v>
      </c>
      <c r="Q13" s="502">
        <f t="shared" ref="Q13:Q22" si="4">IF(M13=0,0,IF((AND((AF13&gt;=AE13),(AF13&lt;=AD13))),((AF13-AE13)*12)*O13,0))</f>
        <v>0</v>
      </c>
      <c r="R13" s="502">
        <f t="shared" ref="R13:R22" si="5">IF(Q13&gt;0,Q13,P13)</f>
        <v>16686.422359999997</v>
      </c>
      <c r="S13" s="502">
        <v>1</v>
      </c>
      <c r="T13" s="502">
        <f t="shared" ref="T13:T22" si="6">S13*SUM(P13:Q13)</f>
        <v>16686.422359999997</v>
      </c>
      <c r="U13" s="502"/>
      <c r="V13" s="502">
        <f t="shared" ref="V13:V22" si="7">IF(AB13&gt;AC13,0,IF(AD13&lt;AE13,N13,IF((AND((AD13&gt;=AE13),(AD13&lt;=AC13))),(N13-R13),IF((AND((AE13&lt;=AB13),(AC13&gt;=AB13))),0,IF(AD13&gt;AC13,((AE13-AB13)*12)*O13,0)))))</f>
        <v>4171.6055899999992</v>
      </c>
      <c r="W13" s="502">
        <f t="shared" ref="W13:W22" si="8">V13*S13</f>
        <v>4171.6055899999992</v>
      </c>
      <c r="X13" s="502">
        <v>1</v>
      </c>
      <c r="Y13" s="502">
        <f t="shared" ref="Y13:Y22" si="9">W13*X13</f>
        <v>4171.6055899999992</v>
      </c>
      <c r="Z13" s="502">
        <f t="shared" ref="Z13:Z22" si="10">IF(M13&gt;0,0,Y13+T13*X13)*X13</f>
        <v>20858.027949999996</v>
      </c>
      <c r="AA13" s="502">
        <f t="shared" ref="AA13:AA22" si="11">IF(M13&gt;0,(L13-Y13)/2,IF(AB13&gt;=AE13,(((L13*S13)*X13)-Z13)/2,((((L13*S13)*X13)-Y13)+(((L13*S13)*X13)-Z13))/2))</f>
        <v>112010.72322999999</v>
      </c>
      <c r="AB13" s="475">
        <f t="shared" ref="AB13:AB23" si="12">$D13+(($E13-1)/12)</f>
        <v>2015</v>
      </c>
      <c r="AC13" s="475">
        <f t="shared" ref="AC13:AC23" si="13">($N$5+1)-($N$2/12)</f>
        <v>2016.25</v>
      </c>
      <c r="AD13" s="475">
        <f t="shared" ref="AD13:AD23" si="14">$I13+(($E13-1)/12)</f>
        <v>2020</v>
      </c>
      <c r="AE13" s="495">
        <f t="shared" ref="AE13:AE23" si="15">$N$4+($N$3/12)</f>
        <v>2015.25</v>
      </c>
      <c r="AF13" s="495">
        <f t="shared" ref="AF13:AF23" si="16">$J13+(($K13-1)/12)</f>
        <v>-8.3333333333333329E-2</v>
      </c>
    </row>
    <row r="14" spans="1:35">
      <c r="A14" s="470" t="s">
        <v>1305</v>
      </c>
      <c r="B14" s="497">
        <v>28</v>
      </c>
      <c r="C14" s="503" t="s">
        <v>1308</v>
      </c>
      <c r="D14" s="499">
        <v>2015</v>
      </c>
      <c r="E14" s="474">
        <v>2</v>
      </c>
      <c r="F14" s="500">
        <v>0.2</v>
      </c>
      <c r="G14" s="474" t="s">
        <v>1307</v>
      </c>
      <c r="H14" s="474">
        <v>7</v>
      </c>
      <c r="I14" s="494">
        <f t="shared" si="0"/>
        <v>2022</v>
      </c>
      <c r="J14" s="475"/>
      <c r="K14" s="475"/>
      <c r="L14" s="501">
        <f>111203.74+71568.08+4878+7547.12</f>
        <v>195196.94</v>
      </c>
      <c r="M14" s="502"/>
      <c r="N14" s="502">
        <f t="shared" si="1"/>
        <v>156157.552</v>
      </c>
      <c r="O14" s="502">
        <f t="shared" si="2"/>
        <v>1859.0184761904763</v>
      </c>
      <c r="P14" s="502">
        <f t="shared" si="3"/>
        <v>22308.221714285715</v>
      </c>
      <c r="Q14" s="502">
        <f t="shared" si="4"/>
        <v>0</v>
      </c>
      <c r="R14" s="502">
        <f t="shared" si="5"/>
        <v>22308.221714285715</v>
      </c>
      <c r="S14" s="502">
        <v>1</v>
      </c>
      <c r="T14" s="502">
        <f t="shared" si="6"/>
        <v>22308.221714285715</v>
      </c>
      <c r="U14" s="502"/>
      <c r="V14" s="502">
        <f t="shared" si="7"/>
        <v>3718.0369523826434</v>
      </c>
      <c r="W14" s="502">
        <f t="shared" si="8"/>
        <v>3718.0369523826434</v>
      </c>
      <c r="X14" s="502">
        <v>1</v>
      </c>
      <c r="Y14" s="502">
        <f t="shared" si="9"/>
        <v>3718.0369523826434</v>
      </c>
      <c r="Z14" s="502">
        <f t="shared" si="10"/>
        <v>26026.25866666836</v>
      </c>
      <c r="AA14" s="502">
        <f t="shared" si="11"/>
        <v>180324.79219047452</v>
      </c>
      <c r="AB14" s="475">
        <f t="shared" si="12"/>
        <v>2015.0833333333333</v>
      </c>
      <c r="AC14" s="475">
        <f t="shared" si="13"/>
        <v>2016.25</v>
      </c>
      <c r="AD14" s="475">
        <f t="shared" si="14"/>
        <v>2022.0833333333333</v>
      </c>
      <c r="AE14" s="495">
        <f t="shared" si="15"/>
        <v>2015.25</v>
      </c>
      <c r="AF14" s="495">
        <f t="shared" si="16"/>
        <v>-8.3333333333333329E-2</v>
      </c>
    </row>
    <row r="15" spans="1:35">
      <c r="A15" s="470" t="s">
        <v>1305</v>
      </c>
      <c r="B15" s="497">
        <v>22</v>
      </c>
      <c r="C15" s="498" t="s">
        <v>1309</v>
      </c>
      <c r="D15" s="499">
        <v>2015</v>
      </c>
      <c r="E15" s="474">
        <v>1</v>
      </c>
      <c r="F15" s="500">
        <v>0.33</v>
      </c>
      <c r="G15" s="474" t="s">
        <v>1307</v>
      </c>
      <c r="H15" s="474">
        <v>5</v>
      </c>
      <c r="I15" s="494">
        <f t="shared" si="0"/>
        <v>2020</v>
      </c>
      <c r="J15" s="475"/>
      <c r="K15" s="475"/>
      <c r="L15" s="501">
        <f>2500+655.54</f>
        <v>3155.54</v>
      </c>
      <c r="M15" s="502"/>
      <c r="N15" s="502">
        <f t="shared" si="1"/>
        <v>2114.2118</v>
      </c>
      <c r="O15" s="502">
        <f t="shared" si="2"/>
        <v>35.236863333333332</v>
      </c>
      <c r="P15" s="502">
        <f t="shared" si="3"/>
        <v>422.84235999999999</v>
      </c>
      <c r="Q15" s="502">
        <f t="shared" si="4"/>
        <v>0</v>
      </c>
      <c r="R15" s="502">
        <f t="shared" si="5"/>
        <v>422.84235999999999</v>
      </c>
      <c r="S15" s="502">
        <v>1</v>
      </c>
      <c r="T15" s="502">
        <f t="shared" si="6"/>
        <v>422.84235999999999</v>
      </c>
      <c r="U15" s="502"/>
      <c r="V15" s="502">
        <f t="shared" si="7"/>
        <v>105.71059</v>
      </c>
      <c r="W15" s="502">
        <f t="shared" si="8"/>
        <v>105.71059</v>
      </c>
      <c r="X15" s="502">
        <v>1</v>
      </c>
      <c r="Y15" s="502">
        <f t="shared" si="9"/>
        <v>105.71059</v>
      </c>
      <c r="Z15" s="502">
        <f t="shared" si="10"/>
        <v>528.55295000000001</v>
      </c>
      <c r="AA15" s="502">
        <f t="shared" si="11"/>
        <v>2838.40823</v>
      </c>
      <c r="AB15" s="475">
        <f t="shared" si="12"/>
        <v>2015</v>
      </c>
      <c r="AC15" s="475">
        <f t="shared" si="13"/>
        <v>2016.25</v>
      </c>
      <c r="AD15" s="475">
        <f t="shared" si="14"/>
        <v>2020</v>
      </c>
      <c r="AE15" s="495">
        <f t="shared" si="15"/>
        <v>2015.25</v>
      </c>
      <c r="AF15" s="495">
        <f t="shared" si="16"/>
        <v>-8.3333333333333329E-2</v>
      </c>
    </row>
    <row r="16" spans="1:35">
      <c r="A16" s="470" t="s">
        <v>1310</v>
      </c>
      <c r="B16" s="497">
        <v>25</v>
      </c>
      <c r="C16" s="498" t="s">
        <v>1311</v>
      </c>
      <c r="D16" s="499">
        <v>2015</v>
      </c>
      <c r="E16" s="474">
        <v>1</v>
      </c>
      <c r="F16" s="500">
        <v>0.33</v>
      </c>
      <c r="G16" s="474" t="s">
        <v>1307</v>
      </c>
      <c r="H16" s="474">
        <v>5</v>
      </c>
      <c r="I16" s="494">
        <f t="shared" si="0"/>
        <v>2020</v>
      </c>
      <c r="J16" s="475"/>
      <c r="K16" s="475"/>
      <c r="L16" s="501">
        <f>2500+655.54</f>
        <v>3155.54</v>
      </c>
      <c r="M16" s="502"/>
      <c r="N16" s="502">
        <f t="shared" si="1"/>
        <v>2114.2118</v>
      </c>
      <c r="O16" s="502">
        <f t="shared" si="2"/>
        <v>35.236863333333332</v>
      </c>
      <c r="P16" s="502">
        <f t="shared" si="3"/>
        <v>422.84235999999999</v>
      </c>
      <c r="Q16" s="502">
        <f t="shared" si="4"/>
        <v>0</v>
      </c>
      <c r="R16" s="502">
        <f t="shared" si="5"/>
        <v>422.84235999999999</v>
      </c>
      <c r="S16" s="502">
        <v>1</v>
      </c>
      <c r="T16" s="502">
        <f t="shared" si="6"/>
        <v>422.84235999999999</v>
      </c>
      <c r="U16" s="502"/>
      <c r="V16" s="502">
        <f t="shared" si="7"/>
        <v>105.71059</v>
      </c>
      <c r="W16" s="502">
        <f t="shared" si="8"/>
        <v>105.71059</v>
      </c>
      <c r="X16" s="502">
        <v>1</v>
      </c>
      <c r="Y16" s="502">
        <f t="shared" si="9"/>
        <v>105.71059</v>
      </c>
      <c r="Z16" s="502">
        <f t="shared" si="10"/>
        <v>528.55295000000001</v>
      </c>
      <c r="AA16" s="502">
        <f t="shared" si="11"/>
        <v>2838.40823</v>
      </c>
      <c r="AB16" s="475">
        <f t="shared" si="12"/>
        <v>2015</v>
      </c>
      <c r="AC16" s="475">
        <f t="shared" si="13"/>
        <v>2016.25</v>
      </c>
      <c r="AD16" s="475">
        <f t="shared" si="14"/>
        <v>2020</v>
      </c>
      <c r="AE16" s="495">
        <f t="shared" si="15"/>
        <v>2015.25</v>
      </c>
      <c r="AF16" s="495">
        <f t="shared" si="16"/>
        <v>-8.3333333333333329E-2</v>
      </c>
    </row>
    <row r="17" spans="1:35">
      <c r="B17" s="497">
        <v>27</v>
      </c>
      <c r="C17" s="503" t="s">
        <v>1312</v>
      </c>
      <c r="D17" s="499">
        <v>2015</v>
      </c>
      <c r="E17" s="474">
        <v>2</v>
      </c>
      <c r="F17" s="500">
        <v>0</v>
      </c>
      <c r="G17" s="474" t="s">
        <v>1307</v>
      </c>
      <c r="H17" s="474">
        <v>3</v>
      </c>
      <c r="I17" s="494">
        <f t="shared" si="0"/>
        <v>2018</v>
      </c>
      <c r="J17" s="475"/>
      <c r="K17" s="475"/>
      <c r="L17" s="501">
        <v>10637.29</v>
      </c>
      <c r="M17" s="502"/>
      <c r="N17" s="502">
        <f t="shared" si="1"/>
        <v>10637.29</v>
      </c>
      <c r="O17" s="502">
        <f t="shared" si="2"/>
        <v>295.48027777777781</v>
      </c>
      <c r="P17" s="502">
        <f t="shared" si="3"/>
        <v>3545.7633333333338</v>
      </c>
      <c r="Q17" s="502">
        <f t="shared" si="4"/>
        <v>0</v>
      </c>
      <c r="R17" s="502">
        <f t="shared" si="5"/>
        <v>3545.7633333333338</v>
      </c>
      <c r="S17" s="502">
        <v>1</v>
      </c>
      <c r="T17" s="502">
        <f t="shared" si="6"/>
        <v>3545.7633333333338</v>
      </c>
      <c r="U17" s="502"/>
      <c r="V17" s="502">
        <f t="shared" si="7"/>
        <v>590.96055555582439</v>
      </c>
      <c r="W17" s="502">
        <f t="shared" si="8"/>
        <v>590.96055555582439</v>
      </c>
      <c r="X17" s="502">
        <v>1</v>
      </c>
      <c r="Y17" s="502">
        <f t="shared" si="9"/>
        <v>590.96055555582439</v>
      </c>
      <c r="Z17" s="502">
        <f t="shared" si="10"/>
        <v>4136.7238888891579</v>
      </c>
      <c r="AA17" s="502">
        <f t="shared" si="11"/>
        <v>8273.4477777775101</v>
      </c>
      <c r="AB17" s="475">
        <f t="shared" si="12"/>
        <v>2015.0833333333333</v>
      </c>
      <c r="AC17" s="475">
        <f t="shared" si="13"/>
        <v>2016.25</v>
      </c>
      <c r="AD17" s="475">
        <f t="shared" si="14"/>
        <v>2018.0833333333333</v>
      </c>
      <c r="AE17" s="495">
        <f t="shared" si="15"/>
        <v>2015.25</v>
      </c>
      <c r="AF17" s="495">
        <f t="shared" si="16"/>
        <v>-8.3333333333333329E-2</v>
      </c>
    </row>
    <row r="18" spans="1:35">
      <c r="B18" s="497">
        <v>27</v>
      </c>
      <c r="C18" s="503" t="s">
        <v>1313</v>
      </c>
      <c r="D18" s="499">
        <v>2015</v>
      </c>
      <c r="E18" s="474">
        <v>7</v>
      </c>
      <c r="F18" s="500">
        <v>0</v>
      </c>
      <c r="G18" s="474" t="s">
        <v>1307</v>
      </c>
      <c r="H18" s="474">
        <v>3</v>
      </c>
      <c r="I18" s="494">
        <f t="shared" si="0"/>
        <v>2018</v>
      </c>
      <c r="J18" s="475"/>
      <c r="K18" s="475"/>
      <c r="L18" s="501">
        <f>9416.05+4434.36</f>
        <v>13850.41</v>
      </c>
      <c r="M18" s="502"/>
      <c r="N18" s="502">
        <f t="shared" si="1"/>
        <v>13850.41</v>
      </c>
      <c r="O18" s="502">
        <f t="shared" si="2"/>
        <v>384.73361111111109</v>
      </c>
      <c r="P18" s="502">
        <f t="shared" si="3"/>
        <v>3462.6025</v>
      </c>
      <c r="Q18" s="502">
        <f t="shared" si="4"/>
        <v>0</v>
      </c>
      <c r="R18" s="502">
        <f t="shared" si="5"/>
        <v>3462.6025</v>
      </c>
      <c r="S18" s="502">
        <v>1</v>
      </c>
      <c r="T18" s="502">
        <f t="shared" si="6"/>
        <v>3462.6025</v>
      </c>
      <c r="U18" s="502"/>
      <c r="V18" s="502">
        <f t="shared" si="7"/>
        <v>0</v>
      </c>
      <c r="W18" s="502">
        <f t="shared" si="8"/>
        <v>0</v>
      </c>
      <c r="X18" s="502">
        <v>1</v>
      </c>
      <c r="Y18" s="502">
        <f t="shared" si="9"/>
        <v>0</v>
      </c>
      <c r="Z18" s="502">
        <f t="shared" si="10"/>
        <v>3462.6025</v>
      </c>
      <c r="AA18" s="502">
        <f t="shared" si="11"/>
        <v>5193.9037499999995</v>
      </c>
      <c r="AB18" s="475">
        <f t="shared" si="12"/>
        <v>2015.5</v>
      </c>
      <c r="AC18" s="475">
        <f t="shared" si="13"/>
        <v>2016.25</v>
      </c>
      <c r="AD18" s="475">
        <f t="shared" si="14"/>
        <v>2018.5</v>
      </c>
      <c r="AE18" s="495">
        <f t="shared" si="15"/>
        <v>2015.25</v>
      </c>
      <c r="AF18" s="495">
        <f t="shared" si="16"/>
        <v>-8.3333333333333329E-2</v>
      </c>
    </row>
    <row r="19" spans="1:35">
      <c r="B19" s="497">
        <v>25</v>
      </c>
      <c r="C19" s="503" t="s">
        <v>1314</v>
      </c>
      <c r="D19" s="499">
        <v>2015</v>
      </c>
      <c r="E19" s="474">
        <v>7</v>
      </c>
      <c r="F19" s="500">
        <v>0</v>
      </c>
      <c r="G19" s="474" t="s">
        <v>1307</v>
      </c>
      <c r="H19" s="474">
        <v>3</v>
      </c>
      <c r="I19" s="494">
        <f t="shared" si="0"/>
        <v>2018</v>
      </c>
      <c r="J19" s="475"/>
      <c r="K19" s="475"/>
      <c r="L19" s="501">
        <v>4439.04</v>
      </c>
      <c r="M19" s="502"/>
      <c r="N19" s="502">
        <f t="shared" si="1"/>
        <v>4439.04</v>
      </c>
      <c r="O19" s="502">
        <f t="shared" si="2"/>
        <v>123.30666666666667</v>
      </c>
      <c r="P19" s="502">
        <f t="shared" si="3"/>
        <v>1109.76</v>
      </c>
      <c r="Q19" s="502">
        <f t="shared" si="4"/>
        <v>0</v>
      </c>
      <c r="R19" s="502">
        <f t="shared" si="5"/>
        <v>1109.76</v>
      </c>
      <c r="S19" s="502">
        <v>1</v>
      </c>
      <c r="T19" s="502">
        <f t="shared" si="6"/>
        <v>1109.76</v>
      </c>
      <c r="U19" s="502"/>
      <c r="V19" s="502">
        <f t="shared" si="7"/>
        <v>0</v>
      </c>
      <c r="W19" s="502">
        <f t="shared" si="8"/>
        <v>0</v>
      </c>
      <c r="X19" s="502">
        <v>1</v>
      </c>
      <c r="Y19" s="502">
        <f t="shared" si="9"/>
        <v>0</v>
      </c>
      <c r="Z19" s="502">
        <f t="shared" si="10"/>
        <v>1109.76</v>
      </c>
      <c r="AA19" s="502">
        <f t="shared" si="11"/>
        <v>1664.6399999999999</v>
      </c>
      <c r="AB19" s="475">
        <f t="shared" si="12"/>
        <v>2015.5</v>
      </c>
      <c r="AC19" s="475">
        <f t="shared" si="13"/>
        <v>2016.25</v>
      </c>
      <c r="AD19" s="475">
        <f t="shared" si="14"/>
        <v>2018.5</v>
      </c>
      <c r="AE19" s="495">
        <f t="shared" si="15"/>
        <v>2015.25</v>
      </c>
      <c r="AF19" s="495">
        <f t="shared" si="16"/>
        <v>-8.3333333333333329E-2</v>
      </c>
    </row>
    <row r="20" spans="1:35">
      <c r="B20" s="497">
        <v>22</v>
      </c>
      <c r="C20" s="503" t="s">
        <v>1315</v>
      </c>
      <c r="D20" s="499">
        <v>2015</v>
      </c>
      <c r="E20" s="474">
        <v>7</v>
      </c>
      <c r="F20" s="500">
        <v>0</v>
      </c>
      <c r="G20" s="474" t="s">
        <v>1307</v>
      </c>
      <c r="H20" s="474">
        <v>3</v>
      </c>
      <c r="I20" s="494">
        <f t="shared" si="0"/>
        <v>2018</v>
      </c>
      <c r="J20" s="475"/>
      <c r="K20" s="475"/>
      <c r="L20" s="501">
        <v>12399.78</v>
      </c>
      <c r="M20" s="502"/>
      <c r="N20" s="502">
        <f t="shared" si="1"/>
        <v>12399.78</v>
      </c>
      <c r="O20" s="502">
        <f t="shared" si="2"/>
        <v>344.43833333333333</v>
      </c>
      <c r="P20" s="502">
        <f t="shared" si="3"/>
        <v>3099.9450000000002</v>
      </c>
      <c r="Q20" s="502">
        <f t="shared" si="4"/>
        <v>0</v>
      </c>
      <c r="R20" s="502">
        <f t="shared" si="5"/>
        <v>3099.9450000000002</v>
      </c>
      <c r="S20" s="502">
        <v>1</v>
      </c>
      <c r="T20" s="502">
        <f t="shared" si="6"/>
        <v>3099.9450000000002</v>
      </c>
      <c r="U20" s="502"/>
      <c r="V20" s="502">
        <f t="shared" si="7"/>
        <v>0</v>
      </c>
      <c r="W20" s="502">
        <f t="shared" si="8"/>
        <v>0</v>
      </c>
      <c r="X20" s="502">
        <v>1</v>
      </c>
      <c r="Y20" s="502">
        <f t="shared" si="9"/>
        <v>0</v>
      </c>
      <c r="Z20" s="502">
        <f t="shared" si="10"/>
        <v>3099.9450000000002</v>
      </c>
      <c r="AA20" s="502">
        <f t="shared" si="11"/>
        <v>4649.9175000000005</v>
      </c>
      <c r="AB20" s="475">
        <f t="shared" si="12"/>
        <v>2015.5</v>
      </c>
      <c r="AC20" s="475">
        <f t="shared" si="13"/>
        <v>2016.25</v>
      </c>
      <c r="AD20" s="475">
        <f t="shared" si="14"/>
        <v>2018.5</v>
      </c>
      <c r="AE20" s="495">
        <f t="shared" si="15"/>
        <v>2015.25</v>
      </c>
      <c r="AF20" s="495">
        <f t="shared" si="16"/>
        <v>-8.3333333333333329E-2</v>
      </c>
    </row>
    <row r="21" spans="1:35">
      <c r="B21" s="497">
        <v>28</v>
      </c>
      <c r="C21" s="503" t="s">
        <v>1316</v>
      </c>
      <c r="D21" s="499">
        <v>2015</v>
      </c>
      <c r="E21" s="474">
        <v>9</v>
      </c>
      <c r="F21" s="500">
        <v>0</v>
      </c>
      <c r="G21" s="474" t="s">
        <v>1307</v>
      </c>
      <c r="H21" s="474">
        <v>3</v>
      </c>
      <c r="I21" s="494">
        <f t="shared" si="0"/>
        <v>2018</v>
      </c>
      <c r="J21" s="475"/>
      <c r="K21" s="475"/>
      <c r="L21" s="501">
        <v>12509.93</v>
      </c>
      <c r="M21" s="502"/>
      <c r="N21" s="502">
        <f t="shared" si="1"/>
        <v>12509.93</v>
      </c>
      <c r="O21" s="502">
        <f t="shared" si="2"/>
        <v>347.49805555555554</v>
      </c>
      <c r="P21" s="502">
        <f t="shared" si="3"/>
        <v>2432.4863888885729</v>
      </c>
      <c r="Q21" s="502">
        <f t="shared" si="4"/>
        <v>0</v>
      </c>
      <c r="R21" s="502">
        <f t="shared" si="5"/>
        <v>2432.4863888885729</v>
      </c>
      <c r="S21" s="502">
        <v>1</v>
      </c>
      <c r="T21" s="502">
        <f t="shared" si="6"/>
        <v>2432.4863888885729</v>
      </c>
      <c r="U21" s="502"/>
      <c r="V21" s="502">
        <f t="shared" si="7"/>
        <v>0</v>
      </c>
      <c r="W21" s="502">
        <f t="shared" si="8"/>
        <v>0</v>
      </c>
      <c r="X21" s="502">
        <v>1</v>
      </c>
      <c r="Y21" s="502">
        <f t="shared" si="9"/>
        <v>0</v>
      </c>
      <c r="Z21" s="502">
        <f t="shared" si="10"/>
        <v>2432.4863888885729</v>
      </c>
      <c r="AA21" s="502">
        <f t="shared" si="11"/>
        <v>5038.7218055557132</v>
      </c>
      <c r="AB21" s="475">
        <f t="shared" si="12"/>
        <v>2015.6666666666667</v>
      </c>
      <c r="AC21" s="475">
        <f t="shared" si="13"/>
        <v>2016.25</v>
      </c>
      <c r="AD21" s="475">
        <f t="shared" si="14"/>
        <v>2018.6666666666667</v>
      </c>
      <c r="AE21" s="495">
        <f t="shared" si="15"/>
        <v>2015.25</v>
      </c>
      <c r="AF21" s="495">
        <f t="shared" si="16"/>
        <v>-8.3333333333333329E-2</v>
      </c>
    </row>
    <row r="22" spans="1:35">
      <c r="B22" s="497">
        <v>30</v>
      </c>
      <c r="C22" s="503" t="s">
        <v>1317</v>
      </c>
      <c r="D22" s="499">
        <v>2015</v>
      </c>
      <c r="E22" s="474">
        <v>12</v>
      </c>
      <c r="F22" s="500">
        <v>0.2</v>
      </c>
      <c r="G22" s="474" t="s">
        <v>1307</v>
      </c>
      <c r="H22" s="474">
        <v>7</v>
      </c>
      <c r="I22" s="494">
        <f t="shared" si="0"/>
        <v>2022</v>
      </c>
      <c r="J22" s="475"/>
      <c r="K22" s="475"/>
      <c r="L22" s="501">
        <f>129871.79+8310.3</f>
        <v>138182.09</v>
      </c>
      <c r="M22" s="502"/>
      <c r="N22" s="502">
        <f t="shared" si="1"/>
        <v>110545.67199999999</v>
      </c>
      <c r="O22" s="502">
        <f t="shared" si="2"/>
        <v>1316.0199047619046</v>
      </c>
      <c r="P22" s="502">
        <f t="shared" si="3"/>
        <v>5264.0796190464216</v>
      </c>
      <c r="Q22" s="502">
        <f t="shared" si="4"/>
        <v>0</v>
      </c>
      <c r="R22" s="502">
        <f t="shared" si="5"/>
        <v>5264.0796190464216</v>
      </c>
      <c r="S22" s="502">
        <v>1</v>
      </c>
      <c r="T22" s="502">
        <f t="shared" si="6"/>
        <v>5264.0796190464216</v>
      </c>
      <c r="U22" s="502"/>
      <c r="V22" s="502">
        <f t="shared" si="7"/>
        <v>0</v>
      </c>
      <c r="W22" s="502">
        <f t="shared" si="8"/>
        <v>0</v>
      </c>
      <c r="X22" s="502">
        <v>1</v>
      </c>
      <c r="Y22" s="502">
        <f t="shared" si="9"/>
        <v>0</v>
      </c>
      <c r="Z22" s="502">
        <f t="shared" si="10"/>
        <v>5264.0796190464216</v>
      </c>
      <c r="AA22" s="502">
        <f t="shared" si="11"/>
        <v>66459.00519047679</v>
      </c>
      <c r="AB22" s="475">
        <f t="shared" si="12"/>
        <v>2015.9166666666667</v>
      </c>
      <c r="AC22" s="475">
        <f t="shared" si="13"/>
        <v>2016.25</v>
      </c>
      <c r="AD22" s="475">
        <f t="shared" si="14"/>
        <v>2022.9166666666667</v>
      </c>
      <c r="AE22" s="495">
        <f t="shared" si="15"/>
        <v>2015.25</v>
      </c>
      <c r="AF22" s="495">
        <f t="shared" si="16"/>
        <v>-8.3333333333333329E-2</v>
      </c>
    </row>
    <row r="23" spans="1:35">
      <c r="B23" s="497">
        <v>167</v>
      </c>
      <c r="C23" s="503" t="s">
        <v>1318</v>
      </c>
      <c r="D23" s="499">
        <v>2016</v>
      </c>
      <c r="E23" s="474">
        <v>1</v>
      </c>
      <c r="F23" s="500">
        <v>0.2</v>
      </c>
      <c r="G23" s="474" t="s">
        <v>1307</v>
      </c>
      <c r="H23" s="474">
        <v>5</v>
      </c>
      <c r="I23" s="494">
        <f t="shared" si="0"/>
        <v>2021</v>
      </c>
      <c r="J23" s="475"/>
      <c r="K23" s="475"/>
      <c r="L23" s="501">
        <v>17000</v>
      </c>
      <c r="M23" s="502"/>
      <c r="N23" s="502">
        <f>L23-L23*F23</f>
        <v>13600</v>
      </c>
      <c r="O23" s="502">
        <f>N23/H23/12</f>
        <v>226.66666666666666</v>
      </c>
      <c r="P23" s="502">
        <f>IF(M23&gt;0,0,IF((OR((AB23&gt;AC23),(AD23&lt;AE23))),0,IF((AND((AD23&gt;=AE23),(AD23&lt;=AC23))),O23*((AD23-AE23)*12),IF((AND((AE23&lt;=AB23),(AC23&gt;=AB23))),((AC23-AB23)*12)*O23,IF(AD23&gt;AC23,12*O23,0)))))</f>
        <v>680</v>
      </c>
      <c r="Q23" s="502">
        <f>IF(M23=0,0,IF((AND((AF23&gt;=AE23),(AF23&lt;=AD23))),((AF23-AE23)*12)*O23,0))</f>
        <v>0</v>
      </c>
      <c r="R23" s="502">
        <f>IF(Q23&gt;0,Q23,P23)</f>
        <v>680</v>
      </c>
      <c r="S23" s="502">
        <v>1</v>
      </c>
      <c r="T23" s="502">
        <f>S23*SUM(P23:Q23)</f>
        <v>680</v>
      </c>
      <c r="U23" s="502"/>
      <c r="V23" s="502">
        <f>IF(AB23&gt;AC23,0,IF(AD23&lt;AE23,N23,IF((AND((AD23&gt;=AE23),(AD23&lt;=AC23))),(N23-R23),IF((AND((AE23&lt;=AB23),(AC23&gt;=AB23))),0,IF(AD23&gt;AC23,((AE23-AB23)*12)*O23,0)))))</f>
        <v>0</v>
      </c>
      <c r="W23" s="502">
        <f>V23*S23</f>
        <v>0</v>
      </c>
      <c r="X23" s="502">
        <v>1</v>
      </c>
      <c r="Y23" s="502">
        <f>W23*X23</f>
        <v>0</v>
      </c>
      <c r="Z23" s="502">
        <f>IF(M23&gt;0,0,Y23+T23*X23)*X23</f>
        <v>680</v>
      </c>
      <c r="AA23" s="502">
        <f>IF(M23&gt;0,(L23-Y23)/2,IF(AB23&gt;=AE23,(((L23*S23)*X23)-Z23)/2,((((L23*S23)*X23)-Y23)+(((L23*S23)*X23)-Z23))/2))</f>
        <v>8160</v>
      </c>
      <c r="AB23" s="475">
        <f t="shared" si="12"/>
        <v>2016</v>
      </c>
      <c r="AC23" s="475">
        <f t="shared" si="13"/>
        <v>2016.25</v>
      </c>
      <c r="AD23" s="475">
        <f t="shared" si="14"/>
        <v>2021</v>
      </c>
      <c r="AE23" s="495">
        <f t="shared" si="15"/>
        <v>2015.25</v>
      </c>
      <c r="AF23" s="495">
        <f t="shared" si="16"/>
        <v>-8.3333333333333329E-2</v>
      </c>
    </row>
    <row r="24" spans="1:35">
      <c r="B24" s="497"/>
      <c r="C24" s="503"/>
      <c r="D24" s="499"/>
      <c r="E24" s="474"/>
      <c r="F24" s="500"/>
      <c r="G24" s="474"/>
      <c r="H24" s="474"/>
      <c r="I24" s="494"/>
      <c r="J24" s="475"/>
      <c r="K24" s="475"/>
      <c r="L24" s="501"/>
      <c r="M24" s="504"/>
      <c r="N24" s="504"/>
      <c r="O24" s="504"/>
      <c r="P24" s="504"/>
      <c r="Q24" s="504"/>
      <c r="R24" s="504"/>
      <c r="S24" s="504"/>
      <c r="T24" s="504"/>
      <c r="U24" s="504"/>
      <c r="V24" s="504"/>
      <c r="W24" s="504"/>
      <c r="X24" s="504"/>
      <c r="Y24" s="504"/>
      <c r="Z24" s="504"/>
      <c r="AA24" s="504"/>
      <c r="AB24" s="505"/>
      <c r="AC24" s="505"/>
      <c r="AD24" s="505"/>
      <c r="AE24" s="506"/>
      <c r="AF24" s="506"/>
    </row>
    <row r="25" spans="1:35" ht="12.75" thickBot="1">
      <c r="A25" s="507"/>
      <c r="B25" s="508"/>
      <c r="C25" s="509" t="s">
        <v>1319</v>
      </c>
      <c r="D25" s="510"/>
      <c r="E25" s="482"/>
      <c r="F25" s="511"/>
      <c r="G25" s="482"/>
      <c r="H25" s="482"/>
      <c r="I25" s="512"/>
      <c r="J25" s="513"/>
      <c r="K25" s="513"/>
      <c r="L25" s="514">
        <f>SUM(L13:L24)</f>
        <v>535052.09999999986</v>
      </c>
      <c r="M25" s="515"/>
      <c r="N25" s="514">
        <f>SUM(N13:N24)</f>
        <v>421800.20939999993</v>
      </c>
      <c r="O25" s="514">
        <f>SUM(O13:O24)</f>
        <v>6358.1709153968259</v>
      </c>
      <c r="P25" s="514">
        <f>SUM(P13:P24)</f>
        <v>59434.96563555405</v>
      </c>
      <c r="Q25" s="514">
        <f>SUM(Q13:Q24)</f>
        <v>0</v>
      </c>
      <c r="R25" s="514">
        <f>SUM(R13:R24)</f>
        <v>59434.96563555405</v>
      </c>
      <c r="S25" s="514"/>
      <c r="T25" s="514">
        <f>SUM(T13:T24)</f>
        <v>59434.96563555405</v>
      </c>
      <c r="U25" s="514"/>
      <c r="V25" s="514">
        <f>SUM(V13:V24)</f>
        <v>8692.0242779384662</v>
      </c>
      <c r="W25" s="514">
        <f>SUM(W13:W24)</f>
        <v>8692.0242779384662</v>
      </c>
      <c r="X25" s="514"/>
      <c r="Y25" s="514">
        <f>SUM(Y13:Y24)</f>
        <v>8692.0242779384662</v>
      </c>
      <c r="Z25" s="514">
        <f>SUM(Z13:Z24)</f>
        <v>68126.989913492507</v>
      </c>
      <c r="AA25" s="514">
        <f>SUM(AA13:AA24)</f>
        <v>397451.96790428448</v>
      </c>
      <c r="AB25" s="513"/>
      <c r="AC25" s="513"/>
      <c r="AD25" s="513"/>
      <c r="AE25" s="516"/>
      <c r="AF25" s="516"/>
      <c r="AG25" s="507"/>
      <c r="AH25" s="507"/>
      <c r="AI25" s="507"/>
    </row>
    <row r="26" spans="1:35">
      <c r="A26" s="507"/>
      <c r="B26" s="508"/>
      <c r="C26" s="509"/>
      <c r="D26" s="510"/>
      <c r="E26" s="482"/>
      <c r="F26" s="511"/>
      <c r="G26" s="482"/>
      <c r="H26" s="482"/>
      <c r="I26" s="512"/>
      <c r="J26" s="513"/>
      <c r="K26" s="513"/>
      <c r="L26" s="517"/>
      <c r="M26" s="518"/>
      <c r="N26" s="517"/>
      <c r="O26" s="517"/>
      <c r="P26" s="517"/>
      <c r="Q26" s="517"/>
      <c r="R26" s="517"/>
      <c r="S26" s="517"/>
      <c r="T26" s="517"/>
      <c r="U26" s="517"/>
      <c r="V26" s="517"/>
      <c r="W26" s="517"/>
      <c r="X26" s="517"/>
      <c r="Y26" s="517"/>
      <c r="Z26" s="517"/>
      <c r="AA26" s="517"/>
      <c r="AB26" s="513"/>
      <c r="AC26" s="513"/>
      <c r="AD26" s="513"/>
      <c r="AE26" s="516"/>
      <c r="AF26" s="516"/>
      <c r="AG26" s="507"/>
      <c r="AH26" s="507"/>
      <c r="AI26" s="507"/>
    </row>
    <row r="27" spans="1:35">
      <c r="A27" s="507"/>
      <c r="B27" s="508"/>
      <c r="C27" s="519" t="s">
        <v>1320</v>
      </c>
      <c r="D27" s="510"/>
      <c r="E27" s="482"/>
      <c r="F27" s="511"/>
      <c r="G27" s="482"/>
      <c r="H27" s="482"/>
      <c r="I27" s="512"/>
      <c r="J27" s="513"/>
      <c r="K27" s="513"/>
      <c r="L27" s="517"/>
      <c r="M27" s="518"/>
      <c r="N27" s="517"/>
      <c r="O27" s="517"/>
      <c r="P27" s="517"/>
      <c r="Q27" s="517"/>
      <c r="R27" s="517"/>
      <c r="S27" s="517"/>
      <c r="T27" s="517"/>
      <c r="U27" s="517"/>
      <c r="V27" s="517"/>
      <c r="W27" s="517"/>
      <c r="X27" s="517"/>
      <c r="Y27" s="517"/>
      <c r="Z27" s="517"/>
      <c r="AA27" s="517"/>
      <c r="AB27" s="513"/>
      <c r="AC27" s="513"/>
      <c r="AD27" s="513"/>
      <c r="AE27" s="516"/>
      <c r="AF27" s="516"/>
      <c r="AG27" s="507"/>
      <c r="AH27" s="507"/>
      <c r="AI27" s="507"/>
    </row>
    <row r="28" spans="1:35">
      <c r="B28" s="497">
        <v>16</v>
      </c>
      <c r="C28" s="498" t="s">
        <v>1321</v>
      </c>
      <c r="D28" s="499">
        <v>2015</v>
      </c>
      <c r="E28" s="474">
        <v>1</v>
      </c>
      <c r="F28" s="500">
        <v>0.33</v>
      </c>
      <c r="G28" s="474" t="s">
        <v>1307</v>
      </c>
      <c r="H28" s="474">
        <v>5</v>
      </c>
      <c r="I28" s="494">
        <f>D28+H28</f>
        <v>2020</v>
      </c>
      <c r="J28" s="475"/>
      <c r="K28" s="475"/>
      <c r="L28" s="501">
        <f>1500+655.54</f>
        <v>2155.54</v>
      </c>
      <c r="M28" s="502"/>
      <c r="N28" s="502">
        <f>L28-L28*F28</f>
        <v>1444.2118</v>
      </c>
      <c r="O28" s="502">
        <f>N28/H28/12</f>
        <v>24.070196666666664</v>
      </c>
      <c r="P28" s="502">
        <f>IF(M28&gt;0,0,IF((OR((AB28&gt;AC28),(AD28&lt;AE28))),0,IF((AND((AD28&gt;=AE28),(AD28&lt;=AC28))),O28*((AD28-AE28)*12),IF((AND((AE28&lt;=AB28),(AC28&gt;=AB28))),((AC28-AB28)*12)*O28,IF(AD28&gt;AC28,12*O28,0)))))</f>
        <v>288.84235999999999</v>
      </c>
      <c r="Q28" s="502">
        <f>IF(M28=0,0,IF((AND((AF28&gt;=AE28),(AF28&lt;=AD28))),((AF28-AE28)*12)*O28,0))</f>
        <v>0</v>
      </c>
      <c r="R28" s="502">
        <f>IF(Q28&gt;0,Q28,P28)</f>
        <v>288.84235999999999</v>
      </c>
      <c r="S28" s="502">
        <v>1</v>
      </c>
      <c r="T28" s="502">
        <f>S28*SUM(P28:Q28)</f>
        <v>288.84235999999999</v>
      </c>
      <c r="U28" s="502"/>
      <c r="V28" s="502">
        <f>IF(AB28&gt;AC28,0,IF(AD28&lt;AE28,N28,IF((AND((AD28&gt;=AE28),(AD28&lt;=AC28))),(N28-R28),IF((AND((AE28&lt;=AB28),(AC28&gt;=AB28))),0,IF(AD28&gt;AC28,((AE28-AB28)*12)*O28,0)))))</f>
        <v>72.210589999999996</v>
      </c>
      <c r="W28" s="502">
        <f>V28*S28</f>
        <v>72.210589999999996</v>
      </c>
      <c r="X28" s="502">
        <v>1</v>
      </c>
      <c r="Y28" s="502">
        <f>W28*X28</f>
        <v>72.210589999999996</v>
      </c>
      <c r="Z28" s="502">
        <f>IF(M28&gt;0,0,Y28+T28*X28)*X28</f>
        <v>361.05295000000001</v>
      </c>
      <c r="AA28" s="502">
        <f>IF(M28&gt;0,(L28-Y28)/2,IF(AB28&gt;=AE28,(((L28*S28)*X28)-Z28)/2,((((L28*S28)*X28)-Y28)+(((L28*S28)*X28)-Z28))/2))</f>
        <v>1938.90823</v>
      </c>
      <c r="AB28" s="475">
        <f>$D28+(($E28-1)/12)</f>
        <v>2015</v>
      </c>
      <c r="AC28" s="475">
        <f>($N$5+1)-($N$2/12)</f>
        <v>2016.25</v>
      </c>
      <c r="AD28" s="475">
        <f>$I28+(($E28-1)/12)</f>
        <v>2020</v>
      </c>
      <c r="AE28" s="495">
        <f>$N$4+($N$3/12)</f>
        <v>2015.25</v>
      </c>
      <c r="AF28" s="495">
        <f>$J28+(($K28-1)/12)</f>
        <v>-8.3333333333333329E-2</v>
      </c>
    </row>
    <row r="29" spans="1:35">
      <c r="B29" s="497">
        <v>16</v>
      </c>
      <c r="C29" s="503" t="s">
        <v>1322</v>
      </c>
      <c r="D29" s="499">
        <v>2015</v>
      </c>
      <c r="E29" s="474">
        <v>7</v>
      </c>
      <c r="F29" s="500">
        <v>0</v>
      </c>
      <c r="G29" s="474" t="s">
        <v>1307</v>
      </c>
      <c r="H29" s="474">
        <v>3</v>
      </c>
      <c r="I29" s="494">
        <f>D29+H29</f>
        <v>2018</v>
      </c>
      <c r="J29" s="475"/>
      <c r="K29" s="475"/>
      <c r="L29" s="501">
        <v>9089.59</v>
      </c>
      <c r="M29" s="502"/>
      <c r="N29" s="502">
        <f>L29-L29*F29</f>
        <v>9089.59</v>
      </c>
      <c r="O29" s="502">
        <f>N29/H29/12</f>
        <v>252.48861111111111</v>
      </c>
      <c r="P29" s="502">
        <f>IF(M29&gt;0,0,IF((OR((AB29&gt;AC29),(AD29&lt;AE29))),0,IF((AND((AD29&gt;=AE29),(AD29&lt;=AC29))),O29*((AD29-AE29)*12),IF((AND((AE29&lt;=AB29),(AC29&gt;=AB29))),((AC29-AB29)*12)*O29,IF(AD29&gt;AC29,12*O29,0)))))</f>
        <v>2272.3975</v>
      </c>
      <c r="Q29" s="502">
        <f>IF(M29=0,0,IF((AND((AF29&gt;=AE29),(AF29&lt;=AD29))),((AF29-AE29)*12)*O29,0))</f>
        <v>0</v>
      </c>
      <c r="R29" s="502">
        <f>IF(Q29&gt;0,Q29,P29)</f>
        <v>2272.3975</v>
      </c>
      <c r="S29" s="502">
        <v>1</v>
      </c>
      <c r="T29" s="502">
        <f>S29*SUM(P29:Q29)</f>
        <v>2272.3975</v>
      </c>
      <c r="U29" s="502"/>
      <c r="V29" s="502">
        <f>IF(AB29&gt;AC29,0,IF(AD29&lt;AE29,N29,IF((AND((AD29&gt;=AE29),(AD29&lt;=AC29))),(N29-R29),IF((AND((AE29&lt;=AB29),(AC29&gt;=AB29))),0,IF(AD29&gt;AC29,((AE29-AB29)*12)*O29,0)))))</f>
        <v>0</v>
      </c>
      <c r="W29" s="502">
        <f>V29*S29</f>
        <v>0</v>
      </c>
      <c r="X29" s="502">
        <v>1</v>
      </c>
      <c r="Y29" s="502">
        <f>W29*X29</f>
        <v>0</v>
      </c>
      <c r="Z29" s="502">
        <f>IF(M29&gt;0,0,Y29+T29*X29)*X29</f>
        <v>2272.3975</v>
      </c>
      <c r="AA29" s="502">
        <f>IF(M29&gt;0,(L29-Y29)/2,IF(AB29&gt;=AE29,(((L29*S29)*X29)-Z29)/2,((((L29*S29)*X29)-Y29)+(((L29*S29)*X29)-Z29))/2))</f>
        <v>3408.5962500000001</v>
      </c>
      <c r="AB29" s="475">
        <f>$D29+(($E29-1)/12)</f>
        <v>2015.5</v>
      </c>
      <c r="AC29" s="475">
        <f>($N$5+1)-($N$2/12)</f>
        <v>2016.25</v>
      </c>
      <c r="AD29" s="475">
        <f>$I29+(($E29-1)/12)</f>
        <v>2018.5</v>
      </c>
      <c r="AE29" s="495">
        <f>$N$4+($N$3/12)</f>
        <v>2015.25</v>
      </c>
      <c r="AF29" s="495">
        <f>$J29+(($K29-1)/12)</f>
        <v>-8.3333333333333329E-2</v>
      </c>
    </row>
    <row r="30" spans="1:35">
      <c r="B30" s="497">
        <v>31</v>
      </c>
      <c r="C30" s="503" t="s">
        <v>1323</v>
      </c>
      <c r="D30" s="499">
        <v>2016</v>
      </c>
      <c r="E30" s="474">
        <v>1</v>
      </c>
      <c r="F30" s="500">
        <v>0.2</v>
      </c>
      <c r="G30" s="474" t="s">
        <v>1307</v>
      </c>
      <c r="H30" s="474">
        <v>5</v>
      </c>
      <c r="I30" s="494">
        <f>D30+H30</f>
        <v>2021</v>
      </c>
      <c r="J30" s="475"/>
      <c r="K30" s="475"/>
      <c r="L30" s="501">
        <f>199827+4361.85</f>
        <v>204188.85</v>
      </c>
      <c r="M30" s="502"/>
      <c r="N30" s="502">
        <f>L30-L30*F30</f>
        <v>163351.08000000002</v>
      </c>
      <c r="O30" s="502">
        <f>N30/H30/12</f>
        <v>2722.5180000000005</v>
      </c>
      <c r="P30" s="502">
        <f>IF(M30&gt;0,0,IF((OR((AB30&gt;AC30),(AD30&lt;AE30))),0,IF((AND((AD30&gt;=AE30),(AD30&lt;=AC30))),O30*((AD30-AE30)*12),IF((AND((AE30&lt;=AB30),(AC30&gt;=AB30))),((AC30-AB30)*12)*O30,IF(AD30&gt;AC30,12*O30,0)))))</f>
        <v>8167.5540000000019</v>
      </c>
      <c r="Q30" s="502">
        <f>IF(M30=0,0,IF((AND((AF30&gt;=AE30),(AF30&lt;=AD30))),((AF30-AE30)*12)*O30,0))</f>
        <v>0</v>
      </c>
      <c r="R30" s="502">
        <f>IF(Q30&gt;0,Q30,P30)</f>
        <v>8167.5540000000019</v>
      </c>
      <c r="S30" s="502">
        <v>1</v>
      </c>
      <c r="T30" s="502">
        <f>S30*SUM(P30:Q30)</f>
        <v>8167.5540000000019</v>
      </c>
      <c r="U30" s="502"/>
      <c r="V30" s="502">
        <f>IF(AB30&gt;AC30,0,IF(AD30&lt;AE30,N30,IF((AND((AD30&gt;=AE30),(AD30&lt;=AC30))),(N30-R30),IF((AND((AE30&lt;=AB30),(AC30&gt;=AB30))),0,IF(AD30&gt;AC30,((AE30-AB30)*12)*O30,0)))))</f>
        <v>0</v>
      </c>
      <c r="W30" s="502">
        <f>V30*S30</f>
        <v>0</v>
      </c>
      <c r="X30" s="502">
        <v>1</v>
      </c>
      <c r="Y30" s="502">
        <f>W30*X30</f>
        <v>0</v>
      </c>
      <c r="Z30" s="502">
        <f>IF(M30&gt;0,0,Y30+T30*X30)*X30</f>
        <v>8167.5540000000019</v>
      </c>
      <c r="AA30" s="502">
        <f>IF(M30&gt;0,(L30-Y30)/2,IF(AB30&gt;=AE30,(((L30*S30)*X30)-Z30)/2,((((L30*S30)*X30)-Y30)+(((L30*S30)*X30)-Z30))/2))</f>
        <v>98010.648000000001</v>
      </c>
      <c r="AB30" s="475">
        <f>$D30+(($E30-1)/12)</f>
        <v>2016</v>
      </c>
      <c r="AC30" s="475">
        <f>($N$5+1)-($N$2/12)</f>
        <v>2016.25</v>
      </c>
      <c r="AD30" s="475">
        <f>$I30+(($E30-1)/12)</f>
        <v>2021</v>
      </c>
      <c r="AE30" s="495">
        <f>$N$4+($N$3/12)</f>
        <v>2015.25</v>
      </c>
      <c r="AF30" s="495"/>
    </row>
    <row r="31" spans="1:35">
      <c r="B31" s="520"/>
      <c r="C31" s="503"/>
      <c r="D31" s="499"/>
      <c r="E31" s="474"/>
      <c r="F31" s="500"/>
      <c r="G31" s="474"/>
      <c r="H31" s="474"/>
      <c r="I31" s="494"/>
      <c r="J31" s="475"/>
      <c r="K31" s="475"/>
      <c r="L31" s="501"/>
      <c r="M31" s="504"/>
      <c r="N31" s="504"/>
      <c r="O31" s="504"/>
      <c r="P31" s="504"/>
      <c r="Q31" s="504"/>
      <c r="R31" s="504"/>
      <c r="S31" s="504"/>
      <c r="T31" s="504"/>
      <c r="U31" s="504"/>
      <c r="V31" s="504"/>
      <c r="W31" s="504"/>
      <c r="X31" s="504"/>
      <c r="Y31" s="504"/>
      <c r="Z31" s="504"/>
      <c r="AA31" s="504"/>
      <c r="AB31" s="505"/>
      <c r="AC31" s="505"/>
      <c r="AD31" s="505"/>
      <c r="AE31" s="506"/>
      <c r="AF31" s="506"/>
    </row>
    <row r="32" spans="1:35" s="507" customFormat="1" ht="12.75" thickBot="1">
      <c r="B32" s="521"/>
      <c r="C32" s="509" t="s">
        <v>1324</v>
      </c>
      <c r="D32" s="522"/>
      <c r="E32" s="482"/>
      <c r="F32" s="511"/>
      <c r="G32" s="482"/>
      <c r="H32" s="482"/>
      <c r="I32" s="512"/>
      <c r="J32" s="513"/>
      <c r="K32" s="513"/>
      <c r="L32" s="514">
        <f>SUM(L28:L31)</f>
        <v>215433.98</v>
      </c>
      <c r="M32" s="515"/>
      <c r="N32" s="514">
        <f>SUM(N28:N31)</f>
        <v>173884.88180000003</v>
      </c>
      <c r="O32" s="514">
        <f>SUM(O28:O31)</f>
        <v>2999.0768077777784</v>
      </c>
      <c r="P32" s="514">
        <f>SUM(P28:P31)</f>
        <v>10728.793860000002</v>
      </c>
      <c r="Q32" s="514">
        <f>SUM(Q28:Q31)</f>
        <v>0</v>
      </c>
      <c r="R32" s="514">
        <f>SUM(R28:R31)</f>
        <v>10728.793860000002</v>
      </c>
      <c r="S32" s="514"/>
      <c r="T32" s="514">
        <f>SUM(T28:T31)</f>
        <v>10728.793860000002</v>
      </c>
      <c r="U32" s="514"/>
      <c r="V32" s="514">
        <f>SUM(V28:V31)</f>
        <v>72.210589999999996</v>
      </c>
      <c r="W32" s="514">
        <f>SUM(W28:W31)</f>
        <v>72.210589999999996</v>
      </c>
      <c r="X32" s="514"/>
      <c r="Y32" s="514">
        <f>SUM(Y28:Y31)</f>
        <v>72.210589999999996</v>
      </c>
      <c r="Z32" s="514">
        <f>SUM(Z28:Z31)</f>
        <v>10801.004450000002</v>
      </c>
      <c r="AA32" s="514">
        <f>SUM(AA28:AA31)</f>
        <v>103358.15248</v>
      </c>
      <c r="AB32" s="523"/>
      <c r="AC32" s="523"/>
      <c r="AD32" s="523"/>
      <c r="AE32" s="524"/>
      <c r="AF32" s="524"/>
    </row>
    <row r="33" spans="1:35">
      <c r="B33" s="520"/>
      <c r="C33" s="503"/>
      <c r="D33" s="499"/>
      <c r="E33" s="474"/>
      <c r="F33" s="500"/>
      <c r="G33" s="474"/>
      <c r="H33" s="474"/>
      <c r="I33" s="494"/>
      <c r="J33" s="475"/>
      <c r="K33" s="475"/>
      <c r="L33" s="501"/>
      <c r="M33" s="504"/>
      <c r="N33" s="501"/>
      <c r="O33" s="501"/>
      <c r="P33" s="501"/>
      <c r="Q33" s="501"/>
      <c r="R33" s="501"/>
      <c r="S33" s="501"/>
      <c r="T33" s="501"/>
      <c r="U33" s="501"/>
      <c r="V33" s="501"/>
      <c r="W33" s="501"/>
      <c r="X33" s="501"/>
      <c r="Y33" s="501"/>
      <c r="Z33" s="501"/>
      <c r="AA33" s="501"/>
      <c r="AB33" s="505"/>
      <c r="AC33" s="505"/>
      <c r="AD33" s="505"/>
      <c r="AE33" s="506"/>
      <c r="AF33" s="506"/>
    </row>
    <row r="34" spans="1:35" s="507" customFormat="1">
      <c r="B34" s="521"/>
      <c r="C34" s="509"/>
      <c r="D34" s="522"/>
      <c r="E34" s="482"/>
      <c r="F34" s="511"/>
      <c r="G34" s="482"/>
      <c r="H34" s="482"/>
      <c r="I34" s="512"/>
      <c r="J34" s="513"/>
      <c r="K34" s="513"/>
      <c r="L34" s="517"/>
      <c r="M34" s="525"/>
      <c r="N34" s="517"/>
      <c r="O34" s="517"/>
      <c r="P34" s="517"/>
      <c r="Q34" s="517"/>
      <c r="R34" s="517"/>
      <c r="S34" s="517"/>
      <c r="T34" s="517"/>
      <c r="U34" s="517"/>
      <c r="V34" s="517"/>
      <c r="W34" s="517"/>
      <c r="X34" s="517"/>
      <c r="Y34" s="517"/>
      <c r="Z34" s="517"/>
      <c r="AA34" s="517"/>
      <c r="AB34" s="523"/>
      <c r="AC34" s="523"/>
      <c r="AD34" s="523"/>
      <c r="AE34" s="524"/>
      <c r="AF34" s="524"/>
    </row>
    <row r="35" spans="1:35" s="507" customFormat="1" ht="12.75" thickBot="1">
      <c r="B35" s="521"/>
      <c r="C35" s="526" t="s">
        <v>1255</v>
      </c>
      <c r="D35" s="527"/>
      <c r="E35" s="528"/>
      <c r="F35" s="529"/>
      <c r="G35" s="528"/>
      <c r="H35" s="528"/>
      <c r="I35" s="530"/>
      <c r="J35" s="531"/>
      <c r="K35" s="531"/>
      <c r="L35" s="532">
        <f>+L25+L32</f>
        <v>750486.07999999984</v>
      </c>
      <c r="M35" s="533"/>
      <c r="N35" s="532">
        <f>+N25+N32</f>
        <v>595685.09119999991</v>
      </c>
      <c r="O35" s="532">
        <f>+O25+O32</f>
        <v>9357.2477231746052</v>
      </c>
      <c r="P35" s="532">
        <f>+P25+P32</f>
        <v>70163.759495554055</v>
      </c>
      <c r="Q35" s="532">
        <f>+Q25+Q32</f>
        <v>0</v>
      </c>
      <c r="R35" s="532">
        <f>+R25+R32</f>
        <v>70163.759495554055</v>
      </c>
      <c r="S35" s="532"/>
      <c r="T35" s="532">
        <f>+T25+T32</f>
        <v>70163.759495554055</v>
      </c>
      <c r="U35" s="532"/>
      <c r="V35" s="532">
        <f>+V25+V32</f>
        <v>8764.2348679384668</v>
      </c>
      <c r="W35" s="532">
        <f>+W25+W32</f>
        <v>8764.2348679384668</v>
      </c>
      <c r="X35" s="532"/>
      <c r="Y35" s="532">
        <f>+Y25+Y32</f>
        <v>8764.2348679384668</v>
      </c>
      <c r="Z35" s="532">
        <f>+Z25+Z32</f>
        <v>78927.994363492515</v>
      </c>
      <c r="AA35" s="532">
        <f>+AA25+AA32</f>
        <v>500810.12038428447</v>
      </c>
      <c r="AB35" s="523"/>
      <c r="AC35" s="523"/>
      <c r="AD35" s="523"/>
      <c r="AE35" s="524"/>
      <c r="AF35" s="524"/>
    </row>
    <row r="36" spans="1:35" s="507" customFormat="1">
      <c r="B36" s="521"/>
      <c r="C36" s="509"/>
      <c r="D36" s="522"/>
      <c r="E36" s="482"/>
      <c r="F36" s="511"/>
      <c r="G36" s="482"/>
      <c r="H36" s="482"/>
      <c r="I36" s="512"/>
      <c r="J36" s="513"/>
      <c r="K36" s="513"/>
      <c r="L36" s="517"/>
      <c r="M36" s="525"/>
      <c r="N36" s="517"/>
      <c r="O36" s="517"/>
      <c r="P36" s="517"/>
      <c r="Q36" s="517"/>
      <c r="R36" s="517"/>
      <c r="S36" s="517"/>
      <c r="T36" s="517"/>
      <c r="U36" s="517"/>
      <c r="V36" s="517"/>
      <c r="W36" s="517"/>
      <c r="X36" s="517"/>
      <c r="Y36" s="517"/>
      <c r="Z36" s="517"/>
      <c r="AA36" s="517"/>
      <c r="AB36" s="523"/>
      <c r="AC36" s="523"/>
      <c r="AD36" s="523"/>
      <c r="AE36" s="524"/>
      <c r="AF36" s="524"/>
    </row>
    <row r="37" spans="1:35" s="507" customFormat="1">
      <c r="B37" s="521"/>
      <c r="C37" s="509"/>
      <c r="D37" s="522"/>
      <c r="E37" s="482"/>
      <c r="F37" s="511"/>
      <c r="G37" s="482"/>
      <c r="H37" s="482"/>
      <c r="I37" s="512"/>
      <c r="J37" s="513"/>
      <c r="K37" s="513"/>
      <c r="L37" s="517"/>
      <c r="M37" s="525"/>
      <c r="N37" s="517"/>
      <c r="O37" s="517"/>
      <c r="P37" s="517"/>
      <c r="Q37" s="517"/>
      <c r="R37" s="517"/>
      <c r="S37" s="517"/>
      <c r="T37" s="517"/>
      <c r="U37" s="517"/>
      <c r="V37" s="517"/>
      <c r="W37" s="517"/>
      <c r="X37" s="517"/>
      <c r="Y37" s="517"/>
      <c r="Z37" s="517"/>
      <c r="AA37" s="517"/>
      <c r="AB37" s="523"/>
      <c r="AC37" s="523"/>
      <c r="AD37" s="523"/>
      <c r="AE37" s="524"/>
      <c r="AF37" s="524"/>
    </row>
    <row r="38" spans="1:35">
      <c r="B38" s="520"/>
      <c r="C38" s="519" t="s">
        <v>1325</v>
      </c>
      <c r="D38" s="499"/>
      <c r="E38" s="474"/>
      <c r="F38" s="500"/>
      <c r="G38" s="474"/>
      <c r="H38" s="474"/>
      <c r="I38" s="494"/>
      <c r="J38" s="475"/>
      <c r="K38" s="475"/>
      <c r="L38" s="501"/>
      <c r="M38" s="504"/>
      <c r="N38" s="504"/>
      <c r="O38" s="504"/>
      <c r="P38" s="504"/>
      <c r="Q38" s="504"/>
      <c r="R38" s="504"/>
      <c r="S38" s="504"/>
      <c r="T38" s="504"/>
      <c r="U38" s="504"/>
      <c r="V38" s="504"/>
      <c r="W38" s="504"/>
      <c r="X38" s="504"/>
      <c r="Y38" s="504"/>
      <c r="Z38" s="504"/>
      <c r="AA38" s="504"/>
      <c r="AB38" s="505"/>
      <c r="AC38" s="505"/>
      <c r="AD38" s="505"/>
      <c r="AE38" s="506"/>
      <c r="AF38" s="506"/>
    </row>
    <row r="39" spans="1:35">
      <c r="B39" s="534">
        <v>71</v>
      </c>
      <c r="C39" s="503" t="s">
        <v>1326</v>
      </c>
      <c r="D39" s="499">
        <v>2015</v>
      </c>
      <c r="E39" s="474">
        <v>1</v>
      </c>
      <c r="F39" s="500">
        <v>0</v>
      </c>
      <c r="G39" s="474" t="s">
        <v>1307</v>
      </c>
      <c r="H39" s="535">
        <v>5</v>
      </c>
      <c r="I39" s="494">
        <f t="shared" ref="I39:I46" si="17">D39+H39</f>
        <v>2020</v>
      </c>
      <c r="J39" s="475"/>
      <c r="K39" s="475"/>
      <c r="L39" s="501">
        <v>10650</v>
      </c>
      <c r="M39" s="502"/>
      <c r="N39" s="501">
        <f t="shared" ref="N39:N46" si="18">L39-L39*F39</f>
        <v>10650</v>
      </c>
      <c r="O39" s="502">
        <f t="shared" ref="O39:O46" si="19">N39/H39/12</f>
        <v>177.5</v>
      </c>
      <c r="P39" s="502">
        <f t="shared" ref="P39:P44" si="20">IF(M39&gt;0,0,IF((OR((AB39&gt;AC39),(AD39&lt;AE39))),0,IF((AND((AD39&gt;=AE39),(AD39&lt;=AC39))),O39*((AD39-AE39)*12),IF((AND((AE39&lt;=AB39),(AC39&gt;=AB39))),((AC39-AB39)*12)*O39,IF(AD39&gt;AC39,12*O39,0)))))</f>
        <v>2130</v>
      </c>
      <c r="Q39" s="502">
        <f t="shared" ref="Q39:Q44" si="21">IF(M39=0,0,IF((AND((AF39&gt;=AE39),(AF39&lt;=AD39))),((AF39-AE39)*12)*O39,0))</f>
        <v>0</v>
      </c>
      <c r="R39" s="502">
        <f t="shared" ref="R39:R44" si="22">IF(Q39&gt;0,Q39,P39)</f>
        <v>2130</v>
      </c>
      <c r="S39" s="502">
        <v>1</v>
      </c>
      <c r="T39" s="502">
        <f t="shared" ref="T39:T44" si="23">S39*SUM(P39:Q39)</f>
        <v>2130</v>
      </c>
      <c r="U39" s="502"/>
      <c r="V39" s="502">
        <f t="shared" ref="V39:V44" si="24">IF(AB39&gt;AC39,0,IF(AD39&lt;AE39,N39,IF((AND((AD39&gt;=AE39),(AD39&lt;=AC39))),(N39-R39),IF((AND((AE39&lt;=AB39),(AC39&gt;=AB39))),0,IF(AD39&gt;AC39,((AE39-AB39)*12)*O39,0)))))</f>
        <v>532.5</v>
      </c>
      <c r="W39" s="502">
        <f t="shared" ref="W39:W44" si="25">V39*S39</f>
        <v>532.5</v>
      </c>
      <c r="X39" s="502">
        <v>1</v>
      </c>
      <c r="Y39" s="502">
        <f t="shared" ref="Y39:Y44" si="26">W39*X39</f>
        <v>532.5</v>
      </c>
      <c r="Z39" s="502">
        <f t="shared" ref="Z39:Z44" si="27">IF(M39&gt;0,0,Y39+T39*X39)*X39</f>
        <v>2662.5</v>
      </c>
      <c r="AA39" s="502">
        <f t="shared" ref="AA39:AA44" si="28">IF(M39&gt;0,(L39-Y39)/2,IF(AB39&gt;=AE39,(((L39*S39)*X39)-Z39)/2,((((L39*S39)*X39)-Y39)+(((L39*S39)*X39)-Z39))/2))</f>
        <v>9052.5</v>
      </c>
      <c r="AB39" s="475">
        <f t="shared" ref="AB39:AB46" si="29">$D39+(($E39-1)/12)</f>
        <v>2015</v>
      </c>
      <c r="AC39" s="475">
        <f t="shared" ref="AC39:AC46" si="30">($N$5+1)-($N$2/12)</f>
        <v>2016.25</v>
      </c>
      <c r="AD39" s="475">
        <f t="shared" ref="AD39:AD46" si="31">$I39+(($E39-1)/12)</f>
        <v>2020</v>
      </c>
      <c r="AE39" s="495">
        <f t="shared" ref="AE39:AE46" si="32">$N$4+($N$3/12)</f>
        <v>2015.25</v>
      </c>
      <c r="AF39" s="495">
        <f t="shared" ref="AF39:AF46" si="33">$J39+(($K39-1)/12)</f>
        <v>-8.3333333333333329E-2</v>
      </c>
    </row>
    <row r="40" spans="1:35">
      <c r="B40" s="534">
        <v>1</v>
      </c>
      <c r="C40" s="503" t="s">
        <v>1327</v>
      </c>
      <c r="D40" s="499">
        <v>2015</v>
      </c>
      <c r="E40" s="474">
        <v>1</v>
      </c>
      <c r="F40" s="500">
        <v>0</v>
      </c>
      <c r="G40" s="474" t="s">
        <v>1307</v>
      </c>
      <c r="H40" s="535">
        <v>5</v>
      </c>
      <c r="I40" s="494">
        <f t="shared" si="17"/>
        <v>2020</v>
      </c>
      <c r="J40" s="475"/>
      <c r="K40" s="475"/>
      <c r="L40" s="501">
        <v>150</v>
      </c>
      <c r="M40" s="502"/>
      <c r="N40" s="501">
        <f t="shared" si="18"/>
        <v>150</v>
      </c>
      <c r="O40" s="502">
        <f t="shared" si="19"/>
        <v>2.5</v>
      </c>
      <c r="P40" s="502">
        <f t="shared" si="20"/>
        <v>30</v>
      </c>
      <c r="Q40" s="502">
        <f t="shared" si="21"/>
        <v>0</v>
      </c>
      <c r="R40" s="502">
        <f t="shared" si="22"/>
        <v>30</v>
      </c>
      <c r="S40" s="502">
        <v>1</v>
      </c>
      <c r="T40" s="502">
        <f t="shared" si="23"/>
        <v>30</v>
      </c>
      <c r="U40" s="502"/>
      <c r="V40" s="502">
        <f t="shared" si="24"/>
        <v>7.5</v>
      </c>
      <c r="W40" s="502">
        <f t="shared" si="25"/>
        <v>7.5</v>
      </c>
      <c r="X40" s="502">
        <v>1</v>
      </c>
      <c r="Y40" s="502">
        <f t="shared" si="26"/>
        <v>7.5</v>
      </c>
      <c r="Z40" s="502">
        <f t="shared" si="27"/>
        <v>37.5</v>
      </c>
      <c r="AA40" s="502">
        <f t="shared" si="28"/>
        <v>127.5</v>
      </c>
      <c r="AB40" s="475">
        <f t="shared" si="29"/>
        <v>2015</v>
      </c>
      <c r="AC40" s="475">
        <f t="shared" si="30"/>
        <v>2016.25</v>
      </c>
      <c r="AD40" s="475">
        <f t="shared" si="31"/>
        <v>2020</v>
      </c>
      <c r="AE40" s="495">
        <f t="shared" si="32"/>
        <v>2015.25</v>
      </c>
      <c r="AF40" s="495">
        <f t="shared" si="33"/>
        <v>-8.3333333333333329E-2</v>
      </c>
    </row>
    <row r="41" spans="1:35">
      <c r="B41" s="534">
        <v>72</v>
      </c>
      <c r="C41" s="503" t="s">
        <v>1328</v>
      </c>
      <c r="D41" s="499">
        <v>2015</v>
      </c>
      <c r="E41" s="474">
        <v>1</v>
      </c>
      <c r="F41" s="500">
        <v>0</v>
      </c>
      <c r="G41" s="474" t="s">
        <v>1307</v>
      </c>
      <c r="H41" s="535">
        <v>5</v>
      </c>
      <c r="I41" s="494">
        <f t="shared" si="17"/>
        <v>2020</v>
      </c>
      <c r="J41" s="475"/>
      <c r="K41" s="475"/>
      <c r="L41" s="501">
        <v>10800</v>
      </c>
      <c r="M41" s="502"/>
      <c r="N41" s="501">
        <f t="shared" si="18"/>
        <v>10800</v>
      </c>
      <c r="O41" s="502">
        <f t="shared" si="19"/>
        <v>180</v>
      </c>
      <c r="P41" s="502">
        <f t="shared" si="20"/>
        <v>2160</v>
      </c>
      <c r="Q41" s="502">
        <f t="shared" si="21"/>
        <v>0</v>
      </c>
      <c r="R41" s="502">
        <f t="shared" si="22"/>
        <v>2160</v>
      </c>
      <c r="S41" s="502">
        <v>1</v>
      </c>
      <c r="T41" s="502">
        <f t="shared" si="23"/>
        <v>2160</v>
      </c>
      <c r="U41" s="502"/>
      <c r="V41" s="502">
        <f t="shared" si="24"/>
        <v>540</v>
      </c>
      <c r="W41" s="502">
        <f t="shared" si="25"/>
        <v>540</v>
      </c>
      <c r="X41" s="502">
        <v>1</v>
      </c>
      <c r="Y41" s="502">
        <f t="shared" si="26"/>
        <v>540</v>
      </c>
      <c r="Z41" s="502">
        <f t="shared" si="27"/>
        <v>2700</v>
      </c>
      <c r="AA41" s="502">
        <f t="shared" si="28"/>
        <v>9180</v>
      </c>
      <c r="AB41" s="475">
        <f t="shared" si="29"/>
        <v>2015</v>
      </c>
      <c r="AC41" s="475">
        <f t="shared" si="30"/>
        <v>2016.25</v>
      </c>
      <c r="AD41" s="475">
        <f t="shared" si="31"/>
        <v>2020</v>
      </c>
      <c r="AE41" s="495">
        <f t="shared" si="32"/>
        <v>2015.25</v>
      </c>
      <c r="AF41" s="495">
        <f t="shared" si="33"/>
        <v>-8.3333333333333329E-2</v>
      </c>
    </row>
    <row r="42" spans="1:35">
      <c r="B42" s="534">
        <v>163</v>
      </c>
      <c r="C42" s="503" t="s">
        <v>1329</v>
      </c>
      <c r="D42" s="499">
        <v>2015</v>
      </c>
      <c r="E42" s="474">
        <v>1</v>
      </c>
      <c r="F42" s="500">
        <v>0</v>
      </c>
      <c r="G42" s="474" t="s">
        <v>1307</v>
      </c>
      <c r="H42" s="535">
        <v>5</v>
      </c>
      <c r="I42" s="494">
        <f t="shared" si="17"/>
        <v>2020</v>
      </c>
      <c r="J42" s="475"/>
      <c r="K42" s="475"/>
      <c r="L42" s="501">
        <v>24450</v>
      </c>
      <c r="M42" s="502"/>
      <c r="N42" s="501">
        <f t="shared" si="18"/>
        <v>24450</v>
      </c>
      <c r="O42" s="502">
        <f t="shared" si="19"/>
        <v>407.5</v>
      </c>
      <c r="P42" s="502">
        <f t="shared" si="20"/>
        <v>4890</v>
      </c>
      <c r="Q42" s="502">
        <f t="shared" si="21"/>
        <v>0</v>
      </c>
      <c r="R42" s="502">
        <f t="shared" si="22"/>
        <v>4890</v>
      </c>
      <c r="S42" s="502">
        <v>1</v>
      </c>
      <c r="T42" s="502">
        <f t="shared" si="23"/>
        <v>4890</v>
      </c>
      <c r="U42" s="502"/>
      <c r="V42" s="502">
        <f t="shared" si="24"/>
        <v>1222.5</v>
      </c>
      <c r="W42" s="502">
        <f t="shared" si="25"/>
        <v>1222.5</v>
      </c>
      <c r="X42" s="502">
        <v>1</v>
      </c>
      <c r="Y42" s="502">
        <f t="shared" si="26"/>
        <v>1222.5</v>
      </c>
      <c r="Z42" s="502">
        <f t="shared" si="27"/>
        <v>6112.5</v>
      </c>
      <c r="AA42" s="502">
        <f t="shared" si="28"/>
        <v>20782.5</v>
      </c>
      <c r="AB42" s="475">
        <f t="shared" si="29"/>
        <v>2015</v>
      </c>
      <c r="AC42" s="475">
        <f t="shared" si="30"/>
        <v>2016.25</v>
      </c>
      <c r="AD42" s="475">
        <f t="shared" si="31"/>
        <v>2020</v>
      </c>
      <c r="AE42" s="495">
        <f t="shared" si="32"/>
        <v>2015.25</v>
      </c>
      <c r="AF42" s="495">
        <f t="shared" si="33"/>
        <v>-8.3333333333333329E-2</v>
      </c>
    </row>
    <row r="43" spans="1:35">
      <c r="B43" s="534">
        <v>2</v>
      </c>
      <c r="C43" s="503" t="s">
        <v>1330</v>
      </c>
      <c r="D43" s="499">
        <v>2015</v>
      </c>
      <c r="E43" s="474">
        <v>1</v>
      </c>
      <c r="F43" s="500">
        <v>0</v>
      </c>
      <c r="G43" s="474" t="s">
        <v>1307</v>
      </c>
      <c r="H43" s="535">
        <v>5</v>
      </c>
      <c r="I43" s="494">
        <f t="shared" si="17"/>
        <v>2020</v>
      </c>
      <c r="J43" s="475"/>
      <c r="K43" s="475"/>
      <c r="L43" s="501">
        <v>300</v>
      </c>
      <c r="M43" s="502"/>
      <c r="N43" s="501">
        <f t="shared" si="18"/>
        <v>300</v>
      </c>
      <c r="O43" s="502">
        <f t="shared" si="19"/>
        <v>5</v>
      </c>
      <c r="P43" s="502">
        <f t="shared" si="20"/>
        <v>60</v>
      </c>
      <c r="Q43" s="502">
        <f t="shared" si="21"/>
        <v>0</v>
      </c>
      <c r="R43" s="502">
        <f t="shared" si="22"/>
        <v>60</v>
      </c>
      <c r="S43" s="502">
        <v>1</v>
      </c>
      <c r="T43" s="502">
        <f t="shared" si="23"/>
        <v>60</v>
      </c>
      <c r="U43" s="502"/>
      <c r="V43" s="502">
        <f t="shared" si="24"/>
        <v>15</v>
      </c>
      <c r="W43" s="502">
        <f t="shared" si="25"/>
        <v>15</v>
      </c>
      <c r="X43" s="502">
        <v>1</v>
      </c>
      <c r="Y43" s="502">
        <f t="shared" si="26"/>
        <v>15</v>
      </c>
      <c r="Z43" s="502">
        <f t="shared" si="27"/>
        <v>75</v>
      </c>
      <c r="AA43" s="502">
        <f t="shared" si="28"/>
        <v>255</v>
      </c>
      <c r="AB43" s="475">
        <f t="shared" si="29"/>
        <v>2015</v>
      </c>
      <c r="AC43" s="475">
        <f t="shared" si="30"/>
        <v>2016.25</v>
      </c>
      <c r="AD43" s="475">
        <f t="shared" si="31"/>
        <v>2020</v>
      </c>
      <c r="AE43" s="495">
        <f t="shared" si="32"/>
        <v>2015.25</v>
      </c>
      <c r="AF43" s="495">
        <f t="shared" si="33"/>
        <v>-8.3333333333333329E-2</v>
      </c>
    </row>
    <row r="44" spans="1:35">
      <c r="B44" s="534">
        <v>1</v>
      </c>
      <c r="C44" s="503" t="s">
        <v>1331</v>
      </c>
      <c r="D44" s="499">
        <v>2015</v>
      </c>
      <c r="E44" s="474">
        <v>1</v>
      </c>
      <c r="F44" s="500">
        <v>0</v>
      </c>
      <c r="G44" s="474" t="s">
        <v>1307</v>
      </c>
      <c r="H44" s="535">
        <v>5</v>
      </c>
      <c r="I44" s="494">
        <f t="shared" si="17"/>
        <v>2020</v>
      </c>
      <c r="J44" s="475"/>
      <c r="K44" s="475"/>
      <c r="L44" s="501">
        <v>150</v>
      </c>
      <c r="M44" s="502"/>
      <c r="N44" s="501">
        <f t="shared" si="18"/>
        <v>150</v>
      </c>
      <c r="O44" s="502">
        <f t="shared" si="19"/>
        <v>2.5</v>
      </c>
      <c r="P44" s="502">
        <f t="shared" si="20"/>
        <v>30</v>
      </c>
      <c r="Q44" s="502">
        <f t="shared" si="21"/>
        <v>0</v>
      </c>
      <c r="R44" s="502">
        <f t="shared" si="22"/>
        <v>30</v>
      </c>
      <c r="S44" s="502">
        <v>1</v>
      </c>
      <c r="T44" s="502">
        <f t="shared" si="23"/>
        <v>30</v>
      </c>
      <c r="U44" s="502"/>
      <c r="V44" s="502">
        <f t="shared" si="24"/>
        <v>7.5</v>
      </c>
      <c r="W44" s="502">
        <f t="shared" si="25"/>
        <v>7.5</v>
      </c>
      <c r="X44" s="502">
        <v>1</v>
      </c>
      <c r="Y44" s="502">
        <f t="shared" si="26"/>
        <v>7.5</v>
      </c>
      <c r="Z44" s="502">
        <f t="shared" si="27"/>
        <v>37.5</v>
      </c>
      <c r="AA44" s="502">
        <f t="shared" si="28"/>
        <v>127.5</v>
      </c>
      <c r="AB44" s="475">
        <f t="shared" si="29"/>
        <v>2015</v>
      </c>
      <c r="AC44" s="475">
        <f t="shared" si="30"/>
        <v>2016.25</v>
      </c>
      <c r="AD44" s="475">
        <f t="shared" si="31"/>
        <v>2020</v>
      </c>
      <c r="AE44" s="495">
        <f t="shared" si="32"/>
        <v>2015.25</v>
      </c>
      <c r="AF44" s="495">
        <f t="shared" si="33"/>
        <v>-8.3333333333333329E-2</v>
      </c>
    </row>
    <row r="45" spans="1:35">
      <c r="B45" s="534">
        <v>22</v>
      </c>
      <c r="C45" s="503" t="s">
        <v>1332</v>
      </c>
      <c r="D45" s="499">
        <v>2015</v>
      </c>
      <c r="E45" s="474">
        <v>6</v>
      </c>
      <c r="F45" s="500">
        <v>0</v>
      </c>
      <c r="G45" s="474" t="s">
        <v>1307</v>
      </c>
      <c r="H45" s="536">
        <v>10</v>
      </c>
      <c r="I45" s="494">
        <f t="shared" si="17"/>
        <v>2025</v>
      </c>
      <c r="J45" s="475"/>
      <c r="K45" s="475"/>
      <c r="L45" s="501">
        <v>11390.66</v>
      </c>
      <c r="M45" s="502"/>
      <c r="N45" s="501">
        <f t="shared" si="18"/>
        <v>11390.66</v>
      </c>
      <c r="O45" s="502">
        <f t="shared" si="19"/>
        <v>94.922166666666669</v>
      </c>
      <c r="P45" s="502">
        <f>IF(M45&gt;0,0,IF((OR((AB45&gt;AC45),(AD45&lt;AE45))),0,IF((AND((AD45&gt;=AE45),(AD45&lt;=AC45))),O45*((AD45-AE45)*12),IF((AND((AE45&lt;=AB45),(AC45&gt;=AB45))),((AC45-AB45)*12)*O45,IF(AD45&gt;AC45,12*O45,0)))))</f>
        <v>949.2216666665804</v>
      </c>
      <c r="Q45" s="502">
        <f>IF(M45=0,0,IF((AND((AF45&gt;=AE45),(AF45&lt;=AD45))),((AF45-AE45)*12)*O45,0))</f>
        <v>0</v>
      </c>
      <c r="R45" s="502">
        <f>IF(Q45&gt;0,Q45,P45)</f>
        <v>949.2216666665804</v>
      </c>
      <c r="S45" s="502">
        <v>1</v>
      </c>
      <c r="T45" s="502">
        <f>S45*SUM(P45:Q45)</f>
        <v>949.2216666665804</v>
      </c>
      <c r="U45" s="502"/>
      <c r="V45" s="502">
        <f>IF(AB45&gt;AC45,0,IF(AD45&lt;AE45,N45,IF((AND((AD45&gt;=AE45),(AD45&lt;=AC45))),(N45-R45),IF((AND((AE45&lt;=AB45),(AC45&gt;=AB45))),0,IF(AD45&gt;AC45,((AE45-AB45)*12)*O45,0)))))</f>
        <v>0</v>
      </c>
      <c r="W45" s="502">
        <f>V45*S45</f>
        <v>0</v>
      </c>
      <c r="X45" s="502">
        <v>1</v>
      </c>
      <c r="Y45" s="502">
        <f>W45*X45</f>
        <v>0</v>
      </c>
      <c r="Z45" s="502">
        <f>IF(M45&gt;0,0,Y45+T45*X45)*X45</f>
        <v>949.2216666665804</v>
      </c>
      <c r="AA45" s="502">
        <f>IF(M45&gt;0,(L45-Y45)/2,IF(AB45&gt;=AE45,(((L45*S45)*X45)-Z45)/2,((((L45*S45)*X45)-Y45)+(((L45*S45)*X45)-Z45))/2))</f>
        <v>5220.7191666667095</v>
      </c>
      <c r="AB45" s="475">
        <f t="shared" si="29"/>
        <v>2015.4166666666667</v>
      </c>
      <c r="AC45" s="475">
        <f t="shared" si="30"/>
        <v>2016.25</v>
      </c>
      <c r="AD45" s="475">
        <f t="shared" si="31"/>
        <v>2025.4166666666667</v>
      </c>
      <c r="AE45" s="495">
        <f t="shared" si="32"/>
        <v>2015.25</v>
      </c>
      <c r="AF45" s="495">
        <f t="shared" si="33"/>
        <v>-8.3333333333333329E-2</v>
      </c>
    </row>
    <row r="46" spans="1:35">
      <c r="B46" s="534">
        <v>10</v>
      </c>
      <c r="C46" s="503" t="s">
        <v>1333</v>
      </c>
      <c r="D46" s="499">
        <v>2015</v>
      </c>
      <c r="E46" s="474">
        <v>6</v>
      </c>
      <c r="F46" s="500">
        <v>0</v>
      </c>
      <c r="G46" s="474" t="s">
        <v>1307</v>
      </c>
      <c r="H46" s="536">
        <v>10</v>
      </c>
      <c r="I46" s="494">
        <f t="shared" si="17"/>
        <v>2025</v>
      </c>
      <c r="J46" s="475"/>
      <c r="K46" s="475"/>
      <c r="L46" s="501">
        <v>4911</v>
      </c>
      <c r="M46" s="502"/>
      <c r="N46" s="501">
        <f t="shared" si="18"/>
        <v>4911</v>
      </c>
      <c r="O46" s="502">
        <f t="shared" si="19"/>
        <v>40.925000000000004</v>
      </c>
      <c r="P46" s="502">
        <f>IF(M46&gt;0,0,IF((OR((AB46&gt;AC46),(AD46&lt;AE46))),0,IF((AND((AD46&gt;=AE46),(AD46&lt;=AC46))),O46*((AD46-AE46)*12),IF((AND((AE46&lt;=AB46),(AC46&gt;=AB46))),((AC46-AB46)*12)*O46,IF(AD46&gt;AC46,12*O46,0)))))</f>
        <v>409.24999999996282</v>
      </c>
      <c r="Q46" s="502">
        <f>IF(M46=0,0,IF((AND((AF46&gt;=AE46),(AF46&lt;=AD46))),((AF46-AE46)*12)*O46,0))</f>
        <v>0</v>
      </c>
      <c r="R46" s="502">
        <f>IF(Q46&gt;0,Q46,P46)</f>
        <v>409.24999999996282</v>
      </c>
      <c r="S46" s="502">
        <v>1</v>
      </c>
      <c r="T46" s="502">
        <f>S46*SUM(P46:Q46)</f>
        <v>409.24999999996282</v>
      </c>
      <c r="U46" s="502"/>
      <c r="V46" s="502">
        <f>IF(AB46&gt;AC46,0,IF(AD46&lt;AE46,N46,IF((AND((AD46&gt;=AE46),(AD46&lt;=AC46))),(N46-R46),IF((AND((AE46&lt;=AB46),(AC46&gt;=AB46))),0,IF(AD46&gt;AC46,((AE46-AB46)*12)*O46,0)))))</f>
        <v>0</v>
      </c>
      <c r="W46" s="502">
        <f>V46*S46</f>
        <v>0</v>
      </c>
      <c r="X46" s="502">
        <v>1</v>
      </c>
      <c r="Y46" s="502">
        <f>W46*X46</f>
        <v>0</v>
      </c>
      <c r="Z46" s="502">
        <f>IF(M46&gt;0,0,Y46+T46*X46)*X46</f>
        <v>409.24999999996282</v>
      </c>
      <c r="AA46" s="502">
        <f>IF(M46&gt;0,(L46-Y46)/2,IF(AB46&gt;=AE46,(((L46*S46)*X46)-Z46)/2,((((L46*S46)*X46)-Y46)+(((L46*S46)*X46)-Z46))/2))</f>
        <v>2250.8750000000186</v>
      </c>
      <c r="AB46" s="475">
        <f t="shared" si="29"/>
        <v>2015.4166666666667</v>
      </c>
      <c r="AC46" s="475">
        <f t="shared" si="30"/>
        <v>2016.25</v>
      </c>
      <c r="AD46" s="475">
        <f t="shared" si="31"/>
        <v>2025.4166666666667</v>
      </c>
      <c r="AE46" s="495">
        <f t="shared" si="32"/>
        <v>2015.25</v>
      </c>
      <c r="AF46" s="495">
        <f t="shared" si="33"/>
        <v>-8.3333333333333329E-2</v>
      </c>
    </row>
    <row r="47" spans="1:35">
      <c r="A47" s="493"/>
      <c r="B47" s="537"/>
      <c r="C47" s="538"/>
      <c r="D47" s="539"/>
      <c r="E47" s="540"/>
      <c r="F47" s="541"/>
      <c r="G47" s="540"/>
      <c r="H47" s="540"/>
      <c r="I47" s="542"/>
      <c r="J47" s="505"/>
      <c r="K47" s="505"/>
      <c r="L47" s="501"/>
      <c r="M47" s="504"/>
      <c r="N47" s="504"/>
      <c r="O47" s="504"/>
      <c r="P47" s="504"/>
      <c r="Q47" s="504"/>
      <c r="R47" s="504"/>
      <c r="S47" s="504"/>
      <c r="T47" s="504"/>
      <c r="U47" s="504"/>
      <c r="V47" s="504"/>
      <c r="W47" s="504"/>
      <c r="X47" s="504"/>
      <c r="Y47" s="504"/>
      <c r="Z47" s="504"/>
      <c r="AA47" s="504"/>
      <c r="AB47" s="505"/>
      <c r="AC47" s="505"/>
      <c r="AD47" s="505"/>
      <c r="AE47" s="506"/>
      <c r="AF47" s="506"/>
      <c r="AG47" s="493"/>
      <c r="AH47" s="493"/>
      <c r="AI47" s="493"/>
    </row>
    <row r="48" spans="1:35" ht="12.75" thickBot="1">
      <c r="A48" s="486"/>
      <c r="B48" s="543">
        <f>SUM(B39:B47)</f>
        <v>342</v>
      </c>
      <c r="C48" s="544" t="s">
        <v>1334</v>
      </c>
      <c r="D48" s="545"/>
      <c r="E48" s="543"/>
      <c r="F48" s="546"/>
      <c r="G48" s="523"/>
      <c r="H48" s="543"/>
      <c r="I48" s="547"/>
      <c r="J48" s="523"/>
      <c r="K48" s="523"/>
      <c r="L48" s="515">
        <f>SUM(L39:L47)</f>
        <v>62801.66</v>
      </c>
      <c r="M48" s="515"/>
      <c r="N48" s="515">
        <f>SUM(N39:N47)</f>
        <v>62801.66</v>
      </c>
      <c r="O48" s="515">
        <f>SUM(O39:O47)</f>
        <v>910.84716666666668</v>
      </c>
      <c r="P48" s="515">
        <f>SUM(P39:P47)</f>
        <v>10658.471666666544</v>
      </c>
      <c r="Q48" s="515">
        <f>SUM(Q39:Q47)</f>
        <v>0</v>
      </c>
      <c r="R48" s="515">
        <f>SUM(R39:R47)</f>
        <v>10658.471666666544</v>
      </c>
      <c r="S48" s="515"/>
      <c r="T48" s="515">
        <f>SUM(T39:T47)</f>
        <v>10658.471666666544</v>
      </c>
      <c r="U48" s="515">
        <f>SUM(U39:U47)</f>
        <v>0</v>
      </c>
      <c r="V48" s="515">
        <f>SUM(V39:V47)</f>
        <v>2325</v>
      </c>
      <c r="W48" s="515">
        <f>SUM(W39:W44)</f>
        <v>2325</v>
      </c>
      <c r="X48" s="515"/>
      <c r="Y48" s="515">
        <f>SUM(Y39:Y44)</f>
        <v>2325</v>
      </c>
      <c r="Z48" s="515">
        <f>SUM(Z39:Z47)</f>
        <v>12983.471666666544</v>
      </c>
      <c r="AA48" s="515">
        <f>SUM(AA39:AA47)</f>
        <v>46996.594166666728</v>
      </c>
      <c r="AB48" s="513"/>
      <c r="AC48" s="513"/>
      <c r="AD48" s="513"/>
      <c r="AE48" s="516"/>
      <c r="AF48" s="516"/>
      <c r="AG48" s="486"/>
      <c r="AH48" s="486"/>
      <c r="AI48" s="486"/>
    </row>
    <row r="49" spans="1:35">
      <c r="A49" s="486"/>
      <c r="B49" s="548"/>
      <c r="C49" s="472"/>
      <c r="D49" s="549"/>
      <c r="E49" s="482"/>
      <c r="F49" s="511"/>
      <c r="G49" s="513"/>
      <c r="H49" s="482"/>
      <c r="I49" s="512"/>
      <c r="J49" s="513"/>
      <c r="K49" s="513"/>
      <c r="L49" s="525"/>
      <c r="M49" s="525"/>
      <c r="N49" s="525"/>
      <c r="O49" s="525"/>
      <c r="P49" s="525"/>
      <c r="Q49" s="525"/>
      <c r="R49" s="525"/>
      <c r="S49" s="525"/>
      <c r="T49" s="525"/>
      <c r="U49" s="525"/>
      <c r="V49" s="525"/>
      <c r="W49" s="525"/>
      <c r="X49" s="525"/>
      <c r="Y49" s="525"/>
      <c r="Z49" s="525"/>
      <c r="AA49" s="525"/>
      <c r="AB49" s="513"/>
      <c r="AC49" s="513"/>
      <c r="AD49" s="513"/>
      <c r="AE49" s="516"/>
      <c r="AF49" s="516"/>
      <c r="AG49" s="486"/>
      <c r="AH49" s="486"/>
      <c r="AI49" s="486"/>
    </row>
    <row r="50" spans="1:35">
      <c r="A50" s="486"/>
      <c r="B50" s="548"/>
      <c r="C50" s="472"/>
      <c r="D50" s="549"/>
      <c r="E50" s="482"/>
      <c r="F50" s="511"/>
      <c r="G50" s="513"/>
      <c r="H50" s="482"/>
      <c r="I50" s="512"/>
      <c r="J50" s="513"/>
      <c r="K50" s="513"/>
      <c r="L50" s="525"/>
      <c r="M50" s="525"/>
      <c r="N50" s="525"/>
      <c r="O50" s="525"/>
      <c r="P50" s="525"/>
      <c r="Q50" s="525"/>
      <c r="R50" s="525"/>
      <c r="S50" s="525"/>
      <c r="T50" s="525"/>
      <c r="U50" s="525"/>
      <c r="V50" s="525"/>
      <c r="W50" s="525"/>
      <c r="X50" s="525"/>
      <c r="Y50" s="525"/>
      <c r="Z50" s="525"/>
      <c r="AA50" s="525"/>
      <c r="AB50" s="513"/>
      <c r="AC50" s="513"/>
      <c r="AD50" s="513"/>
      <c r="AE50" s="516"/>
      <c r="AF50" s="516"/>
      <c r="AG50" s="486"/>
      <c r="AH50" s="486"/>
      <c r="AI50" s="486"/>
    </row>
    <row r="51" spans="1:35">
      <c r="B51" s="471"/>
      <c r="C51" s="488" t="s">
        <v>1335</v>
      </c>
      <c r="D51" s="481"/>
      <c r="E51" s="474"/>
      <c r="F51" s="500"/>
      <c r="G51" s="475"/>
      <c r="H51" s="474"/>
      <c r="I51" s="494"/>
      <c r="J51" s="475"/>
      <c r="K51" s="475"/>
      <c r="L51" s="502"/>
      <c r="M51" s="502"/>
      <c r="N51" s="502"/>
      <c r="O51" s="502"/>
      <c r="P51" s="502"/>
      <c r="Q51" s="502"/>
      <c r="R51" s="502"/>
      <c r="S51" s="502"/>
      <c r="T51" s="502"/>
      <c r="U51" s="502"/>
      <c r="V51" s="502"/>
      <c r="W51" s="502"/>
      <c r="X51" s="502"/>
      <c r="Y51" s="502"/>
      <c r="Z51" s="502"/>
      <c r="AA51" s="502"/>
      <c r="AB51" s="475"/>
      <c r="AC51" s="475"/>
      <c r="AD51" s="475"/>
      <c r="AE51" s="495"/>
      <c r="AF51" s="495"/>
    </row>
    <row r="52" spans="1:35">
      <c r="B52" s="534">
        <v>5</v>
      </c>
      <c r="C52" s="503" t="s">
        <v>1336</v>
      </c>
      <c r="D52" s="499">
        <v>2015</v>
      </c>
      <c r="E52" s="474">
        <v>1</v>
      </c>
      <c r="F52" s="500">
        <v>0</v>
      </c>
      <c r="G52" s="474" t="s">
        <v>1307</v>
      </c>
      <c r="H52" s="535">
        <v>5</v>
      </c>
      <c r="I52" s="494">
        <f t="shared" ref="I52:I57" si="34">D52+H52</f>
        <v>2020</v>
      </c>
      <c r="J52" s="475"/>
      <c r="K52" s="475"/>
      <c r="L52" s="501">
        <v>7500</v>
      </c>
      <c r="M52" s="502"/>
      <c r="N52" s="502">
        <f t="shared" ref="N52:N57" si="35">L52-L52*F52</f>
        <v>7500</v>
      </c>
      <c r="O52" s="502">
        <f t="shared" ref="O52:O57" si="36">N52/H52/12</f>
        <v>125</v>
      </c>
      <c r="P52" s="502">
        <f t="shared" ref="P52:P57" si="37">IF(M52&gt;0,0,IF((OR((AB52&gt;AC52),(AD52&lt;AE52))),0,IF((AND((AD52&gt;=AE52),(AD52&lt;=AC52))),O52*((AD52-AE52)*12),IF((AND((AE52&lt;=AB52),(AC52&gt;=AB52))),((AC52-AB52)*12)*O52,IF(AD52&gt;AC52,12*O52,0)))))</f>
        <v>1500</v>
      </c>
      <c r="Q52" s="502">
        <f t="shared" ref="Q52:Q57" si="38">IF(M52=0,0,IF((AND((AF52&gt;=AE52),(AF52&lt;=AD52))),((AF52-AE52)*12)*O52,0))</f>
        <v>0</v>
      </c>
      <c r="R52" s="502">
        <f t="shared" ref="R52:R57" si="39">IF(Q52&gt;0,Q52,P52)</f>
        <v>1500</v>
      </c>
      <c r="S52" s="502">
        <v>1</v>
      </c>
      <c r="T52" s="502">
        <f t="shared" ref="T52:T57" si="40">S52*SUM(P52:Q52)</f>
        <v>1500</v>
      </c>
      <c r="U52" s="502"/>
      <c r="V52" s="502">
        <f t="shared" ref="V52:V57" si="41">IF(AB52&gt;AC52,0,IF(AD52&lt;AE52,N52,IF((AND((AD52&gt;=AE52),(AD52&lt;=AC52))),(N52-R52),IF((AND((AE52&lt;=AB52),(AC52&gt;=AB52))),0,IF(AD52&gt;AC52,((AE52-AB52)*12)*O52,0)))))</f>
        <v>375</v>
      </c>
      <c r="W52" s="502">
        <f t="shared" ref="W52:W57" si="42">V52*S52</f>
        <v>375</v>
      </c>
      <c r="X52" s="502">
        <v>1</v>
      </c>
      <c r="Y52" s="502">
        <f t="shared" ref="Y52:Y57" si="43">W52*X52</f>
        <v>375</v>
      </c>
      <c r="Z52" s="502">
        <f t="shared" ref="Z52:Z57" si="44">IF(M52&gt;0,0,Y52+T52*X52)*X52</f>
        <v>1875</v>
      </c>
      <c r="AA52" s="502">
        <f t="shared" ref="AA52:AA57" si="45">IF(M52&gt;0,(L52-Y52)/2,IF(AB52&gt;=AE52,(((L52*S52)*X52)-Z52)/2,((((L52*S52)*X52)-Y52)+(((L52*S52)*X52)-Z52))/2))</f>
        <v>6375</v>
      </c>
      <c r="AB52" s="475">
        <f t="shared" ref="AB52:AB57" si="46">$D52+(($E52-1)/12)</f>
        <v>2015</v>
      </c>
      <c r="AC52" s="475">
        <f t="shared" ref="AC52:AC57" si="47">($N$5+1)-($N$2/12)</f>
        <v>2016.25</v>
      </c>
      <c r="AD52" s="475">
        <f t="shared" ref="AD52:AD57" si="48">$I52+(($E52-1)/12)</f>
        <v>2020</v>
      </c>
      <c r="AE52" s="495">
        <f t="shared" ref="AE52:AE57" si="49">$N$4+($N$3/12)</f>
        <v>2015.25</v>
      </c>
      <c r="AF52" s="495">
        <f t="shared" ref="AF52:AF57" si="50">$J52+(($K52-1)/12)</f>
        <v>-8.3333333333333329E-2</v>
      </c>
    </row>
    <row r="53" spans="1:35">
      <c r="B53" s="534">
        <v>15</v>
      </c>
      <c r="C53" s="503" t="s">
        <v>1337</v>
      </c>
      <c r="D53" s="499">
        <v>2015</v>
      </c>
      <c r="E53" s="474">
        <v>1</v>
      </c>
      <c r="F53" s="500">
        <v>0</v>
      </c>
      <c r="G53" s="474" t="s">
        <v>1307</v>
      </c>
      <c r="H53" s="535">
        <v>5</v>
      </c>
      <c r="I53" s="494">
        <f t="shared" si="34"/>
        <v>2020</v>
      </c>
      <c r="J53" s="475"/>
      <c r="K53" s="475"/>
      <c r="L53" s="501">
        <v>22500</v>
      </c>
      <c r="M53" s="502"/>
      <c r="N53" s="502">
        <f t="shared" si="35"/>
        <v>22500</v>
      </c>
      <c r="O53" s="502">
        <f t="shared" si="36"/>
        <v>375</v>
      </c>
      <c r="P53" s="502">
        <f t="shared" si="37"/>
        <v>4500</v>
      </c>
      <c r="Q53" s="502">
        <f t="shared" si="38"/>
        <v>0</v>
      </c>
      <c r="R53" s="502">
        <f t="shared" si="39"/>
        <v>4500</v>
      </c>
      <c r="S53" s="502">
        <v>1</v>
      </c>
      <c r="T53" s="502">
        <f t="shared" si="40"/>
        <v>4500</v>
      </c>
      <c r="U53" s="502"/>
      <c r="V53" s="502">
        <f t="shared" si="41"/>
        <v>1125</v>
      </c>
      <c r="W53" s="502">
        <f t="shared" si="42"/>
        <v>1125</v>
      </c>
      <c r="X53" s="502">
        <v>1</v>
      </c>
      <c r="Y53" s="502">
        <f t="shared" si="43"/>
        <v>1125</v>
      </c>
      <c r="Z53" s="502">
        <f t="shared" si="44"/>
        <v>5625</v>
      </c>
      <c r="AA53" s="502">
        <f t="shared" si="45"/>
        <v>19125</v>
      </c>
      <c r="AB53" s="475">
        <f t="shared" si="46"/>
        <v>2015</v>
      </c>
      <c r="AC53" s="475">
        <f t="shared" si="47"/>
        <v>2016.25</v>
      </c>
      <c r="AD53" s="475">
        <f t="shared" si="48"/>
        <v>2020</v>
      </c>
      <c r="AE53" s="495">
        <f t="shared" si="49"/>
        <v>2015.25</v>
      </c>
      <c r="AF53" s="495">
        <f t="shared" si="50"/>
        <v>-8.3333333333333329E-2</v>
      </c>
    </row>
    <row r="54" spans="1:35">
      <c r="B54" s="534">
        <v>6</v>
      </c>
      <c r="C54" s="503" t="s">
        <v>1338</v>
      </c>
      <c r="D54" s="499">
        <v>2015</v>
      </c>
      <c r="E54" s="474">
        <v>1</v>
      </c>
      <c r="F54" s="500">
        <v>0</v>
      </c>
      <c r="G54" s="474" t="s">
        <v>1307</v>
      </c>
      <c r="H54" s="535">
        <v>5</v>
      </c>
      <c r="I54" s="494">
        <f t="shared" si="34"/>
        <v>2020</v>
      </c>
      <c r="J54" s="475"/>
      <c r="K54" s="475"/>
      <c r="L54" s="501">
        <v>9000</v>
      </c>
      <c r="M54" s="502"/>
      <c r="N54" s="502">
        <f t="shared" si="35"/>
        <v>9000</v>
      </c>
      <c r="O54" s="502">
        <f t="shared" si="36"/>
        <v>150</v>
      </c>
      <c r="P54" s="502">
        <f t="shared" si="37"/>
        <v>1800</v>
      </c>
      <c r="Q54" s="502">
        <f t="shared" si="38"/>
        <v>0</v>
      </c>
      <c r="R54" s="502">
        <f t="shared" si="39"/>
        <v>1800</v>
      </c>
      <c r="S54" s="502">
        <v>1</v>
      </c>
      <c r="T54" s="502">
        <f t="shared" si="40"/>
        <v>1800</v>
      </c>
      <c r="U54" s="502"/>
      <c r="V54" s="502">
        <f t="shared" si="41"/>
        <v>450</v>
      </c>
      <c r="W54" s="502">
        <f t="shared" si="42"/>
        <v>450</v>
      </c>
      <c r="X54" s="502">
        <v>1</v>
      </c>
      <c r="Y54" s="502">
        <f t="shared" si="43"/>
        <v>450</v>
      </c>
      <c r="Z54" s="502">
        <f t="shared" si="44"/>
        <v>2250</v>
      </c>
      <c r="AA54" s="502">
        <f t="shared" si="45"/>
        <v>7650</v>
      </c>
      <c r="AB54" s="475">
        <f t="shared" si="46"/>
        <v>2015</v>
      </c>
      <c r="AC54" s="475">
        <f t="shared" si="47"/>
        <v>2016.25</v>
      </c>
      <c r="AD54" s="475">
        <f t="shared" si="48"/>
        <v>2020</v>
      </c>
      <c r="AE54" s="495">
        <f t="shared" si="49"/>
        <v>2015.25</v>
      </c>
      <c r="AF54" s="495">
        <f t="shared" si="50"/>
        <v>-8.3333333333333329E-2</v>
      </c>
    </row>
    <row r="55" spans="1:35">
      <c r="B55" s="534">
        <v>2</v>
      </c>
      <c r="C55" s="503" t="s">
        <v>1338</v>
      </c>
      <c r="D55" s="499">
        <v>2015</v>
      </c>
      <c r="E55" s="474">
        <v>6</v>
      </c>
      <c r="F55" s="500">
        <v>0</v>
      </c>
      <c r="G55" s="474" t="s">
        <v>1307</v>
      </c>
      <c r="H55" s="536">
        <v>10</v>
      </c>
      <c r="I55" s="494">
        <f t="shared" si="34"/>
        <v>2025</v>
      </c>
      <c r="J55" s="475"/>
      <c r="K55" s="475"/>
      <c r="L55" s="501">
        <v>9122</v>
      </c>
      <c r="M55" s="502"/>
      <c r="N55" s="502">
        <f t="shared" si="35"/>
        <v>9122</v>
      </c>
      <c r="O55" s="502">
        <f t="shared" si="36"/>
        <v>76.016666666666666</v>
      </c>
      <c r="P55" s="502">
        <f t="shared" si="37"/>
        <v>760.16666666659751</v>
      </c>
      <c r="Q55" s="502">
        <f t="shared" si="38"/>
        <v>0</v>
      </c>
      <c r="R55" s="502">
        <f t="shared" si="39"/>
        <v>760.16666666659751</v>
      </c>
      <c r="S55" s="502">
        <v>1</v>
      </c>
      <c r="T55" s="502">
        <f t="shared" si="40"/>
        <v>760.16666666659751</v>
      </c>
      <c r="U55" s="502"/>
      <c r="V55" s="502">
        <f t="shared" si="41"/>
        <v>0</v>
      </c>
      <c r="W55" s="502">
        <f t="shared" si="42"/>
        <v>0</v>
      </c>
      <c r="X55" s="502">
        <v>1</v>
      </c>
      <c r="Y55" s="502">
        <f t="shared" si="43"/>
        <v>0</v>
      </c>
      <c r="Z55" s="502">
        <f t="shared" si="44"/>
        <v>760.16666666659751</v>
      </c>
      <c r="AA55" s="502">
        <f t="shared" si="45"/>
        <v>4180.9166666667015</v>
      </c>
      <c r="AB55" s="475">
        <f t="shared" si="46"/>
        <v>2015.4166666666667</v>
      </c>
      <c r="AC55" s="475">
        <f t="shared" si="47"/>
        <v>2016.25</v>
      </c>
      <c r="AD55" s="475">
        <f t="shared" si="48"/>
        <v>2025.4166666666667</v>
      </c>
      <c r="AE55" s="495">
        <f t="shared" si="49"/>
        <v>2015.25</v>
      </c>
      <c r="AF55" s="495">
        <f t="shared" si="50"/>
        <v>-8.3333333333333329E-2</v>
      </c>
    </row>
    <row r="56" spans="1:35">
      <c r="B56" s="534">
        <v>2</v>
      </c>
      <c r="C56" s="503" t="s">
        <v>1337</v>
      </c>
      <c r="D56" s="499">
        <v>2015</v>
      </c>
      <c r="E56" s="474">
        <v>6</v>
      </c>
      <c r="F56" s="500">
        <v>0</v>
      </c>
      <c r="G56" s="474" t="s">
        <v>1307</v>
      </c>
      <c r="H56" s="536">
        <v>10</v>
      </c>
      <c r="I56" s="494">
        <f t="shared" si="34"/>
        <v>2025</v>
      </c>
      <c r="J56" s="475"/>
      <c r="K56" s="475"/>
      <c r="L56" s="501">
        <v>8077.5</v>
      </c>
      <c r="M56" s="502"/>
      <c r="N56" s="502">
        <f t="shared" si="35"/>
        <v>8077.5</v>
      </c>
      <c r="O56" s="502">
        <f t="shared" si="36"/>
        <v>67.3125</v>
      </c>
      <c r="P56" s="502">
        <f t="shared" si="37"/>
        <v>673.12499999993884</v>
      </c>
      <c r="Q56" s="502">
        <f t="shared" si="38"/>
        <v>0</v>
      </c>
      <c r="R56" s="502">
        <f t="shared" si="39"/>
        <v>673.12499999993884</v>
      </c>
      <c r="S56" s="502">
        <v>1</v>
      </c>
      <c r="T56" s="502">
        <f t="shared" si="40"/>
        <v>673.12499999993884</v>
      </c>
      <c r="U56" s="502"/>
      <c r="V56" s="502">
        <f t="shared" si="41"/>
        <v>0</v>
      </c>
      <c r="W56" s="502">
        <f t="shared" si="42"/>
        <v>0</v>
      </c>
      <c r="X56" s="502">
        <v>1</v>
      </c>
      <c r="Y56" s="502">
        <f t="shared" si="43"/>
        <v>0</v>
      </c>
      <c r="Z56" s="502">
        <f t="shared" si="44"/>
        <v>673.12499999993884</v>
      </c>
      <c r="AA56" s="502">
        <f t="shared" si="45"/>
        <v>3702.1875000000305</v>
      </c>
      <c r="AB56" s="475">
        <f t="shared" si="46"/>
        <v>2015.4166666666667</v>
      </c>
      <c r="AC56" s="475">
        <f t="shared" si="47"/>
        <v>2016.25</v>
      </c>
      <c r="AD56" s="475">
        <f t="shared" si="48"/>
        <v>2025.4166666666667</v>
      </c>
      <c r="AE56" s="495">
        <f t="shared" si="49"/>
        <v>2015.25</v>
      </c>
      <c r="AF56" s="495">
        <f t="shared" si="50"/>
        <v>-8.3333333333333329E-2</v>
      </c>
    </row>
    <row r="57" spans="1:35">
      <c r="B57" s="534">
        <v>2</v>
      </c>
      <c r="C57" s="503" t="s">
        <v>1338</v>
      </c>
      <c r="D57" s="499">
        <v>2015</v>
      </c>
      <c r="E57" s="474">
        <v>12</v>
      </c>
      <c r="F57" s="500">
        <v>0</v>
      </c>
      <c r="G57" s="474" t="s">
        <v>1307</v>
      </c>
      <c r="H57" s="536">
        <v>10</v>
      </c>
      <c r="I57" s="494">
        <f t="shared" si="34"/>
        <v>2025</v>
      </c>
      <c r="J57" s="475"/>
      <c r="K57" s="475"/>
      <c r="L57" s="501">
        <v>9810</v>
      </c>
      <c r="M57" s="502"/>
      <c r="N57" s="502">
        <f t="shared" si="35"/>
        <v>9810</v>
      </c>
      <c r="O57" s="502">
        <f t="shared" si="36"/>
        <v>81.75</v>
      </c>
      <c r="P57" s="502">
        <f t="shared" si="37"/>
        <v>326.99999999992565</v>
      </c>
      <c r="Q57" s="502">
        <f t="shared" si="38"/>
        <v>0</v>
      </c>
      <c r="R57" s="502">
        <f t="shared" si="39"/>
        <v>326.99999999992565</v>
      </c>
      <c r="S57" s="502">
        <v>1</v>
      </c>
      <c r="T57" s="502">
        <f t="shared" si="40"/>
        <v>326.99999999992565</v>
      </c>
      <c r="U57" s="502"/>
      <c r="V57" s="502">
        <f t="shared" si="41"/>
        <v>0</v>
      </c>
      <c r="W57" s="502">
        <f t="shared" si="42"/>
        <v>0</v>
      </c>
      <c r="X57" s="502">
        <v>1</v>
      </c>
      <c r="Y57" s="502">
        <f t="shared" si="43"/>
        <v>0</v>
      </c>
      <c r="Z57" s="502">
        <f t="shared" si="44"/>
        <v>326.99999999992565</v>
      </c>
      <c r="AA57" s="502">
        <f t="shared" si="45"/>
        <v>4741.5000000000373</v>
      </c>
      <c r="AB57" s="475">
        <f t="shared" si="46"/>
        <v>2015.9166666666667</v>
      </c>
      <c r="AC57" s="475">
        <f t="shared" si="47"/>
        <v>2016.25</v>
      </c>
      <c r="AD57" s="475">
        <f t="shared" si="48"/>
        <v>2025.9166666666667</v>
      </c>
      <c r="AE57" s="495">
        <f t="shared" si="49"/>
        <v>2015.25</v>
      </c>
      <c r="AF57" s="495">
        <f t="shared" si="50"/>
        <v>-8.3333333333333329E-2</v>
      </c>
    </row>
    <row r="58" spans="1:35">
      <c r="A58" s="493"/>
      <c r="B58" s="537"/>
      <c r="C58" s="550"/>
      <c r="D58" s="539"/>
      <c r="E58" s="540"/>
      <c r="F58" s="541"/>
      <c r="G58" s="540"/>
      <c r="H58" s="540"/>
      <c r="I58" s="542"/>
      <c r="J58" s="505"/>
      <c r="K58" s="505"/>
      <c r="L58" s="501"/>
      <c r="M58" s="504"/>
      <c r="N58" s="504"/>
      <c r="O58" s="504"/>
      <c r="P58" s="504"/>
      <c r="Q58" s="504"/>
      <c r="R58" s="504"/>
      <c r="S58" s="504"/>
      <c r="T58" s="504"/>
      <c r="U58" s="504"/>
      <c r="V58" s="504"/>
      <c r="W58" s="504"/>
      <c r="X58" s="504"/>
      <c r="Y58" s="504"/>
      <c r="Z58" s="504"/>
      <c r="AA58" s="504"/>
      <c r="AB58" s="505"/>
      <c r="AC58" s="505"/>
      <c r="AD58" s="505"/>
      <c r="AE58" s="506"/>
      <c r="AF58" s="506"/>
      <c r="AG58" s="493"/>
      <c r="AH58" s="493"/>
      <c r="AI58" s="493"/>
    </row>
    <row r="59" spans="1:35" ht="12.75" thickBot="1">
      <c r="A59" s="486"/>
      <c r="B59" s="548">
        <f>SUM(B52:B57)</f>
        <v>32</v>
      </c>
      <c r="C59" s="551" t="s">
        <v>1339</v>
      </c>
      <c r="D59" s="545"/>
      <c r="E59" s="543"/>
      <c r="F59" s="546"/>
      <c r="G59" s="523"/>
      <c r="H59" s="552"/>
      <c r="I59" s="547"/>
      <c r="J59" s="523"/>
      <c r="K59" s="523"/>
      <c r="L59" s="515">
        <f>SUM(L52:L58)</f>
        <v>66009.5</v>
      </c>
      <c r="M59" s="515"/>
      <c r="N59" s="515">
        <f>SUM(N52:N58)</f>
        <v>66009.5</v>
      </c>
      <c r="O59" s="515">
        <f>SUM(O52:O58)</f>
        <v>875.07916666666665</v>
      </c>
      <c r="P59" s="515">
        <f>SUM(P52:P58)</f>
        <v>9560.2916666664605</v>
      </c>
      <c r="Q59" s="515">
        <f>SUM(Q52:Q58)</f>
        <v>0</v>
      </c>
      <c r="R59" s="515">
        <f>SUM(R52:R58)</f>
        <v>9560.2916666664605</v>
      </c>
      <c r="S59" s="515"/>
      <c r="T59" s="515">
        <f>SUM(T52:T58)</f>
        <v>9560.2916666664605</v>
      </c>
      <c r="U59" s="515">
        <f>SUM(U52:U58)</f>
        <v>0</v>
      </c>
      <c r="V59" s="515">
        <f>SUM(V52:V58)</f>
        <v>1950</v>
      </c>
      <c r="W59" s="515">
        <f>SUM(W52:W58)</f>
        <v>1950</v>
      </c>
      <c r="X59" s="515"/>
      <c r="Y59" s="515">
        <f>SUM(Y52:Y58)</f>
        <v>1950</v>
      </c>
      <c r="Z59" s="515">
        <f>SUM(Z52:Z58)</f>
        <v>11510.291666666461</v>
      </c>
      <c r="AA59" s="515">
        <f>SUM(AA52:AA58)</f>
        <v>45774.604166666766</v>
      </c>
      <c r="AB59" s="523"/>
      <c r="AC59" s="523"/>
      <c r="AD59" s="523"/>
      <c r="AE59" s="524"/>
      <c r="AF59" s="524"/>
      <c r="AG59" s="486"/>
      <c r="AH59" s="486"/>
      <c r="AI59" s="486"/>
    </row>
    <row r="60" spans="1:35">
      <c r="A60" s="493"/>
      <c r="B60" s="553"/>
      <c r="C60" s="554"/>
      <c r="D60" s="555"/>
      <c r="E60" s="540"/>
      <c r="F60" s="541"/>
      <c r="G60" s="505"/>
      <c r="H60" s="556"/>
      <c r="I60" s="542"/>
      <c r="J60" s="505"/>
      <c r="K60" s="505"/>
      <c r="L60" s="504"/>
      <c r="M60" s="504"/>
      <c r="N60" s="504"/>
      <c r="O60" s="504"/>
      <c r="P60" s="504"/>
      <c r="Q60" s="504"/>
      <c r="R60" s="504"/>
      <c r="S60" s="504"/>
      <c r="T60" s="504"/>
      <c r="U60" s="504"/>
      <c r="V60" s="504"/>
      <c r="W60" s="504"/>
      <c r="X60" s="504"/>
      <c r="Y60" s="504"/>
      <c r="Z60" s="504"/>
      <c r="AA60" s="504"/>
      <c r="AB60" s="505"/>
      <c r="AC60" s="505"/>
      <c r="AD60" s="505"/>
      <c r="AE60" s="506"/>
      <c r="AF60" s="506"/>
      <c r="AG60" s="493"/>
      <c r="AH60" s="493"/>
      <c r="AI60" s="493"/>
    </row>
    <row r="61" spans="1:35" ht="12.75" thickBot="1">
      <c r="A61" s="486"/>
      <c r="B61" s="548"/>
      <c r="C61" s="531" t="s">
        <v>1340</v>
      </c>
      <c r="D61" s="557"/>
      <c r="E61" s="528"/>
      <c r="F61" s="529"/>
      <c r="G61" s="531"/>
      <c r="H61" s="528"/>
      <c r="I61" s="530"/>
      <c r="J61" s="531"/>
      <c r="K61" s="531"/>
      <c r="L61" s="533">
        <f>L59+L48</f>
        <v>128811.16</v>
      </c>
      <c r="M61" s="533"/>
      <c r="N61" s="533">
        <f>N59+N48</f>
        <v>128811.16</v>
      </c>
      <c r="O61" s="533">
        <f>O59+O48</f>
        <v>1785.9263333333333</v>
      </c>
      <c r="P61" s="533">
        <f>P59+P48</f>
        <v>20218.763333333005</v>
      </c>
      <c r="Q61" s="533">
        <f>Q59+Q48</f>
        <v>0</v>
      </c>
      <c r="R61" s="533">
        <f>R59+R48</f>
        <v>20218.763333333005</v>
      </c>
      <c r="S61" s="533"/>
      <c r="T61" s="533">
        <f>T59+T48</f>
        <v>20218.763333333005</v>
      </c>
      <c r="U61" s="533"/>
      <c r="V61" s="533">
        <f>V59+V48</f>
        <v>4275</v>
      </c>
      <c r="W61" s="533">
        <f>W59+W48</f>
        <v>4275</v>
      </c>
      <c r="X61" s="533"/>
      <c r="Y61" s="533">
        <f>Y59+Y48</f>
        <v>4275</v>
      </c>
      <c r="Z61" s="533">
        <f>Z59+Z48</f>
        <v>24493.763333333005</v>
      </c>
      <c r="AA61" s="533">
        <f>AA59+AA48</f>
        <v>92771.198333333494</v>
      </c>
      <c r="AB61" s="513"/>
      <c r="AC61" s="513"/>
      <c r="AD61" s="513"/>
      <c r="AE61" s="516"/>
      <c r="AF61" s="516"/>
      <c r="AG61" s="486"/>
      <c r="AH61" s="486"/>
      <c r="AI61" s="486"/>
    </row>
    <row r="62" spans="1:35">
      <c r="A62" s="486"/>
      <c r="B62" s="548"/>
      <c r="C62" s="523"/>
      <c r="D62" s="545"/>
      <c r="E62" s="543"/>
      <c r="F62" s="546"/>
      <c r="G62" s="523"/>
      <c r="H62" s="543"/>
      <c r="I62" s="547"/>
      <c r="J62" s="523"/>
      <c r="K62" s="523"/>
      <c r="L62" s="525"/>
      <c r="M62" s="525"/>
      <c r="N62" s="525"/>
      <c r="O62" s="525"/>
      <c r="P62" s="525"/>
      <c r="Q62" s="525"/>
      <c r="R62" s="525"/>
      <c r="S62" s="525"/>
      <c r="T62" s="525"/>
      <c r="U62" s="525"/>
      <c r="V62" s="525"/>
      <c r="W62" s="525"/>
      <c r="X62" s="525"/>
      <c r="Y62" s="525"/>
      <c r="Z62" s="525"/>
      <c r="AA62" s="525"/>
      <c r="AB62" s="513"/>
      <c r="AC62" s="513"/>
      <c r="AD62" s="513"/>
      <c r="AE62" s="516"/>
      <c r="AF62" s="516"/>
      <c r="AG62" s="486"/>
      <c r="AH62" s="486"/>
      <c r="AI62" s="486"/>
    </row>
    <row r="63" spans="1:35" hidden="1">
      <c r="A63" s="486"/>
      <c r="B63" s="548"/>
      <c r="C63" s="523"/>
      <c r="D63" s="545"/>
      <c r="E63" s="543"/>
      <c r="F63" s="546"/>
      <c r="G63" s="523"/>
      <c r="H63" s="543"/>
      <c r="I63" s="547"/>
      <c r="J63" s="523"/>
      <c r="K63" s="523"/>
      <c r="L63" s="525"/>
      <c r="M63" s="525"/>
      <c r="N63" s="525"/>
      <c r="O63" s="525"/>
      <c r="P63" s="525"/>
      <c r="Q63" s="525"/>
      <c r="R63" s="525"/>
      <c r="S63" s="525"/>
      <c r="T63" s="525"/>
      <c r="U63" s="525"/>
      <c r="V63" s="525"/>
      <c r="W63" s="525"/>
      <c r="X63" s="525"/>
      <c r="Y63" s="525"/>
      <c r="Z63" s="525"/>
      <c r="AA63" s="525"/>
      <c r="AB63" s="513"/>
      <c r="AC63" s="513"/>
      <c r="AD63" s="513"/>
      <c r="AE63" s="516"/>
      <c r="AF63" s="516"/>
      <c r="AG63" s="486"/>
      <c r="AH63" s="486"/>
      <c r="AI63" s="486"/>
    </row>
    <row r="64" spans="1:35" hidden="1">
      <c r="A64" s="493"/>
      <c r="B64" s="553"/>
      <c r="C64" s="496" t="s">
        <v>1341</v>
      </c>
      <c r="D64" s="475"/>
      <c r="E64" s="475"/>
      <c r="F64" s="500"/>
      <c r="G64" s="474"/>
      <c r="H64" s="474"/>
      <c r="I64" s="474"/>
      <c r="J64" s="475"/>
      <c r="K64" s="475"/>
      <c r="L64" s="525"/>
      <c r="M64" s="504"/>
      <c r="N64" s="525"/>
      <c r="O64" s="525"/>
      <c r="P64" s="525"/>
      <c r="Q64" s="525"/>
      <c r="R64" s="525"/>
      <c r="S64" s="525"/>
      <c r="T64" s="525"/>
      <c r="U64" s="525"/>
      <c r="V64" s="525"/>
      <c r="W64" s="525"/>
      <c r="X64" s="525"/>
      <c r="Y64" s="525"/>
      <c r="Z64" s="525"/>
      <c r="AA64" s="525"/>
      <c r="AB64" s="475"/>
      <c r="AC64" s="475"/>
      <c r="AD64" s="475"/>
      <c r="AE64" s="495"/>
      <c r="AF64" s="495"/>
      <c r="AG64" s="493"/>
      <c r="AH64" s="493"/>
      <c r="AI64" s="493"/>
    </row>
    <row r="65" spans="1:35" s="567" customFormat="1" hidden="1">
      <c r="A65" s="558"/>
      <c r="B65" s="559"/>
      <c r="C65" s="560"/>
      <c r="D65" s="561"/>
      <c r="E65" s="536"/>
      <c r="F65" s="562"/>
      <c r="G65" s="536"/>
      <c r="H65" s="536"/>
      <c r="I65" s="563">
        <f>D65+H65</f>
        <v>0</v>
      </c>
      <c r="J65" s="560"/>
      <c r="K65" s="560"/>
      <c r="L65" s="564"/>
      <c r="M65" s="565"/>
      <c r="N65" s="565">
        <f>L65-L65*F65</f>
        <v>0</v>
      </c>
      <c r="O65" s="565" t="e">
        <f>N65/H65/12</f>
        <v>#DIV/0!</v>
      </c>
      <c r="P65" s="565">
        <f>IF(M65&gt;0,0,IF((OR((AB65&gt;AC65),(AD65&lt;AE65))),0,IF((AND((AD65&gt;=AE65),(AD65&lt;=AC65))),O65*((AD65-AE65)*12),IF((AND((AE65&lt;=AB65),(AC65&gt;=AB65))),((AC65-AB65)*12)*O65,IF(AD65&gt;AC65,12*O65,0)))))</f>
        <v>0</v>
      </c>
      <c r="Q65" s="565">
        <f>IF(M65=0,0,IF((AND((AF65&gt;=AE65),(AF65&lt;=AD65))),((AF65-AE65)*12)*O65,0))</f>
        <v>0</v>
      </c>
      <c r="R65" s="565">
        <f>IF(Q65&gt;0,Q65,P65)</f>
        <v>0</v>
      </c>
      <c r="S65" s="565">
        <v>1</v>
      </c>
      <c r="T65" s="565">
        <f>S65*SUM(P65:Q65)</f>
        <v>0</v>
      </c>
      <c r="U65" s="565"/>
      <c r="V65" s="565">
        <f>IF(AB65&gt;AC65,0,IF(AD65&lt;AE65,N65,IF((AND((AD65&gt;=AE65),(AD65&lt;=AC65))),(N65-R65),IF((AND((AE65&lt;=AB65),(AC65&gt;=AB65))),0,IF(AD65&gt;AC65,((AE65-AB65)*12)*O65,0)))))</f>
        <v>0</v>
      </c>
      <c r="W65" s="565">
        <f>V65*S65</f>
        <v>0</v>
      </c>
      <c r="X65" s="565">
        <v>1</v>
      </c>
      <c r="Y65" s="565">
        <f>W65*X65</f>
        <v>0</v>
      </c>
      <c r="Z65" s="565">
        <f>IF(M65&gt;0,0,Y65+T65*X65)*X65</f>
        <v>0</v>
      </c>
      <c r="AA65" s="565">
        <f>IF(M65&gt;0,(L65-Y65)/2,IF(AB65&gt;=AE65,(((L65*S65)*X65)-Z65)/2,((((L65*S65)*X65)-Y65)+(((L65*S65)*X65)-Z65))/2))</f>
        <v>0</v>
      </c>
      <c r="AB65" s="560">
        <f>$D65+(($E65-1)/12)</f>
        <v>-8.3333333333333329E-2</v>
      </c>
      <c r="AC65" s="560">
        <f>($N$5+1)-($N$2/12)</f>
        <v>2016.25</v>
      </c>
      <c r="AD65" s="560">
        <f>$I65+(($E65-1)/12)</f>
        <v>-8.3333333333333329E-2</v>
      </c>
      <c r="AE65" s="566">
        <f>$N$4+($N$3/12)</f>
        <v>2015.25</v>
      </c>
      <c r="AF65" s="566">
        <f>$J65+(($K65-1)/12)</f>
        <v>-8.3333333333333329E-2</v>
      </c>
      <c r="AG65" s="558"/>
      <c r="AH65" s="558"/>
      <c r="AI65" s="558"/>
    </row>
    <row r="66" spans="1:35" s="567" customFormat="1" hidden="1">
      <c r="A66" s="558"/>
      <c r="B66" s="559"/>
      <c r="C66" s="560"/>
      <c r="D66" s="561"/>
      <c r="E66" s="536"/>
      <c r="F66" s="562"/>
      <c r="G66" s="536"/>
      <c r="H66" s="536"/>
      <c r="I66" s="563">
        <f>D66+H66</f>
        <v>0</v>
      </c>
      <c r="J66" s="560"/>
      <c r="K66" s="560"/>
      <c r="L66" s="564"/>
      <c r="M66" s="565"/>
      <c r="N66" s="565">
        <f>L66-L66*F66</f>
        <v>0</v>
      </c>
      <c r="O66" s="565" t="e">
        <f>N66/H66/12</f>
        <v>#DIV/0!</v>
      </c>
      <c r="P66" s="565">
        <f>IF(M66&gt;0,0,IF((OR((AB66&gt;AC66),(AD66&lt;AE66))),0,IF((AND((AD66&gt;=AE66),(AD66&lt;=AC66))),O66*((AD66-AE66)*12),IF((AND((AE66&lt;=AB66),(AC66&gt;=AB66))),((AC66-AB66)*12)*O66,IF(AD66&gt;AC66,12*O66,0)))))</f>
        <v>0</v>
      </c>
      <c r="Q66" s="565">
        <f>IF(M66=0,0,IF((AND((AF66&gt;=AE66),(AF66&lt;=AD66))),((AF66-AE66)*12)*O66,0))</f>
        <v>0</v>
      </c>
      <c r="R66" s="565">
        <f>IF(Q66&gt;0,Q66,P66)</f>
        <v>0</v>
      </c>
      <c r="S66" s="565">
        <v>1</v>
      </c>
      <c r="T66" s="565">
        <f>S66*SUM(P66:Q66)</f>
        <v>0</v>
      </c>
      <c r="U66" s="565"/>
      <c r="V66" s="565">
        <f>IF(AB66&gt;AC66,0,IF(AD66&lt;AE66,N66,IF((AND((AD66&gt;=AE66),(AD66&lt;=AC66))),(N66-R66),IF((AND((AE66&lt;=AB66),(AC66&gt;=AB66))),0,IF(AD66&gt;AC66,((AE66-AB66)*12)*O66,0)))))</f>
        <v>0</v>
      </c>
      <c r="W66" s="565">
        <f>V66*S66</f>
        <v>0</v>
      </c>
      <c r="X66" s="565">
        <v>1</v>
      </c>
      <c r="Y66" s="565">
        <f>W66*X66</f>
        <v>0</v>
      </c>
      <c r="Z66" s="565">
        <f>IF(M66&gt;0,0,Y66+T66*X66)*X66</f>
        <v>0</v>
      </c>
      <c r="AA66" s="565">
        <f>IF(M66&gt;0,(L66-Y66)/2,IF(AB66&gt;=AE66,(((L66*S66)*X66)-Z66)/2,((((L66*S66)*X66)-Y66)+(((L66*S66)*X66)-Z66))/2))</f>
        <v>0</v>
      </c>
      <c r="AB66" s="560">
        <f>$D66+(($E66-1)/12)</f>
        <v>-8.3333333333333329E-2</v>
      </c>
      <c r="AC66" s="560">
        <f>($N$5+1)-($N$2/12)</f>
        <v>2016.25</v>
      </c>
      <c r="AD66" s="560">
        <f>$I66+(($E66-1)/12)</f>
        <v>-8.3333333333333329E-2</v>
      </c>
      <c r="AE66" s="566">
        <f>$N$4+($N$3/12)</f>
        <v>2015.25</v>
      </c>
      <c r="AF66" s="566">
        <f>$J66+(($K66-1)/12)</f>
        <v>-8.3333333333333329E-2</v>
      </c>
      <c r="AG66" s="558"/>
      <c r="AH66" s="558"/>
      <c r="AI66" s="558"/>
    </row>
    <row r="67" spans="1:35" s="567" customFormat="1" hidden="1">
      <c r="A67" s="558"/>
      <c r="B67" s="559"/>
      <c r="C67" s="560"/>
      <c r="D67" s="561"/>
      <c r="E67" s="536"/>
      <c r="F67" s="562"/>
      <c r="G67" s="536"/>
      <c r="H67" s="536"/>
      <c r="I67" s="494">
        <f>D67+H67</f>
        <v>0</v>
      </c>
      <c r="J67" s="560"/>
      <c r="K67" s="560"/>
      <c r="L67" s="564"/>
      <c r="M67" s="565"/>
      <c r="N67" s="502">
        <f>L67-L67*F67</f>
        <v>0</v>
      </c>
      <c r="O67" s="502" t="e">
        <f>N67/H67/12</f>
        <v>#DIV/0!</v>
      </c>
      <c r="P67" s="502">
        <f>IF(M67&gt;0,0,IF((OR((AB67&gt;AC67),(AD67&lt;AE67))),0,IF((AND((AD67&gt;=AE67),(AD67&lt;=AC67))),O67*((AD67-AE67)*12),IF((AND((AE67&lt;=AB67),(AC67&gt;=AB67))),((AC67-AB67)*12)*O67,IF(AD67&gt;AC67,12*O67,0)))))</f>
        <v>0</v>
      </c>
      <c r="Q67" s="502">
        <f>IF(M67=0,0,IF((AND((AF67&gt;=AE67),(AF67&lt;=AD67))),((AF67-AE67)*12)*O67,0))</f>
        <v>0</v>
      </c>
      <c r="R67" s="502">
        <f>IF(Q67&gt;0,Q67,P67)</f>
        <v>0</v>
      </c>
      <c r="S67" s="502">
        <v>1</v>
      </c>
      <c r="T67" s="502">
        <f>S67*SUM(P67:Q67)</f>
        <v>0</v>
      </c>
      <c r="U67" s="502"/>
      <c r="V67" s="502">
        <f>IF(AB67&gt;AC67,0,IF(AD67&lt;AE67,N67,IF((AND((AD67&gt;=AE67),(AD67&lt;=AC67))),(N67-R67),IF((AND((AE67&lt;=AB67),(AC67&gt;=AB67))),0,IF(AD67&gt;AC67,((AE67-AB67)*12)*O67,0)))))</f>
        <v>0</v>
      </c>
      <c r="W67" s="502">
        <f>V67*S67</f>
        <v>0</v>
      </c>
      <c r="X67" s="502">
        <v>1</v>
      </c>
      <c r="Y67" s="502">
        <f>W67*X67</f>
        <v>0</v>
      </c>
      <c r="Z67" s="502">
        <f>IF(M67&gt;0,0,Y67+T67*X67)*X67</f>
        <v>0</v>
      </c>
      <c r="AA67" s="502">
        <f>IF(M67&gt;0,(L67-Y67)/2,IF(AB67&gt;=AE67,(((L67*S67)*X67)-Z67)/2,((((L67*S67)*X67)-Y67)+(((L67*S67)*X67)-Z67))/2))</f>
        <v>0</v>
      </c>
      <c r="AB67" s="475">
        <f>$D67+(($E67-1)/12)</f>
        <v>-8.3333333333333329E-2</v>
      </c>
      <c r="AC67" s="475">
        <f>($N$5+1)-($N$2/12)</f>
        <v>2016.25</v>
      </c>
      <c r="AD67" s="475">
        <f>$I67+(($E67-1)/12)</f>
        <v>-8.3333333333333329E-2</v>
      </c>
      <c r="AE67" s="495">
        <f>$N$4+($N$3/12)</f>
        <v>2015.25</v>
      </c>
      <c r="AF67" s="495">
        <f>$J67+(($K67-1)/12)</f>
        <v>-8.3333333333333329E-2</v>
      </c>
      <c r="AG67" s="558"/>
      <c r="AH67" s="558"/>
      <c r="AI67" s="558"/>
    </row>
    <row r="68" spans="1:35" s="567" customFormat="1" hidden="1">
      <c r="A68" s="558"/>
      <c r="B68" s="559"/>
      <c r="C68" s="560"/>
      <c r="D68" s="561"/>
      <c r="E68" s="536"/>
      <c r="F68" s="562"/>
      <c r="G68" s="536"/>
      <c r="H68" s="536"/>
      <c r="I68" s="494">
        <f>D68+H68</f>
        <v>0</v>
      </c>
      <c r="J68" s="560"/>
      <c r="K68" s="560"/>
      <c r="L68" s="564"/>
      <c r="M68" s="565"/>
      <c r="N68" s="502">
        <f>L68-L68*F68</f>
        <v>0</v>
      </c>
      <c r="O68" s="502" t="e">
        <f>N68/H68/12</f>
        <v>#DIV/0!</v>
      </c>
      <c r="P68" s="502">
        <f>IF(M68&gt;0,0,IF((OR((AB68&gt;AC68),(AD68&lt;AE68))),0,IF((AND((AD68&gt;=AE68),(AD68&lt;=AC68))),O68*((AD68-AE68)*12),IF((AND((AE68&lt;=AB68),(AC68&gt;=AB68))),((AC68-AB68)*12)*O68,IF(AD68&gt;AC68,12*O68,0)))))</f>
        <v>0</v>
      </c>
      <c r="Q68" s="502">
        <f>IF(M68=0,0,IF((AND((AF68&gt;=AE68),(AF68&lt;=AD68))),((AF68-AE68)*12)*O68,0))</f>
        <v>0</v>
      </c>
      <c r="R68" s="502">
        <f>IF(Q68&gt;0,Q68,P68)</f>
        <v>0</v>
      </c>
      <c r="S68" s="502">
        <v>1</v>
      </c>
      <c r="T68" s="502">
        <f>S68*SUM(P68:Q68)</f>
        <v>0</v>
      </c>
      <c r="U68" s="502"/>
      <c r="V68" s="502">
        <f>IF(AB68&gt;AC68,0,IF(AD68&lt;AE68,N68,IF((AND((AD68&gt;=AE68),(AD68&lt;=AC68))),(N68-R68),IF((AND((AE68&lt;=AB68),(AC68&gt;=AB68))),0,IF(AD68&gt;AC68,((AE68-AB68)*12)*O68,0)))))</f>
        <v>0</v>
      </c>
      <c r="W68" s="502">
        <f>V68*S68</f>
        <v>0</v>
      </c>
      <c r="X68" s="502">
        <v>1</v>
      </c>
      <c r="Y68" s="502">
        <f>W68*X68</f>
        <v>0</v>
      </c>
      <c r="Z68" s="502">
        <f>IF(M68&gt;0,0,Y68+T68*X68)*X68</f>
        <v>0</v>
      </c>
      <c r="AA68" s="502">
        <f>IF(M68&gt;0,(L68-Y68)/2,IF(AB68&gt;=AE68,(((L68*S68)*X68)-Z68)/2,((((L68*S68)*X68)-Y68)+(((L68*S68)*X68)-Z68))/2))</f>
        <v>0</v>
      </c>
      <c r="AB68" s="475">
        <f>$D68+(($E68-1)/12)</f>
        <v>-8.3333333333333329E-2</v>
      </c>
      <c r="AC68" s="475">
        <f>($N$5+1)-($N$2/12)</f>
        <v>2016.25</v>
      </c>
      <c r="AD68" s="475">
        <f>$I68+(($E68-1)/12)</f>
        <v>-8.3333333333333329E-2</v>
      </c>
      <c r="AE68" s="495">
        <f>$N$4+($N$3/12)</f>
        <v>2015.25</v>
      </c>
      <c r="AF68" s="495">
        <f>$J68+(($K68-1)/12)</f>
        <v>-8.3333333333333329E-2</v>
      </c>
      <c r="AG68" s="558"/>
      <c r="AH68" s="558"/>
      <c r="AI68" s="558"/>
    </row>
    <row r="69" spans="1:35" s="567" customFormat="1" hidden="1">
      <c r="A69" s="558"/>
      <c r="B69" s="559"/>
      <c r="C69" s="560"/>
      <c r="D69" s="561"/>
      <c r="E69" s="536"/>
      <c r="F69" s="562"/>
      <c r="G69" s="536"/>
      <c r="H69" s="536"/>
      <c r="I69" s="494">
        <f>D69+H69</f>
        <v>0</v>
      </c>
      <c r="J69" s="560"/>
      <c r="K69" s="560"/>
      <c r="L69" s="564"/>
      <c r="M69" s="565"/>
      <c r="N69" s="502">
        <f>L69-L69*F69</f>
        <v>0</v>
      </c>
      <c r="O69" s="502" t="e">
        <f>N69/H69/12</f>
        <v>#DIV/0!</v>
      </c>
      <c r="P69" s="502">
        <f>IF(M69&gt;0,0,IF((OR((AB69&gt;AC69),(AD69&lt;AE69))),0,IF((AND((AD69&gt;=AE69),(AD69&lt;=AC69))),O69*((AD69-AE69)*12),IF((AND((AE69&lt;=AB69),(AC69&gt;=AB69))),((AC69-AB69)*12)*O69,IF(AD69&gt;AC69,12*O69,0)))))</f>
        <v>0</v>
      </c>
      <c r="Q69" s="502">
        <f>IF(M69=0,0,IF((AND((AF69&gt;=AE69),(AF69&lt;=AD69))),((AF69-AE69)*12)*O69,0))</f>
        <v>0</v>
      </c>
      <c r="R69" s="502">
        <f>IF(Q69&gt;0,Q69,P69)</f>
        <v>0</v>
      </c>
      <c r="S69" s="502">
        <v>1</v>
      </c>
      <c r="T69" s="502">
        <f>S69*SUM(P69:Q69)</f>
        <v>0</v>
      </c>
      <c r="U69" s="502"/>
      <c r="V69" s="502">
        <f>IF(AB69&gt;AC69,0,IF(AD69&lt;AE69,N69,IF((AND((AD69&gt;=AE69),(AD69&lt;=AC69))),(N69-R69),IF((AND((AE69&lt;=AB69),(AC69&gt;=AB69))),0,IF(AD69&gt;AC69,((AE69-AB69)*12)*O69,0)))))</f>
        <v>0</v>
      </c>
      <c r="W69" s="502">
        <f>V69*S69</f>
        <v>0</v>
      </c>
      <c r="X69" s="502">
        <v>1</v>
      </c>
      <c r="Y69" s="502">
        <f>W69*X69</f>
        <v>0</v>
      </c>
      <c r="Z69" s="502">
        <f>IF(M69&gt;0,0,Y69+T69*X69)*X69</f>
        <v>0</v>
      </c>
      <c r="AA69" s="502">
        <f>IF(M69&gt;0,(L69-Y69)/2,IF(AB69&gt;=AE69,(((L69*S69)*X69)-Z69)/2,((((L69*S69)*X69)-Y69)+(((L69*S69)*X69)-Z69))/2))</f>
        <v>0</v>
      </c>
      <c r="AB69" s="475">
        <f>$D69+(($E69-1)/12)</f>
        <v>-8.3333333333333329E-2</v>
      </c>
      <c r="AC69" s="475">
        <f>($N$5+1)-($N$2/12)</f>
        <v>2016.25</v>
      </c>
      <c r="AD69" s="475">
        <f>$I69+(($E69-1)/12)</f>
        <v>-8.3333333333333329E-2</v>
      </c>
      <c r="AE69" s="495">
        <f>$N$4+($N$3/12)</f>
        <v>2015.25</v>
      </c>
      <c r="AF69" s="495">
        <f>$J69+(($K69-1)/12)</f>
        <v>-8.3333333333333329E-2</v>
      </c>
      <c r="AG69" s="558"/>
      <c r="AH69" s="558"/>
      <c r="AI69" s="558"/>
    </row>
    <row r="70" spans="1:35">
      <c r="A70" s="493"/>
      <c r="B70" s="553"/>
      <c r="C70" s="475"/>
      <c r="D70" s="475"/>
      <c r="E70" s="475"/>
      <c r="F70" s="500"/>
      <c r="G70" s="474"/>
      <c r="H70" s="474"/>
      <c r="I70" s="474"/>
      <c r="J70" s="475"/>
      <c r="K70" s="475"/>
      <c r="L70" s="525"/>
      <c r="M70" s="504"/>
      <c r="N70" s="525"/>
      <c r="O70" s="525"/>
      <c r="P70" s="525"/>
      <c r="Q70" s="525"/>
      <c r="R70" s="525"/>
      <c r="S70" s="525"/>
      <c r="T70" s="525"/>
      <c r="U70" s="525"/>
      <c r="V70" s="525"/>
      <c r="W70" s="525"/>
      <c r="X70" s="525"/>
      <c r="Y70" s="525"/>
      <c r="Z70" s="525"/>
      <c r="AA70" s="525"/>
      <c r="AB70" s="475"/>
      <c r="AC70" s="475"/>
      <c r="AD70" s="475"/>
      <c r="AE70" s="495"/>
      <c r="AF70" s="495"/>
      <c r="AG70" s="493"/>
      <c r="AH70" s="493"/>
      <c r="AI70" s="493"/>
    </row>
    <row r="71" spans="1:35" ht="12.75" thickBot="1">
      <c r="A71" s="493"/>
      <c r="B71" s="553"/>
      <c r="C71" s="531" t="s">
        <v>1342</v>
      </c>
      <c r="D71" s="568"/>
      <c r="E71" s="568"/>
      <c r="F71" s="569"/>
      <c r="G71" s="570"/>
      <c r="H71" s="570"/>
      <c r="I71" s="570"/>
      <c r="J71" s="568"/>
      <c r="K71" s="568"/>
      <c r="L71" s="533">
        <f>SUM(L65:L70)</f>
        <v>0</v>
      </c>
      <c r="M71" s="571"/>
      <c r="N71" s="533">
        <f>SUM(N65:N70)</f>
        <v>0</v>
      </c>
      <c r="O71" s="533"/>
      <c r="P71" s="533">
        <f>SUM(P65:P70)</f>
        <v>0</v>
      </c>
      <c r="Q71" s="533">
        <f t="shared" ref="Q71:AA71" si="51">SUM(Q65:Q70)</f>
        <v>0</v>
      </c>
      <c r="R71" s="533">
        <f t="shared" si="51"/>
        <v>0</v>
      </c>
      <c r="S71" s="533"/>
      <c r="T71" s="533">
        <f t="shared" si="51"/>
        <v>0</v>
      </c>
      <c r="U71" s="533">
        <f t="shared" si="51"/>
        <v>0</v>
      </c>
      <c r="V71" s="533">
        <f t="shared" si="51"/>
        <v>0</v>
      </c>
      <c r="W71" s="533">
        <f t="shared" si="51"/>
        <v>0</v>
      </c>
      <c r="X71" s="533"/>
      <c r="Y71" s="533">
        <f t="shared" si="51"/>
        <v>0</v>
      </c>
      <c r="Z71" s="533">
        <f t="shared" si="51"/>
        <v>0</v>
      </c>
      <c r="AA71" s="533">
        <f t="shared" si="51"/>
        <v>0</v>
      </c>
      <c r="AB71" s="475"/>
      <c r="AC71" s="475"/>
      <c r="AD71" s="475"/>
      <c r="AE71" s="495"/>
      <c r="AF71" s="495"/>
      <c r="AG71" s="493"/>
      <c r="AH71" s="493"/>
      <c r="AI71" s="493"/>
    </row>
    <row r="72" spans="1:35">
      <c r="A72" s="493"/>
      <c r="B72" s="553"/>
      <c r="C72" s="523"/>
      <c r="D72" s="505"/>
      <c r="E72" s="505"/>
      <c r="F72" s="541"/>
      <c r="G72" s="540"/>
      <c r="H72" s="540"/>
      <c r="I72" s="540"/>
      <c r="J72" s="505"/>
      <c r="K72" s="505"/>
      <c r="L72" s="525"/>
      <c r="M72" s="504"/>
      <c r="N72" s="525"/>
      <c r="O72" s="525"/>
      <c r="P72" s="525"/>
      <c r="Q72" s="525"/>
      <c r="R72" s="525"/>
      <c r="S72" s="525"/>
      <c r="T72" s="525"/>
      <c r="U72" s="525"/>
      <c r="V72" s="525"/>
      <c r="W72" s="525"/>
      <c r="X72" s="525"/>
      <c r="Y72" s="525"/>
      <c r="Z72" s="525"/>
      <c r="AA72" s="525"/>
      <c r="AB72" s="475"/>
      <c r="AC72" s="475"/>
      <c r="AD72" s="475"/>
      <c r="AE72" s="495"/>
      <c r="AF72" s="495"/>
      <c r="AG72" s="493"/>
      <c r="AH72" s="493"/>
      <c r="AI72" s="493"/>
    </row>
    <row r="73" spans="1:35">
      <c r="B73" s="471"/>
      <c r="C73" s="572"/>
      <c r="D73" s="481"/>
      <c r="E73" s="474"/>
      <c r="F73" s="474"/>
      <c r="G73" s="475"/>
      <c r="H73" s="474"/>
      <c r="I73" s="494"/>
      <c r="J73" s="475"/>
      <c r="K73" s="475"/>
      <c r="L73" s="502"/>
      <c r="M73" s="502"/>
      <c r="N73" s="502"/>
      <c r="O73" s="502"/>
      <c r="P73" s="502"/>
      <c r="Q73" s="502"/>
      <c r="R73" s="502"/>
      <c r="S73" s="502"/>
      <c r="T73" s="502"/>
      <c r="U73" s="502"/>
      <c r="V73" s="502"/>
      <c r="W73" s="502"/>
      <c r="X73" s="502"/>
      <c r="Y73" s="502"/>
      <c r="Z73" s="502"/>
      <c r="AA73" s="502"/>
      <c r="AB73" s="475"/>
      <c r="AC73" s="475"/>
      <c r="AD73" s="475"/>
      <c r="AE73" s="495"/>
      <c r="AF73" s="495"/>
    </row>
    <row r="74" spans="1:35">
      <c r="B74" s="471"/>
      <c r="C74" s="488" t="s">
        <v>1261</v>
      </c>
      <c r="D74" s="481"/>
      <c r="E74" s="474"/>
      <c r="F74" s="500"/>
      <c r="G74" s="475"/>
      <c r="H74" s="474"/>
      <c r="I74" s="494"/>
      <c r="J74" s="475"/>
      <c r="K74" s="475"/>
      <c r="L74" s="502"/>
      <c r="M74" s="502"/>
      <c r="N74" s="502"/>
      <c r="O74" s="502"/>
      <c r="P74" s="502"/>
      <c r="Q74" s="502"/>
      <c r="R74" s="502"/>
      <c r="S74" s="502"/>
      <c r="T74" s="502"/>
      <c r="U74" s="502"/>
      <c r="V74" s="502"/>
      <c r="W74" s="502"/>
      <c r="X74" s="502"/>
      <c r="Y74" s="502"/>
      <c r="Z74" s="502"/>
      <c r="AA74" s="502"/>
      <c r="AB74" s="475"/>
      <c r="AC74" s="475"/>
      <c r="AD74" s="475"/>
      <c r="AE74" s="495"/>
      <c r="AF74" s="495"/>
    </row>
    <row r="75" spans="1:35">
      <c r="B75" s="520"/>
      <c r="C75" s="503" t="s">
        <v>1343</v>
      </c>
      <c r="D75" s="499">
        <v>2015</v>
      </c>
      <c r="E75" s="474">
        <v>1</v>
      </c>
      <c r="F75" s="500">
        <v>0</v>
      </c>
      <c r="G75" s="474" t="s">
        <v>1307</v>
      </c>
      <c r="H75" s="474">
        <v>10</v>
      </c>
      <c r="I75" s="494">
        <f>D75+H75</f>
        <v>2025</v>
      </c>
      <c r="J75" s="475"/>
      <c r="K75" s="475"/>
      <c r="L75" s="501">
        <v>3474.44</v>
      </c>
      <c r="M75" s="502"/>
      <c r="N75" s="502">
        <f>L75-L75*F75</f>
        <v>3474.44</v>
      </c>
      <c r="O75" s="502">
        <f>N75/H75/12</f>
        <v>28.953666666666667</v>
      </c>
      <c r="P75" s="502">
        <f>IF(M75&gt;0,0,IF((OR((AB75&gt;AC75),(AD75&lt;AE75))),0,IF((AND((AD75&gt;=AE75),(AD75&lt;=AC75))),O75*((AD75-AE75)*12),IF((AND((AE75&lt;=AB75),(AC75&gt;=AB75))),((AC75-AB75)*12)*O75,IF(AD75&gt;AC75,12*O75,0)))))</f>
        <v>347.44400000000002</v>
      </c>
      <c r="Q75" s="502">
        <f>IF(M75=0,0,IF((AND((AF75&gt;=AE75),(AF75&lt;=AD75))),((AF75-AE75)*12)*O75,0))</f>
        <v>0</v>
      </c>
      <c r="R75" s="502">
        <f>IF(Q75&gt;0,Q75,P75)</f>
        <v>347.44400000000002</v>
      </c>
      <c r="S75" s="502">
        <v>1</v>
      </c>
      <c r="T75" s="502">
        <f>S75*SUM(P75:Q75)</f>
        <v>347.44400000000002</v>
      </c>
      <c r="U75" s="502"/>
      <c r="V75" s="502">
        <f>IF(AB75&gt;AC75,0,IF(AD75&lt;AE75,N75,IF((AND((AD75&gt;=AE75),(AD75&lt;=AC75))),(N75-R75),IF((AND((AE75&lt;=AB75),(AC75&gt;=AB75))),0,IF(AD75&gt;AC75,((AE75-AB75)*12)*O75,0)))))</f>
        <v>86.861000000000004</v>
      </c>
      <c r="W75" s="502">
        <f>V75*S75</f>
        <v>86.861000000000004</v>
      </c>
      <c r="X75" s="502">
        <v>1</v>
      </c>
      <c r="Y75" s="502">
        <f>W75*X75</f>
        <v>86.861000000000004</v>
      </c>
      <c r="Z75" s="502">
        <f>IF(M75&gt;0,0,Y75+T75*X75)*X75</f>
        <v>434.30500000000001</v>
      </c>
      <c r="AA75" s="502">
        <f>IF(M75&gt;0,(L75-Y75)/2,IF(AB75&gt;=AE75,(((L75*S75)*X75)-Z75)/2,((((L75*S75)*X75)-Y75)+(((L75*S75)*X75)-Z75))/2))</f>
        <v>3213.857</v>
      </c>
      <c r="AB75" s="475">
        <f>$D75+(($E75-1)/12)</f>
        <v>2015</v>
      </c>
      <c r="AC75" s="475">
        <f>($N$5+1)-($N$2/12)</f>
        <v>2016.25</v>
      </c>
      <c r="AD75" s="475">
        <f>$I75+(($E75-1)/12)</f>
        <v>2025</v>
      </c>
      <c r="AE75" s="495">
        <f>$N$4+($N$3/12)</f>
        <v>2015.25</v>
      </c>
      <c r="AF75" s="495">
        <f>$J75+(($K75-1)/12)</f>
        <v>-8.3333333333333329E-2</v>
      </c>
    </row>
    <row r="76" spans="1:35">
      <c r="B76" s="520"/>
      <c r="C76" s="503" t="s">
        <v>1344</v>
      </c>
      <c r="D76" s="499">
        <v>2015</v>
      </c>
      <c r="E76" s="474">
        <v>1</v>
      </c>
      <c r="F76" s="500">
        <v>0</v>
      </c>
      <c r="G76" s="474" t="s">
        <v>1307</v>
      </c>
      <c r="H76" s="474">
        <v>3</v>
      </c>
      <c r="I76" s="494">
        <f>D76+H76</f>
        <v>2018</v>
      </c>
      <c r="J76" s="475"/>
      <c r="K76" s="475"/>
      <c r="L76" s="501">
        <f>2400+184.8</f>
        <v>2584.8000000000002</v>
      </c>
      <c r="M76" s="502"/>
      <c r="N76" s="502">
        <f>L76-L76*F76</f>
        <v>2584.8000000000002</v>
      </c>
      <c r="O76" s="502">
        <f>N76/H76/12</f>
        <v>71.8</v>
      </c>
      <c r="P76" s="502">
        <f>IF(M76&gt;0,0,IF((OR((AB76&gt;AC76),(AD76&lt;AE76))),0,IF((AND((AD76&gt;=AE76),(AD76&lt;=AC76))),O76*((AD76-AE76)*12),IF((AND((AE76&lt;=AB76),(AC76&gt;=AB76))),((AC76-AB76)*12)*O76,IF(AD76&gt;AC76,12*O76,0)))))</f>
        <v>861.59999999999991</v>
      </c>
      <c r="Q76" s="502">
        <f>IF(M76=0,0,IF((AND((AF76&gt;=AE76),(AF76&lt;=AD76))),((AF76-AE76)*12)*O76,0))</f>
        <v>0</v>
      </c>
      <c r="R76" s="502">
        <f>IF(Q76&gt;0,Q76,P76)</f>
        <v>861.59999999999991</v>
      </c>
      <c r="S76" s="502">
        <v>1</v>
      </c>
      <c r="T76" s="502">
        <f>S76*SUM(P76:Q76)</f>
        <v>861.59999999999991</v>
      </c>
      <c r="U76" s="502"/>
      <c r="V76" s="502">
        <f>IF(AB76&gt;AC76,0,IF(AD76&lt;AE76,N76,IF((AND((AD76&gt;=AE76),(AD76&lt;=AC76))),(N76-R76),IF((AND((AE76&lt;=AB76),(AC76&gt;=AB76))),0,IF(AD76&gt;AC76,((AE76-AB76)*12)*O76,0)))))</f>
        <v>215.39999999999998</v>
      </c>
      <c r="W76" s="502">
        <f>V76*S76</f>
        <v>215.39999999999998</v>
      </c>
      <c r="X76" s="502">
        <v>1</v>
      </c>
      <c r="Y76" s="502">
        <f>W76*X76</f>
        <v>215.39999999999998</v>
      </c>
      <c r="Z76" s="502">
        <f>IF(M76&gt;0,0,Y76+T76*X76)*X76</f>
        <v>1077</v>
      </c>
      <c r="AA76" s="502">
        <f>IF(M76&gt;0,(L76-Y76)/2,IF(AB76&gt;=AE76,(((L76*S76)*X76)-Z76)/2,((((L76*S76)*X76)-Y76)+(((L76*S76)*X76)-Z76))/2))</f>
        <v>1938.6000000000001</v>
      </c>
      <c r="AB76" s="475">
        <f>$D76+(($E76-1)/12)</f>
        <v>2015</v>
      </c>
      <c r="AC76" s="475">
        <f>($N$5+1)-($N$2/12)</f>
        <v>2016.25</v>
      </c>
      <c r="AD76" s="475">
        <f>$I76+(($E76-1)/12)</f>
        <v>2018</v>
      </c>
      <c r="AE76" s="495">
        <f>$N$4+($N$3/12)</f>
        <v>2015.25</v>
      </c>
      <c r="AF76" s="495">
        <f>$J76+(($K76-1)/12)</f>
        <v>-8.3333333333333329E-2</v>
      </c>
    </row>
    <row r="77" spans="1:35">
      <c r="B77" s="520"/>
      <c r="C77" s="503" t="s">
        <v>1261</v>
      </c>
      <c r="D77" s="499">
        <v>2015</v>
      </c>
      <c r="E77" s="474">
        <v>1</v>
      </c>
      <c r="F77" s="500">
        <v>0</v>
      </c>
      <c r="G77" s="474" t="s">
        <v>1307</v>
      </c>
      <c r="H77" s="474">
        <v>5</v>
      </c>
      <c r="I77" s="494">
        <f>D77+H77</f>
        <v>2020</v>
      </c>
      <c r="J77" s="475"/>
      <c r="K77" s="475"/>
      <c r="L77" s="501">
        <v>2500</v>
      </c>
      <c r="M77" s="502"/>
      <c r="N77" s="502">
        <f>L77-L77*F77</f>
        <v>2500</v>
      </c>
      <c r="O77" s="502">
        <f>N77/H77/12</f>
        <v>41.666666666666664</v>
      </c>
      <c r="P77" s="502">
        <f>IF(M77&gt;0,0,IF((OR((AB77&gt;AC77),(AD77&lt;AE77))),0,IF((AND((AD77&gt;=AE77),(AD77&lt;=AC77))),O77*((AD77-AE77)*12),IF((AND((AE77&lt;=AB77),(AC77&gt;=AB77))),((AC77-AB77)*12)*O77,IF(AD77&gt;AC77,12*O77,0)))))</f>
        <v>500</v>
      </c>
      <c r="Q77" s="502">
        <f>IF(M77=0,0,IF((AND((AF77&gt;=AE77),(AF77&lt;=AD77))),((AF77-AE77)*12)*O77,0))</f>
        <v>0</v>
      </c>
      <c r="R77" s="502">
        <f>IF(Q77&gt;0,Q77,P77)</f>
        <v>500</v>
      </c>
      <c r="S77" s="502">
        <v>1</v>
      </c>
      <c r="T77" s="502">
        <f>S77*SUM(P77:Q77)</f>
        <v>500</v>
      </c>
      <c r="U77" s="502"/>
      <c r="V77" s="502">
        <f>IF(AB77&gt;AC77,0,IF(AD77&lt;AE77,N77,IF((AND((AD77&gt;=AE77),(AD77&lt;=AC77))),(N77-R77),IF((AND((AE77&lt;=AB77),(AC77&gt;=AB77))),0,IF(AD77&gt;AC77,((AE77-AB77)*12)*O77,0)))))</f>
        <v>125</v>
      </c>
      <c r="W77" s="502">
        <f>V77*S77</f>
        <v>125</v>
      </c>
      <c r="X77" s="502">
        <v>1</v>
      </c>
      <c r="Y77" s="502">
        <f>W77*X77</f>
        <v>125</v>
      </c>
      <c r="Z77" s="502">
        <f>IF(M77&gt;0,0,Y77+T77*X77)*X77</f>
        <v>625</v>
      </c>
      <c r="AA77" s="502">
        <f>IF(M77&gt;0,(L77-Y77)/2,IF(AB77&gt;=AE77,(((L77*S77)*X77)-Z77)/2,((((L77*S77)*X77)-Y77)+(((L77*S77)*X77)-Z77))/2))</f>
        <v>2125</v>
      </c>
      <c r="AB77" s="475">
        <f>$D77+(($E77-1)/12)</f>
        <v>2015</v>
      </c>
      <c r="AC77" s="475">
        <f>($N$5+1)-($N$2/12)</f>
        <v>2016.25</v>
      </c>
      <c r="AD77" s="475">
        <f>$I77+(($E77-1)/12)</f>
        <v>2020</v>
      </c>
      <c r="AE77" s="495">
        <f>$N$4+($N$3/12)</f>
        <v>2015.25</v>
      </c>
      <c r="AF77" s="495">
        <f>$J77+(($K77-1)/12)</f>
        <v>-8.3333333333333329E-2</v>
      </c>
    </row>
    <row r="78" spans="1:35">
      <c r="A78" s="493"/>
      <c r="B78" s="520"/>
      <c r="C78" s="503"/>
      <c r="D78" s="499"/>
      <c r="E78" s="474"/>
      <c r="F78" s="500"/>
      <c r="G78" s="474"/>
      <c r="H78" s="474"/>
      <c r="I78" s="494"/>
      <c r="J78" s="475"/>
      <c r="K78" s="475"/>
      <c r="L78" s="501"/>
      <c r="M78" s="504"/>
      <c r="N78" s="504"/>
      <c r="O78" s="504"/>
      <c r="P78" s="504"/>
      <c r="Q78" s="504"/>
      <c r="R78" s="504"/>
      <c r="S78" s="504"/>
      <c r="T78" s="504"/>
      <c r="U78" s="504"/>
      <c r="V78" s="504"/>
      <c r="W78" s="504"/>
      <c r="X78" s="504"/>
      <c r="Y78" s="504"/>
      <c r="Z78" s="504"/>
      <c r="AA78" s="504"/>
      <c r="AB78" s="475"/>
      <c r="AC78" s="475"/>
      <c r="AD78" s="475"/>
      <c r="AE78" s="495"/>
      <c r="AF78" s="495"/>
      <c r="AG78" s="493"/>
      <c r="AH78" s="493"/>
      <c r="AI78" s="493"/>
    </row>
    <row r="79" spans="1:35" ht="12.75" thickBot="1">
      <c r="A79" s="507"/>
      <c r="B79" s="521"/>
      <c r="C79" s="526" t="s">
        <v>1345</v>
      </c>
      <c r="D79" s="527"/>
      <c r="E79" s="528"/>
      <c r="F79" s="529"/>
      <c r="G79" s="528"/>
      <c r="H79" s="528"/>
      <c r="I79" s="530"/>
      <c r="J79" s="531"/>
      <c r="K79" s="531"/>
      <c r="L79" s="532">
        <f>SUM(L75:L78)</f>
        <v>8559.24</v>
      </c>
      <c r="M79" s="533"/>
      <c r="N79" s="532">
        <f>SUM(N75:N78)</f>
        <v>8559.24</v>
      </c>
      <c r="O79" s="532">
        <f>SUM(O75:O78)</f>
        <v>142.42033333333333</v>
      </c>
      <c r="P79" s="532">
        <f>SUM(P75:P78)</f>
        <v>1709.0439999999999</v>
      </c>
      <c r="Q79" s="532">
        <f>SUM(Q75:Q78)</f>
        <v>0</v>
      </c>
      <c r="R79" s="532">
        <f>SUM(R75:R78)</f>
        <v>1709.0439999999999</v>
      </c>
      <c r="S79" s="532"/>
      <c r="T79" s="532">
        <f>SUM(T75:T78)</f>
        <v>1709.0439999999999</v>
      </c>
      <c r="U79" s="532">
        <f>SUM(U75:U78)</f>
        <v>0</v>
      </c>
      <c r="V79" s="532">
        <f>SUM(V75:V78)</f>
        <v>427.26099999999997</v>
      </c>
      <c r="W79" s="532">
        <f>SUM(W75:W78)</f>
        <v>427.26099999999997</v>
      </c>
      <c r="X79" s="532"/>
      <c r="Y79" s="532">
        <f>SUM(Y75:Y78)</f>
        <v>427.26099999999997</v>
      </c>
      <c r="Z79" s="532">
        <f>SUM(Z75:Z78)</f>
        <v>2136.3050000000003</v>
      </c>
      <c r="AA79" s="532">
        <f>SUM(AA75:AA78)</f>
        <v>7277.4570000000003</v>
      </c>
      <c r="AB79" s="513"/>
      <c r="AC79" s="513"/>
      <c r="AD79" s="513"/>
      <c r="AE79" s="516"/>
      <c r="AF79" s="516"/>
      <c r="AG79" s="507"/>
      <c r="AH79" s="507"/>
      <c r="AI79" s="507"/>
    </row>
    <row r="80" spans="1:35">
      <c r="A80" s="507"/>
      <c r="B80" s="521"/>
      <c r="C80" s="573"/>
      <c r="D80" s="574"/>
      <c r="E80" s="543"/>
      <c r="F80" s="546"/>
      <c r="G80" s="543"/>
      <c r="H80" s="543"/>
      <c r="I80" s="547"/>
      <c r="J80" s="523"/>
      <c r="K80" s="523"/>
      <c r="L80" s="517"/>
      <c r="M80" s="525"/>
      <c r="N80" s="517"/>
      <c r="O80" s="517"/>
      <c r="P80" s="517"/>
      <c r="Q80" s="517"/>
      <c r="R80" s="517"/>
      <c r="S80" s="517"/>
      <c r="T80" s="517"/>
      <c r="U80" s="517"/>
      <c r="V80" s="517"/>
      <c r="W80" s="517"/>
      <c r="X80" s="517"/>
      <c r="Y80" s="517"/>
      <c r="Z80" s="517"/>
      <c r="AA80" s="517"/>
      <c r="AB80" s="513"/>
      <c r="AC80" s="513"/>
      <c r="AD80" s="513"/>
      <c r="AE80" s="516"/>
      <c r="AF80" s="516"/>
      <c r="AG80" s="507"/>
      <c r="AH80" s="507"/>
      <c r="AI80" s="507"/>
    </row>
    <row r="81" spans="1:35">
      <c r="B81" s="471"/>
      <c r="C81" s="474"/>
      <c r="D81" s="481"/>
      <c r="E81" s="474"/>
      <c r="F81" s="500"/>
      <c r="G81" s="475"/>
      <c r="H81" s="474"/>
      <c r="I81" s="494"/>
      <c r="J81" s="475"/>
      <c r="K81" s="475"/>
      <c r="L81" s="502"/>
      <c r="M81" s="502"/>
      <c r="N81" s="504"/>
      <c r="O81" s="504"/>
      <c r="P81" s="504"/>
      <c r="Q81" s="504"/>
      <c r="R81" s="504"/>
      <c r="S81" s="504"/>
      <c r="T81" s="504"/>
      <c r="U81" s="504"/>
      <c r="V81" s="504"/>
      <c r="W81" s="504"/>
      <c r="X81" s="504"/>
      <c r="Y81" s="504"/>
      <c r="Z81" s="504"/>
      <c r="AA81" s="504"/>
      <c r="AB81" s="475"/>
      <c r="AC81" s="475"/>
      <c r="AD81" s="475"/>
      <c r="AE81" s="495"/>
      <c r="AF81" s="495"/>
    </row>
    <row r="82" spans="1:35">
      <c r="B82" s="471"/>
      <c r="C82" s="496" t="s">
        <v>1346</v>
      </c>
      <c r="D82" s="481"/>
      <c r="E82" s="474"/>
      <c r="F82" s="500"/>
      <c r="G82" s="475"/>
      <c r="H82" s="474"/>
      <c r="I82" s="494"/>
      <c r="J82" s="475"/>
      <c r="K82" s="475"/>
      <c r="L82" s="502"/>
      <c r="M82" s="502"/>
      <c r="N82" s="502"/>
      <c r="O82" s="502"/>
      <c r="P82" s="502"/>
      <c r="Q82" s="502"/>
      <c r="R82" s="502"/>
      <c r="S82" s="502"/>
      <c r="T82" s="502"/>
      <c r="U82" s="502"/>
      <c r="V82" s="502"/>
      <c r="W82" s="502"/>
      <c r="X82" s="502"/>
      <c r="Y82" s="502"/>
      <c r="Z82" s="502"/>
      <c r="AA82" s="502"/>
      <c r="AB82" s="475"/>
      <c r="AC82" s="475"/>
      <c r="AD82" s="475"/>
      <c r="AE82" s="495"/>
      <c r="AF82" s="495"/>
    </row>
    <row r="83" spans="1:35">
      <c r="B83" s="520"/>
      <c r="C83" s="503" t="s">
        <v>1347</v>
      </c>
      <c r="D83" s="499">
        <v>2015</v>
      </c>
      <c r="E83" s="474">
        <v>5</v>
      </c>
      <c r="F83" s="500">
        <v>0.33</v>
      </c>
      <c r="G83" s="474" t="s">
        <v>1307</v>
      </c>
      <c r="H83" s="474">
        <v>5</v>
      </c>
      <c r="I83" s="494">
        <f>D83+H83</f>
        <v>2020</v>
      </c>
      <c r="J83" s="475"/>
      <c r="K83" s="475"/>
      <c r="L83" s="501">
        <f>64260+655.54</f>
        <v>64915.54</v>
      </c>
      <c r="M83" s="502"/>
      <c r="N83" s="502">
        <f>L83-L83*F83</f>
        <v>43493.411800000002</v>
      </c>
      <c r="O83" s="502">
        <f>N83/H83/12</f>
        <v>724.89019666666672</v>
      </c>
      <c r="P83" s="502">
        <f>IF(M83&gt;0,0,IF((OR((AB83&gt;AC83),(AD83&lt;AE83))),0,IF((AND((AD83&gt;=AE83),(AD83&lt;=AC83))),O83*((AD83-AE83)*12),IF((AND((AE83&lt;=AB83),(AC83&gt;=AB83))),((AC83-AB83)*12)*O83,IF(AD83&gt;AC83,12*O83,0)))))</f>
        <v>7973.7921633339929</v>
      </c>
      <c r="Q83" s="502">
        <f>IF(M83=0,0,IF((AND((AF83&gt;=AE83),(AF83&lt;=AD83))),((AF83-AE83)*12)*O83,0))</f>
        <v>0</v>
      </c>
      <c r="R83" s="502">
        <f>IF(Q83&gt;0,Q83,P83)</f>
        <v>7973.7921633339929</v>
      </c>
      <c r="S83" s="502">
        <v>1</v>
      </c>
      <c r="T83" s="502">
        <f>S83*SUM(P83:Q83)</f>
        <v>7973.7921633339929</v>
      </c>
      <c r="U83" s="502"/>
      <c r="V83" s="502">
        <f>IF(AB83&gt;AC83,0,IF(AD83&lt;AE83,N83,IF((AND((AD83&gt;=AE83),(AD83&lt;=AC83))),(N83-R83),IF((AND((AE83&lt;=AB83),(AC83&gt;=AB83))),0,IF(AD83&gt;AC83,((AE83-AB83)*12)*O83,0)))))</f>
        <v>0</v>
      </c>
      <c r="W83" s="502">
        <f>V83*S83</f>
        <v>0</v>
      </c>
      <c r="X83" s="502">
        <v>1</v>
      </c>
      <c r="Y83" s="502">
        <f>W83*X83</f>
        <v>0</v>
      </c>
      <c r="Z83" s="502">
        <f>IF(M83&gt;0,0,Y83+T83*X83)*X83</f>
        <v>7973.7921633339929</v>
      </c>
      <c r="AA83" s="502">
        <f>IF(M83&gt;0,(L83-Y83)/2,IF(AB83&gt;=AE83,(((L83*S83)*X83)-Z83)/2,((((L83*S83)*X83)-Y83)+(((L83*S83)*X83)-Z83))/2))</f>
        <v>28470.873918333004</v>
      </c>
      <c r="AB83" s="475">
        <f>$D83+(($E83-1)/12)</f>
        <v>2015.3333333333333</v>
      </c>
      <c r="AC83" s="475">
        <f>($N$5+1)-($N$2/12)</f>
        <v>2016.25</v>
      </c>
      <c r="AD83" s="475">
        <f>$I83+(($E83-1)/12)</f>
        <v>2020.3333333333333</v>
      </c>
      <c r="AE83" s="495">
        <f>$N$4+($N$3/12)</f>
        <v>2015.25</v>
      </c>
      <c r="AF83" s="495">
        <f>$J83+(($K83-1)/12)</f>
        <v>-8.3333333333333329E-2</v>
      </c>
    </row>
    <row r="84" spans="1:35">
      <c r="B84" s="520"/>
      <c r="C84" s="503" t="s">
        <v>1346</v>
      </c>
      <c r="D84" s="499">
        <v>2015</v>
      </c>
      <c r="E84" s="474">
        <v>1</v>
      </c>
      <c r="F84" s="500">
        <v>0</v>
      </c>
      <c r="G84" s="474" t="s">
        <v>1307</v>
      </c>
      <c r="H84" s="474">
        <v>5</v>
      </c>
      <c r="I84" s="494">
        <f>D84+H84</f>
        <v>2020</v>
      </c>
      <c r="J84" s="475"/>
      <c r="K84" s="475"/>
      <c r="L84" s="501">
        <v>2500</v>
      </c>
      <c r="M84" s="502"/>
      <c r="N84" s="502">
        <f>L84-L84*F84</f>
        <v>2500</v>
      </c>
      <c r="O84" s="502">
        <f>N84/H84/12</f>
        <v>41.666666666666664</v>
      </c>
      <c r="P84" s="502">
        <f>IF(M84&gt;0,0,IF((OR((AB84&gt;AC84),(AD84&lt;AE84))),0,IF((AND((AD84&gt;=AE84),(AD84&lt;=AC84))),O84*((AD84-AE84)*12),IF((AND((AE84&lt;=AB84),(AC84&gt;=AB84))),((AC84-AB84)*12)*O84,IF(AD84&gt;AC84,12*O84,0)))))</f>
        <v>500</v>
      </c>
      <c r="Q84" s="502">
        <f>IF(M84=0,0,IF((AND((AF84&gt;=AE84),(AF84&lt;=AD84))),((AF84-AE84)*12)*O84,0))</f>
        <v>0</v>
      </c>
      <c r="R84" s="502">
        <f>IF(Q84&gt;0,Q84,P84)</f>
        <v>500</v>
      </c>
      <c r="S84" s="502">
        <v>1</v>
      </c>
      <c r="T84" s="502">
        <f>S84*SUM(P84:Q84)</f>
        <v>500</v>
      </c>
      <c r="U84" s="502"/>
      <c r="V84" s="502">
        <f>IF(AB84&gt;AC84,0,IF(AD84&lt;AE84,N84,IF((AND((AD84&gt;=AE84),(AD84&lt;=AC84))),(N84-R84),IF((AND((AE84&lt;=AB84),(AC84&gt;=AB84))),0,IF(AD84&gt;AC84,((AE84-AB84)*12)*O84,0)))))</f>
        <v>125</v>
      </c>
      <c r="W84" s="502">
        <f>V84*S84</f>
        <v>125</v>
      </c>
      <c r="X84" s="502">
        <v>1</v>
      </c>
      <c r="Y84" s="502">
        <f>W84*X84</f>
        <v>125</v>
      </c>
      <c r="Z84" s="502">
        <f>IF(M84&gt;0,0,Y84+T84*X84)*X84</f>
        <v>625</v>
      </c>
      <c r="AA84" s="502">
        <f>IF(M84&gt;0,(L84-Y84)/2,IF(AB84&gt;=AE84,(((L84*S84)*X84)-Z84)/2,((((L84*S84)*X84)-Y84)+(((L84*S84)*X84)-Z84))/2))</f>
        <v>2125</v>
      </c>
      <c r="AB84" s="475">
        <f>$D84+(($E84-1)/12)</f>
        <v>2015</v>
      </c>
      <c r="AC84" s="475">
        <f>($N$5+1)-($N$2/12)</f>
        <v>2016.25</v>
      </c>
      <c r="AD84" s="475">
        <f>$I84+(($E84-1)/12)</f>
        <v>2020</v>
      </c>
      <c r="AE84" s="495">
        <f>$N$4+($N$3/12)</f>
        <v>2015.25</v>
      </c>
      <c r="AF84" s="495">
        <f>$J84+(($K84-1)/12)</f>
        <v>-8.3333333333333329E-2</v>
      </c>
    </row>
    <row r="85" spans="1:35">
      <c r="A85" s="493"/>
      <c r="B85" s="537"/>
      <c r="C85" s="550"/>
      <c r="D85" s="539"/>
      <c r="E85" s="540"/>
      <c r="F85" s="541"/>
      <c r="G85" s="540"/>
      <c r="H85" s="540"/>
      <c r="I85" s="542"/>
      <c r="J85" s="505"/>
      <c r="K85" s="505"/>
      <c r="L85" s="501"/>
      <c r="M85" s="504"/>
      <c r="N85" s="504"/>
      <c r="O85" s="504"/>
      <c r="P85" s="504"/>
      <c r="Q85" s="504"/>
      <c r="R85" s="504"/>
      <c r="S85" s="504"/>
      <c r="T85" s="504"/>
      <c r="U85" s="504"/>
      <c r="V85" s="504"/>
      <c r="W85" s="504"/>
      <c r="X85" s="504"/>
      <c r="Y85" s="504"/>
      <c r="Z85" s="504"/>
      <c r="AA85" s="504"/>
      <c r="AB85" s="505"/>
      <c r="AC85" s="505"/>
      <c r="AD85" s="505"/>
      <c r="AE85" s="506"/>
      <c r="AF85" s="506"/>
      <c r="AG85" s="493"/>
      <c r="AH85" s="493"/>
      <c r="AI85" s="493"/>
    </row>
    <row r="86" spans="1:35" ht="12.75" thickBot="1">
      <c r="A86" s="493"/>
      <c r="B86" s="553"/>
      <c r="C86" s="531" t="s">
        <v>1348</v>
      </c>
      <c r="D86" s="568"/>
      <c r="E86" s="568"/>
      <c r="F86" s="569"/>
      <c r="G86" s="570"/>
      <c r="H86" s="570" t="s">
        <v>544</v>
      </c>
      <c r="I86" s="570"/>
      <c r="J86" s="568"/>
      <c r="K86" s="568"/>
      <c r="L86" s="533">
        <f>SUM(L83:L85)</f>
        <v>67415.540000000008</v>
      </c>
      <c r="M86" s="571"/>
      <c r="N86" s="533">
        <f>SUM(N83:N85)</f>
        <v>45993.411800000002</v>
      </c>
      <c r="O86" s="533">
        <f>SUM(O83:O85)</f>
        <v>766.55686333333335</v>
      </c>
      <c r="P86" s="533">
        <f>SUM(P83:P85)</f>
        <v>8473.7921633339938</v>
      </c>
      <c r="Q86" s="533">
        <f>SUM(Q83:Q85)</f>
        <v>0</v>
      </c>
      <c r="R86" s="533">
        <f>SUM(R83:R85)</f>
        <v>8473.7921633339938</v>
      </c>
      <c r="S86" s="533"/>
      <c r="T86" s="533">
        <f>SUM(T83:T85)</f>
        <v>8473.7921633339938</v>
      </c>
      <c r="U86" s="533">
        <f>SUM(U83:U85)</f>
        <v>0</v>
      </c>
      <c r="V86" s="533">
        <f>SUM(V83:V85)</f>
        <v>125</v>
      </c>
      <c r="W86" s="533">
        <f>SUM(W83:W85)</f>
        <v>125</v>
      </c>
      <c r="X86" s="533"/>
      <c r="Y86" s="533">
        <f>SUM(Y83:Y85)</f>
        <v>125</v>
      </c>
      <c r="Z86" s="533">
        <f>SUM(Z83:Z85)</f>
        <v>8598.7921633339938</v>
      </c>
      <c r="AA86" s="533">
        <f>SUM(AA83:AA85)</f>
        <v>30595.873918333004</v>
      </c>
      <c r="AB86" s="475"/>
      <c r="AC86" s="475"/>
      <c r="AD86" s="475"/>
      <c r="AE86" s="495"/>
      <c r="AF86" s="495"/>
      <c r="AG86" s="493"/>
      <c r="AH86" s="493"/>
      <c r="AI86" s="493"/>
    </row>
    <row r="87" spans="1:35">
      <c r="A87" s="493"/>
      <c r="B87" s="553"/>
      <c r="C87" s="523"/>
      <c r="D87" s="505"/>
      <c r="E87" s="505"/>
      <c r="F87" s="541"/>
      <c r="G87" s="540"/>
      <c r="H87" s="540"/>
      <c r="I87" s="540"/>
      <c r="J87" s="505"/>
      <c r="K87" s="505"/>
      <c r="L87" s="525"/>
      <c r="M87" s="504"/>
      <c r="N87" s="525"/>
      <c r="O87" s="525"/>
      <c r="P87" s="525"/>
      <c r="Q87" s="525"/>
      <c r="R87" s="525"/>
      <c r="S87" s="525"/>
      <c r="T87" s="525"/>
      <c r="U87" s="525"/>
      <c r="V87" s="525"/>
      <c r="W87" s="525"/>
      <c r="X87" s="525"/>
      <c r="Y87" s="525"/>
      <c r="Z87" s="525"/>
      <c r="AA87" s="525"/>
      <c r="AB87" s="475"/>
      <c r="AC87" s="475"/>
      <c r="AD87" s="475"/>
      <c r="AE87" s="495"/>
      <c r="AF87" s="495"/>
      <c r="AG87" s="493"/>
      <c r="AH87" s="493"/>
      <c r="AI87" s="493"/>
    </row>
    <row r="88" spans="1:35">
      <c r="A88" s="493"/>
      <c r="B88" s="553"/>
      <c r="C88" s="475"/>
      <c r="D88" s="475"/>
      <c r="E88" s="475"/>
      <c r="F88" s="500"/>
      <c r="G88" s="474"/>
      <c r="H88" s="474"/>
      <c r="I88" s="474"/>
      <c r="J88" s="475"/>
      <c r="K88" s="475"/>
      <c r="L88" s="525"/>
      <c r="M88" s="504"/>
      <c r="N88" s="525"/>
      <c r="O88" s="525"/>
      <c r="P88" s="525"/>
      <c r="Q88" s="525"/>
      <c r="R88" s="525"/>
      <c r="S88" s="525"/>
      <c r="T88" s="525"/>
      <c r="U88" s="525"/>
      <c r="V88" s="525"/>
      <c r="W88" s="525"/>
      <c r="X88" s="525"/>
      <c r="Y88" s="525"/>
      <c r="Z88" s="525"/>
      <c r="AA88" s="525"/>
      <c r="AB88" s="475"/>
      <c r="AC88" s="475"/>
      <c r="AD88" s="475"/>
      <c r="AE88" s="495"/>
      <c r="AF88" s="495"/>
      <c r="AG88" s="493"/>
      <c r="AH88" s="493"/>
      <c r="AI88" s="493"/>
    </row>
    <row r="89" spans="1:35" ht="12.75" thickBot="1">
      <c r="A89" s="493"/>
      <c r="B89" s="553"/>
      <c r="C89" s="575" t="s">
        <v>1349</v>
      </c>
      <c r="D89" s="576"/>
      <c r="E89" s="576"/>
      <c r="F89" s="577"/>
      <c r="G89" s="578"/>
      <c r="H89" s="578"/>
      <c r="I89" s="578"/>
      <c r="J89" s="576"/>
      <c r="K89" s="576"/>
      <c r="L89" s="579">
        <f>L86+L79+L71+L61+L35</f>
        <v>955272.01999999979</v>
      </c>
      <c r="M89" s="580"/>
      <c r="N89" s="579">
        <f>N86+N79+N71+N61+N35</f>
        <v>779048.90299999993</v>
      </c>
      <c r="O89" s="579">
        <f>O86+O79+O71+O61+O35</f>
        <v>12052.151253174605</v>
      </c>
      <c r="P89" s="579"/>
      <c r="Q89" s="579"/>
      <c r="R89" s="579"/>
      <c r="S89" s="579"/>
      <c r="T89" s="579">
        <f>T86+T79+T71+T61+T35</f>
        <v>100565.35899222105</v>
      </c>
      <c r="U89" s="579"/>
      <c r="V89" s="579"/>
      <c r="W89" s="579"/>
      <c r="X89" s="579"/>
      <c r="Y89" s="579">
        <f>Y86+Y79+Y71+Y61+Y35</f>
        <v>13591.495867938467</v>
      </c>
      <c r="Z89" s="579">
        <f>Z86+Z79+Z71+Z61+Z35</f>
        <v>114156.85486015951</v>
      </c>
      <c r="AA89" s="579">
        <f>AA86+AA79+AA71+AA61+AA35</f>
        <v>631454.64963595103</v>
      </c>
      <c r="AB89" s="475"/>
      <c r="AC89" s="475"/>
      <c r="AD89" s="475"/>
      <c r="AE89" s="495"/>
      <c r="AF89" s="495"/>
      <c r="AG89" s="493"/>
      <c r="AH89" s="493"/>
      <c r="AI89" s="493"/>
    </row>
    <row r="90" spans="1:35">
      <c r="B90" s="471"/>
      <c r="C90" s="477"/>
      <c r="D90" s="481"/>
      <c r="E90" s="474"/>
      <c r="F90" s="474"/>
      <c r="G90" s="474"/>
      <c r="H90" s="474"/>
      <c r="I90" s="494"/>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row>
    <row r="91" spans="1:35">
      <c r="B91" s="471"/>
      <c r="C91" s="475"/>
      <c r="D91" s="475"/>
      <c r="E91" s="475"/>
      <c r="F91" s="500"/>
      <c r="G91" s="474"/>
      <c r="H91" s="474"/>
      <c r="I91" s="474"/>
      <c r="J91" s="475"/>
      <c r="K91" s="475"/>
      <c r="L91" s="475"/>
      <c r="M91" s="475"/>
      <c r="N91" s="475"/>
      <c r="O91" s="475"/>
      <c r="P91" s="475"/>
      <c r="Q91" s="475"/>
      <c r="R91" s="475"/>
      <c r="S91" s="475"/>
      <c r="T91" s="475"/>
      <c r="U91" s="475"/>
      <c r="V91" s="475"/>
      <c r="W91" s="475"/>
      <c r="X91" s="475"/>
      <c r="Y91" s="475"/>
      <c r="Z91" s="475"/>
      <c r="AA91" s="475"/>
      <c r="AB91" s="475"/>
      <c r="AC91" s="475"/>
      <c r="AD91" s="475"/>
      <c r="AE91" s="495"/>
      <c r="AF91" s="495"/>
    </row>
    <row r="92" spans="1:35">
      <c r="B92" s="471"/>
      <c r="C92" s="475"/>
      <c r="D92" s="475"/>
      <c r="E92" s="475"/>
      <c r="F92" s="500"/>
      <c r="G92" s="475"/>
      <c r="H92" s="474"/>
      <c r="I92" s="474"/>
      <c r="J92" s="475"/>
      <c r="K92" s="475"/>
      <c r="L92" s="475"/>
      <c r="M92" s="475"/>
      <c r="N92" s="475"/>
      <c r="O92" s="475"/>
      <c r="P92" s="475"/>
      <c r="Q92" s="475"/>
      <c r="R92" s="475"/>
      <c r="S92" s="475"/>
      <c r="T92" s="475"/>
      <c r="U92" s="475"/>
      <c r="V92" s="475"/>
      <c r="W92" s="475"/>
      <c r="X92" s="475"/>
      <c r="Y92" s="475"/>
      <c r="Z92" s="475"/>
      <c r="AA92" s="475"/>
      <c r="AB92" s="475"/>
      <c r="AC92" s="475"/>
      <c r="AD92" s="475"/>
      <c r="AE92" s="495"/>
      <c r="AF92" s="495"/>
    </row>
    <row r="93" spans="1:35">
      <c r="B93" s="471"/>
      <c r="C93" s="477"/>
      <c r="D93" s="475"/>
      <c r="E93" s="475"/>
      <c r="F93" s="474"/>
      <c r="G93" s="475"/>
      <c r="H93" s="474"/>
      <c r="I93" s="474"/>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row>
    <row r="94" spans="1:35">
      <c r="B94" s="520"/>
      <c r="C94" s="503"/>
      <c r="D94" s="499"/>
      <c r="E94" s="474"/>
      <c r="F94" s="500"/>
      <c r="G94" s="474"/>
      <c r="H94" s="474"/>
      <c r="I94" s="494"/>
      <c r="J94" s="475"/>
      <c r="K94" s="475"/>
      <c r="L94" s="581"/>
      <c r="M94" s="475"/>
      <c r="N94" s="475"/>
      <c r="O94" s="475"/>
      <c r="P94" s="475"/>
      <c r="Q94" s="475"/>
      <c r="R94" s="475"/>
      <c r="S94" s="475"/>
      <c r="T94" s="475"/>
      <c r="U94" s="475"/>
      <c r="V94" s="475"/>
      <c r="W94" s="475"/>
      <c r="X94" s="475"/>
      <c r="Y94" s="475"/>
      <c r="Z94" s="475"/>
      <c r="AA94" s="475"/>
      <c r="AB94" s="475"/>
      <c r="AC94" s="475"/>
      <c r="AD94" s="475"/>
      <c r="AE94" s="495"/>
      <c r="AF94" s="495"/>
    </row>
    <row r="95" spans="1:35">
      <c r="B95" s="520"/>
      <c r="C95" s="503"/>
      <c r="D95" s="499"/>
      <c r="E95" s="474"/>
      <c r="F95" s="500"/>
      <c r="G95" s="474"/>
      <c r="H95" s="474"/>
      <c r="I95" s="494"/>
      <c r="J95" s="475"/>
      <c r="K95" s="475"/>
      <c r="L95" s="581"/>
      <c r="M95" s="475"/>
      <c r="N95" s="475"/>
      <c r="O95" s="475"/>
      <c r="P95" s="475"/>
      <c r="Q95" s="475"/>
      <c r="R95" s="475"/>
      <c r="S95" s="475"/>
      <c r="T95" s="475"/>
      <c r="U95" s="475"/>
      <c r="V95" s="475"/>
      <c r="W95" s="475"/>
      <c r="X95" s="475"/>
      <c r="Y95" s="475"/>
      <c r="Z95" s="475"/>
      <c r="AA95" s="475"/>
      <c r="AB95" s="475"/>
      <c r="AC95" s="475"/>
      <c r="AD95" s="475"/>
      <c r="AE95" s="495"/>
      <c r="AF95" s="495"/>
    </row>
    <row r="96" spans="1:35">
      <c r="B96" s="520"/>
      <c r="C96" s="503"/>
      <c r="D96" s="499"/>
      <c r="E96" s="474"/>
      <c r="F96" s="500"/>
      <c r="G96" s="474"/>
      <c r="H96" s="474"/>
      <c r="I96" s="494"/>
      <c r="J96" s="475"/>
      <c r="K96" s="475"/>
      <c r="L96" s="581"/>
      <c r="M96" s="475"/>
      <c r="N96" s="475"/>
      <c r="O96" s="475"/>
      <c r="P96" s="475"/>
      <c r="Q96" s="475"/>
      <c r="R96" s="475"/>
      <c r="S96" s="475"/>
      <c r="T96" s="475"/>
      <c r="U96" s="475"/>
      <c r="V96" s="475"/>
      <c r="W96" s="475"/>
      <c r="X96" s="475"/>
      <c r="Y96" s="475"/>
      <c r="Z96" s="475"/>
      <c r="AA96" s="475"/>
      <c r="AB96" s="475"/>
      <c r="AC96" s="475"/>
      <c r="AD96" s="475"/>
      <c r="AE96" s="495"/>
      <c r="AF96" s="495"/>
    </row>
    <row r="97" spans="2:32">
      <c r="B97" s="520"/>
      <c r="C97" s="503"/>
      <c r="D97" s="499"/>
      <c r="E97" s="474"/>
      <c r="F97" s="500"/>
      <c r="G97" s="474"/>
      <c r="H97" s="474"/>
      <c r="I97" s="494"/>
      <c r="J97" s="475"/>
      <c r="K97" s="475"/>
      <c r="L97" s="581"/>
      <c r="M97" s="475"/>
      <c r="N97" s="475"/>
      <c r="O97" s="475"/>
      <c r="P97" s="475"/>
      <c r="Q97" s="475"/>
      <c r="R97" s="475"/>
      <c r="S97" s="475"/>
      <c r="T97" s="475"/>
      <c r="U97" s="475"/>
      <c r="V97" s="475"/>
      <c r="W97" s="475"/>
      <c r="X97" s="475"/>
      <c r="Y97" s="475"/>
      <c r="Z97" s="475"/>
      <c r="AA97" s="475"/>
      <c r="AB97" s="475"/>
      <c r="AC97" s="475"/>
      <c r="AD97" s="475"/>
      <c r="AE97" s="495"/>
      <c r="AF97" s="495"/>
    </row>
    <row r="98" spans="2:32">
      <c r="B98" s="520"/>
      <c r="C98" s="503"/>
      <c r="D98" s="499"/>
      <c r="E98" s="474"/>
      <c r="F98" s="500"/>
      <c r="G98" s="474"/>
      <c r="H98" s="474"/>
      <c r="I98" s="494"/>
      <c r="J98" s="475"/>
      <c r="K98" s="475"/>
      <c r="L98" s="581"/>
      <c r="M98" s="475"/>
      <c r="N98" s="475"/>
      <c r="O98" s="475"/>
      <c r="P98" s="475"/>
      <c r="Q98" s="475"/>
      <c r="R98" s="475"/>
      <c r="S98" s="475"/>
      <c r="T98" s="475"/>
      <c r="U98" s="475"/>
      <c r="V98" s="475"/>
      <c r="W98" s="475"/>
      <c r="X98" s="475"/>
      <c r="Y98" s="475"/>
      <c r="Z98" s="475"/>
      <c r="AA98" s="475"/>
      <c r="AB98" s="475"/>
      <c r="AC98" s="475"/>
      <c r="AD98" s="475"/>
      <c r="AE98" s="495"/>
      <c r="AF98" s="495"/>
    </row>
    <row r="99" spans="2:32">
      <c r="B99" s="520"/>
      <c r="C99" s="503"/>
      <c r="D99" s="499"/>
      <c r="E99" s="474"/>
      <c r="F99" s="500"/>
      <c r="G99" s="474"/>
      <c r="H99" s="474"/>
      <c r="I99" s="494"/>
      <c r="J99" s="475"/>
      <c r="K99" s="475"/>
      <c r="L99" s="581"/>
      <c r="M99" s="475"/>
      <c r="N99" s="475"/>
      <c r="O99" s="475"/>
      <c r="P99" s="475"/>
      <c r="Q99" s="475"/>
      <c r="R99" s="475"/>
      <c r="S99" s="475"/>
      <c r="T99" s="475"/>
      <c r="U99" s="475"/>
      <c r="V99" s="475"/>
      <c r="W99" s="475"/>
      <c r="X99" s="475"/>
      <c r="Y99" s="475"/>
      <c r="Z99" s="475"/>
      <c r="AA99" s="475"/>
      <c r="AB99" s="475"/>
      <c r="AC99" s="475"/>
      <c r="AD99" s="475"/>
      <c r="AE99" s="495"/>
      <c r="AF99" s="495"/>
    </row>
    <row r="100" spans="2:32">
      <c r="B100" s="520"/>
      <c r="C100" s="503"/>
      <c r="D100" s="499"/>
      <c r="E100" s="474"/>
      <c r="F100" s="500"/>
      <c r="G100" s="474"/>
      <c r="H100" s="474"/>
      <c r="I100" s="494"/>
      <c r="J100" s="475"/>
      <c r="K100" s="475"/>
      <c r="L100" s="581"/>
      <c r="M100" s="475"/>
      <c r="N100" s="475"/>
      <c r="O100" s="475"/>
      <c r="P100" s="475"/>
      <c r="Q100" s="475"/>
      <c r="R100" s="475"/>
      <c r="S100" s="475"/>
      <c r="T100" s="475"/>
      <c r="U100" s="475"/>
      <c r="V100" s="475"/>
      <c r="W100" s="475"/>
      <c r="X100" s="475"/>
      <c r="Y100" s="475"/>
      <c r="Z100" s="475"/>
      <c r="AA100" s="475"/>
      <c r="AB100" s="475"/>
      <c r="AC100" s="475"/>
      <c r="AD100" s="475"/>
      <c r="AE100" s="495"/>
      <c r="AF100" s="495"/>
    </row>
    <row r="101" spans="2:32">
      <c r="B101" s="520"/>
      <c r="C101" s="503"/>
      <c r="D101" s="499"/>
      <c r="E101" s="474"/>
      <c r="F101" s="500"/>
      <c r="G101" s="474"/>
      <c r="H101" s="474"/>
      <c r="I101" s="494"/>
      <c r="J101" s="475"/>
      <c r="K101" s="475"/>
      <c r="L101" s="581"/>
      <c r="M101" s="475"/>
      <c r="N101" s="475"/>
      <c r="O101" s="475"/>
      <c r="P101" s="475"/>
      <c r="Q101" s="475"/>
      <c r="R101" s="475"/>
      <c r="S101" s="475"/>
      <c r="T101" s="475"/>
      <c r="U101" s="475"/>
      <c r="V101" s="475"/>
      <c r="W101" s="475"/>
      <c r="X101" s="475"/>
      <c r="Y101" s="475"/>
      <c r="Z101" s="475"/>
      <c r="AA101" s="475"/>
      <c r="AB101" s="475"/>
      <c r="AC101" s="475"/>
      <c r="AD101" s="475"/>
      <c r="AE101" s="495"/>
      <c r="AF101" s="495"/>
    </row>
    <row r="102" spans="2:32">
      <c r="B102" s="520"/>
      <c r="C102" s="503"/>
      <c r="D102" s="499"/>
      <c r="E102" s="474"/>
      <c r="F102" s="500"/>
      <c r="G102" s="474"/>
      <c r="H102" s="474"/>
      <c r="I102" s="494"/>
      <c r="J102" s="475"/>
      <c r="K102" s="475"/>
      <c r="L102" s="581"/>
      <c r="M102" s="475"/>
      <c r="N102" s="475"/>
      <c r="O102" s="475"/>
      <c r="P102" s="475"/>
      <c r="Q102" s="475"/>
      <c r="R102" s="475"/>
      <c r="S102" s="475"/>
      <c r="T102" s="475"/>
      <c r="U102" s="475"/>
      <c r="V102" s="475"/>
      <c r="W102" s="475"/>
      <c r="X102" s="475"/>
      <c r="Y102" s="475"/>
      <c r="Z102" s="475"/>
      <c r="AA102" s="475"/>
      <c r="AB102" s="475"/>
      <c r="AC102" s="475"/>
      <c r="AD102" s="475"/>
      <c r="AE102" s="495"/>
      <c r="AF102" s="495"/>
    </row>
    <row r="103" spans="2:32">
      <c r="B103" s="520"/>
      <c r="C103" s="503"/>
      <c r="D103" s="499"/>
      <c r="E103" s="474"/>
      <c r="F103" s="500"/>
      <c r="G103" s="474"/>
      <c r="H103" s="474"/>
      <c r="I103" s="494"/>
      <c r="J103" s="475"/>
      <c r="K103" s="475"/>
      <c r="L103" s="581"/>
      <c r="M103" s="475"/>
      <c r="N103" s="475"/>
      <c r="O103" s="475"/>
      <c r="P103" s="475"/>
      <c r="Q103" s="475"/>
      <c r="R103" s="475"/>
      <c r="S103" s="475"/>
      <c r="T103" s="475"/>
      <c r="U103" s="475"/>
      <c r="V103" s="475"/>
      <c r="W103" s="475"/>
      <c r="X103" s="475"/>
      <c r="Y103" s="475"/>
      <c r="Z103" s="475"/>
      <c r="AA103" s="475"/>
      <c r="AB103" s="475"/>
      <c r="AC103" s="475"/>
      <c r="AD103" s="475"/>
      <c r="AE103" s="495"/>
      <c r="AF103" s="495"/>
    </row>
    <row r="104" spans="2:32">
      <c r="B104" s="520"/>
      <c r="C104" s="503"/>
      <c r="D104" s="499"/>
      <c r="E104" s="474"/>
      <c r="F104" s="500"/>
      <c r="G104" s="474"/>
      <c r="H104" s="474"/>
      <c r="I104" s="494"/>
      <c r="J104" s="475"/>
      <c r="K104" s="475"/>
      <c r="L104" s="581"/>
      <c r="M104" s="475"/>
      <c r="N104" s="475"/>
      <c r="O104" s="475"/>
      <c r="P104" s="475"/>
      <c r="Q104" s="475"/>
      <c r="R104" s="475"/>
      <c r="S104" s="475"/>
      <c r="T104" s="475"/>
      <c r="U104" s="475"/>
      <c r="V104" s="475"/>
      <c r="W104" s="475"/>
      <c r="X104" s="475"/>
      <c r="Y104" s="475"/>
      <c r="Z104" s="475"/>
      <c r="AA104" s="475"/>
      <c r="AB104" s="475"/>
      <c r="AC104" s="475"/>
      <c r="AD104" s="475"/>
      <c r="AE104" s="495"/>
      <c r="AF104" s="495"/>
    </row>
    <row r="105" spans="2:32">
      <c r="B105" s="520"/>
      <c r="C105" s="503"/>
      <c r="D105" s="499"/>
      <c r="E105" s="474"/>
      <c r="F105" s="500"/>
      <c r="G105" s="474"/>
      <c r="H105" s="474"/>
      <c r="I105" s="494"/>
      <c r="J105" s="475"/>
      <c r="K105" s="475"/>
      <c r="L105" s="581"/>
      <c r="M105" s="475"/>
      <c r="N105" s="475"/>
      <c r="O105" s="475"/>
      <c r="P105" s="475"/>
      <c r="Q105" s="475"/>
      <c r="R105" s="475"/>
      <c r="S105" s="475"/>
      <c r="T105" s="475"/>
      <c r="U105" s="475"/>
      <c r="V105" s="475"/>
      <c r="W105" s="475"/>
      <c r="X105" s="475"/>
      <c r="Y105" s="475"/>
      <c r="Z105" s="475"/>
      <c r="AA105" s="475"/>
      <c r="AB105" s="475"/>
      <c r="AC105" s="475"/>
      <c r="AD105" s="475"/>
      <c r="AE105" s="495"/>
      <c r="AF105" s="495"/>
    </row>
    <row r="106" spans="2:32">
      <c r="B106" s="520"/>
      <c r="C106" s="503"/>
      <c r="D106" s="499"/>
      <c r="E106" s="474"/>
      <c r="F106" s="500"/>
      <c r="G106" s="474"/>
      <c r="H106" s="474"/>
      <c r="I106" s="494"/>
      <c r="J106" s="475"/>
      <c r="K106" s="475"/>
      <c r="L106" s="581"/>
      <c r="M106" s="475"/>
      <c r="N106" s="475"/>
      <c r="O106" s="475"/>
      <c r="P106" s="475"/>
      <c r="Q106" s="475"/>
      <c r="R106" s="475"/>
      <c r="S106" s="475"/>
      <c r="T106" s="475"/>
      <c r="U106" s="475"/>
      <c r="V106" s="475"/>
      <c r="W106" s="475"/>
      <c r="X106" s="475"/>
      <c r="Y106" s="475"/>
      <c r="Z106" s="475"/>
      <c r="AA106" s="475"/>
      <c r="AB106" s="475"/>
      <c r="AC106" s="475"/>
      <c r="AD106" s="475"/>
      <c r="AE106" s="495"/>
      <c r="AF106" s="495"/>
    </row>
    <row r="107" spans="2:32">
      <c r="B107" s="520"/>
      <c r="C107" s="503"/>
      <c r="D107" s="499"/>
      <c r="E107" s="474"/>
      <c r="F107" s="500"/>
      <c r="G107" s="474"/>
      <c r="H107" s="474"/>
      <c r="I107" s="494"/>
      <c r="J107" s="475"/>
      <c r="K107" s="475"/>
      <c r="L107" s="581"/>
      <c r="M107" s="475"/>
      <c r="N107" s="475"/>
      <c r="O107" s="475"/>
      <c r="P107" s="475"/>
      <c r="Q107" s="475"/>
      <c r="R107" s="475"/>
      <c r="S107" s="475"/>
      <c r="T107" s="475"/>
      <c r="U107" s="475"/>
      <c r="V107" s="475"/>
      <c r="W107" s="475"/>
      <c r="X107" s="475"/>
      <c r="Y107" s="475"/>
      <c r="Z107" s="475"/>
      <c r="AA107" s="475"/>
      <c r="AB107" s="475"/>
      <c r="AC107" s="475"/>
      <c r="AD107" s="475"/>
      <c r="AE107" s="495"/>
      <c r="AF107" s="495"/>
    </row>
    <row r="108" spans="2:32">
      <c r="B108" s="520"/>
      <c r="C108" s="503"/>
      <c r="D108" s="499"/>
      <c r="E108" s="474"/>
      <c r="F108" s="500"/>
      <c r="G108" s="474"/>
      <c r="H108" s="474"/>
      <c r="I108" s="494"/>
      <c r="J108" s="475"/>
      <c r="K108" s="475"/>
      <c r="L108" s="581"/>
      <c r="M108" s="475"/>
      <c r="N108" s="475"/>
      <c r="O108" s="475"/>
      <c r="P108" s="475"/>
      <c r="Q108" s="475"/>
      <c r="R108" s="475"/>
      <c r="S108" s="475"/>
      <c r="T108" s="475"/>
      <c r="U108" s="475"/>
      <c r="V108" s="475"/>
      <c r="W108" s="475"/>
      <c r="X108" s="475"/>
      <c r="Y108" s="475"/>
      <c r="Z108" s="475"/>
      <c r="AA108" s="475"/>
      <c r="AB108" s="475"/>
      <c r="AC108" s="475"/>
      <c r="AD108" s="475"/>
      <c r="AE108" s="495"/>
      <c r="AF108" s="495"/>
    </row>
    <row r="109" spans="2:32">
      <c r="B109" s="520"/>
      <c r="C109" s="503"/>
      <c r="D109" s="499"/>
      <c r="E109" s="474"/>
      <c r="F109" s="500"/>
      <c r="G109" s="474"/>
      <c r="H109" s="474"/>
      <c r="I109" s="494"/>
      <c r="J109" s="475"/>
      <c r="K109" s="475"/>
      <c r="L109" s="581"/>
      <c r="M109" s="475"/>
      <c r="N109" s="475"/>
      <c r="O109" s="475"/>
      <c r="P109" s="475"/>
      <c r="Q109" s="475"/>
      <c r="R109" s="475"/>
      <c r="S109" s="475"/>
      <c r="T109" s="475"/>
      <c r="U109" s="475"/>
      <c r="V109" s="475"/>
      <c r="W109" s="475"/>
      <c r="X109" s="475"/>
      <c r="Y109" s="475"/>
      <c r="Z109" s="475"/>
      <c r="AA109" s="475"/>
      <c r="AB109" s="475"/>
      <c r="AC109" s="475"/>
      <c r="AD109" s="475"/>
      <c r="AE109" s="495"/>
      <c r="AF109" s="495"/>
    </row>
    <row r="110" spans="2:32">
      <c r="B110" s="520"/>
      <c r="C110" s="503"/>
      <c r="D110" s="499"/>
      <c r="E110" s="474"/>
      <c r="F110" s="500"/>
      <c r="G110" s="474"/>
      <c r="H110" s="474"/>
      <c r="I110" s="494"/>
      <c r="J110" s="475"/>
      <c r="K110" s="475"/>
      <c r="L110" s="581"/>
      <c r="M110" s="475"/>
      <c r="N110" s="475"/>
      <c r="O110" s="475"/>
      <c r="P110" s="475"/>
      <c r="Q110" s="475"/>
      <c r="R110" s="475"/>
      <c r="S110" s="475"/>
      <c r="T110" s="475"/>
      <c r="U110" s="475"/>
      <c r="V110" s="475"/>
      <c r="W110" s="475"/>
      <c r="X110" s="475"/>
      <c r="Y110" s="475"/>
      <c r="Z110" s="475"/>
      <c r="AA110" s="475"/>
      <c r="AB110" s="475"/>
      <c r="AC110" s="475"/>
      <c r="AD110" s="475"/>
      <c r="AE110" s="495"/>
      <c r="AF110" s="495"/>
    </row>
    <row r="111" spans="2:32">
      <c r="B111" s="520"/>
      <c r="C111" s="503"/>
      <c r="D111" s="499"/>
      <c r="E111" s="474"/>
      <c r="F111" s="500"/>
      <c r="G111" s="474"/>
      <c r="H111" s="474"/>
      <c r="I111" s="494"/>
      <c r="J111" s="475"/>
      <c r="K111" s="475"/>
      <c r="L111" s="581"/>
      <c r="M111" s="505"/>
      <c r="N111" s="505"/>
      <c r="O111" s="505"/>
      <c r="P111" s="505"/>
      <c r="Q111" s="505"/>
      <c r="R111" s="505"/>
      <c r="S111" s="505"/>
      <c r="T111" s="505"/>
      <c r="U111" s="505"/>
      <c r="V111" s="505"/>
      <c r="W111" s="505"/>
      <c r="X111" s="505"/>
      <c r="Y111" s="505"/>
      <c r="Z111" s="505"/>
      <c r="AA111" s="505"/>
      <c r="AB111" s="505"/>
      <c r="AC111" s="505"/>
      <c r="AD111" s="505"/>
      <c r="AE111" s="506"/>
      <c r="AF111" s="506"/>
    </row>
    <row r="112" spans="2:32">
      <c r="B112" s="520"/>
      <c r="C112" s="503"/>
      <c r="D112" s="499"/>
      <c r="E112" s="474"/>
      <c r="F112" s="500"/>
      <c r="G112" s="474"/>
      <c r="H112" s="474"/>
      <c r="I112" s="494"/>
      <c r="J112" s="475"/>
      <c r="K112" s="475"/>
      <c r="L112" s="581"/>
      <c r="M112" s="505"/>
      <c r="N112" s="505"/>
      <c r="O112" s="505"/>
      <c r="P112" s="505"/>
      <c r="Q112" s="505"/>
      <c r="R112" s="505"/>
      <c r="S112" s="505"/>
      <c r="T112" s="505"/>
      <c r="U112" s="505"/>
      <c r="V112" s="505"/>
      <c r="W112" s="505"/>
      <c r="X112" s="505"/>
      <c r="Y112" s="505"/>
      <c r="Z112" s="505"/>
      <c r="AA112" s="505"/>
      <c r="AB112" s="505"/>
      <c r="AC112" s="505"/>
      <c r="AD112" s="505"/>
      <c r="AE112" s="506"/>
      <c r="AF112" s="506"/>
    </row>
    <row r="113" spans="2:32">
      <c r="B113" s="520"/>
      <c r="C113" s="503"/>
      <c r="D113" s="499"/>
      <c r="E113" s="474"/>
      <c r="F113" s="500"/>
      <c r="G113" s="474"/>
      <c r="H113" s="474"/>
      <c r="I113" s="494"/>
      <c r="J113" s="475"/>
      <c r="K113" s="475"/>
      <c r="L113" s="581"/>
      <c r="M113" s="505"/>
      <c r="N113" s="505"/>
      <c r="O113" s="505"/>
      <c r="P113" s="505"/>
      <c r="Q113" s="505"/>
      <c r="R113" s="505"/>
      <c r="S113" s="505"/>
      <c r="T113" s="505"/>
      <c r="U113" s="505"/>
      <c r="V113" s="505"/>
      <c r="W113" s="505"/>
      <c r="X113" s="505"/>
      <c r="Y113" s="505"/>
      <c r="Z113" s="505"/>
      <c r="AA113" s="505"/>
      <c r="AB113" s="505"/>
      <c r="AC113" s="505"/>
      <c r="AD113" s="505"/>
      <c r="AE113" s="506"/>
      <c r="AF113" s="506"/>
    </row>
    <row r="114" spans="2:32">
      <c r="B114" s="471"/>
      <c r="C114" s="475"/>
      <c r="D114" s="475"/>
      <c r="E114" s="475"/>
      <c r="F114" s="474"/>
      <c r="G114" s="475"/>
      <c r="H114" s="474"/>
      <c r="I114" s="474"/>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row>
    <row r="115" spans="2:32">
      <c r="B115" s="471"/>
      <c r="C115" s="475"/>
      <c r="D115" s="475"/>
      <c r="E115" s="475"/>
      <c r="F115" s="474"/>
      <c r="G115" s="475"/>
      <c r="H115" s="474"/>
      <c r="I115" s="474"/>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row>
    <row r="116" spans="2:32">
      <c r="B116" s="471"/>
      <c r="C116" s="475"/>
      <c r="D116" s="475"/>
      <c r="E116" s="475"/>
      <c r="F116" s="474"/>
      <c r="G116" s="475"/>
      <c r="H116" s="474"/>
      <c r="I116" s="474"/>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row>
    <row r="117" spans="2:32">
      <c r="B117" s="471"/>
      <c r="C117" s="475"/>
      <c r="D117" s="475"/>
      <c r="E117" s="475"/>
      <c r="F117" s="474"/>
      <c r="G117" s="475"/>
      <c r="H117" s="474"/>
      <c r="I117" s="474"/>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row>
    <row r="118" spans="2:32">
      <c r="B118" s="520"/>
      <c r="C118" s="503"/>
      <c r="D118" s="499"/>
      <c r="E118" s="474"/>
      <c r="F118" s="500"/>
      <c r="G118" s="474"/>
      <c r="H118" s="474"/>
      <c r="I118" s="494"/>
      <c r="J118" s="475"/>
      <c r="K118" s="475"/>
      <c r="L118" s="581"/>
      <c r="M118" s="475"/>
      <c r="N118" s="475"/>
      <c r="O118" s="475"/>
      <c r="P118" s="475"/>
      <c r="Q118" s="475"/>
      <c r="R118" s="475"/>
      <c r="S118" s="475"/>
      <c r="T118" s="475"/>
      <c r="U118" s="475"/>
      <c r="V118" s="475"/>
      <c r="W118" s="475"/>
      <c r="X118" s="475"/>
      <c r="Y118" s="475"/>
      <c r="Z118" s="475"/>
      <c r="AA118" s="475"/>
      <c r="AB118" s="475"/>
      <c r="AC118" s="475"/>
      <c r="AD118" s="475"/>
      <c r="AE118" s="495"/>
      <c r="AF118" s="495"/>
    </row>
    <row r="119" spans="2:32">
      <c r="B119" s="471"/>
      <c r="C119" s="582"/>
      <c r="D119" s="475"/>
      <c r="E119" s="475"/>
      <c r="F119" s="474"/>
      <c r="G119" s="475"/>
      <c r="H119" s="474"/>
      <c r="I119" s="474"/>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row>
    <row r="120" spans="2:32">
      <c r="B120" s="471"/>
      <c r="C120" s="475"/>
      <c r="D120" s="475"/>
      <c r="E120" s="475"/>
      <c r="F120" s="474"/>
      <c r="G120" s="475"/>
      <c r="H120" s="474"/>
      <c r="I120" s="474"/>
      <c r="J120" s="475"/>
      <c r="K120" s="475"/>
      <c r="L120" s="475"/>
      <c r="M120" s="475"/>
      <c r="N120" s="475"/>
      <c r="O120" s="475"/>
      <c r="P120" s="475"/>
      <c r="Q120" s="475"/>
      <c r="R120" s="475"/>
      <c r="S120" s="475"/>
      <c r="T120" s="475"/>
      <c r="U120" s="475"/>
      <c r="V120" s="475"/>
      <c r="W120" s="475"/>
      <c r="X120" s="475"/>
      <c r="Y120" s="475"/>
      <c r="Z120" s="475"/>
      <c r="AA120" s="475"/>
      <c r="AB120" s="475"/>
      <c r="AC120" s="475"/>
      <c r="AD120" s="475"/>
      <c r="AE120" s="475"/>
      <c r="AF120" s="475"/>
    </row>
    <row r="121" spans="2:32" s="592" customFormat="1">
      <c r="B121" s="583"/>
      <c r="C121" s="584"/>
      <c r="D121" s="585"/>
      <c r="E121" s="586"/>
      <c r="F121" s="587"/>
      <c r="G121" s="586"/>
      <c r="H121" s="586"/>
      <c r="I121" s="588"/>
      <c r="J121" s="589"/>
      <c r="K121" s="589"/>
      <c r="L121" s="590"/>
      <c r="M121" s="589"/>
      <c r="N121" s="589"/>
      <c r="O121" s="589"/>
      <c r="P121" s="589"/>
      <c r="Q121" s="589"/>
      <c r="R121" s="589"/>
      <c r="S121" s="589"/>
      <c r="T121" s="589"/>
      <c r="U121" s="589"/>
      <c r="V121" s="589"/>
      <c r="W121" s="589"/>
      <c r="X121" s="589"/>
      <c r="Y121" s="589"/>
      <c r="Z121" s="589"/>
      <c r="AA121" s="589"/>
      <c r="AB121" s="589"/>
      <c r="AC121" s="589"/>
      <c r="AD121" s="589"/>
      <c r="AE121" s="591"/>
      <c r="AF121" s="591"/>
    </row>
    <row r="122" spans="2:32" s="592" customFormat="1">
      <c r="B122" s="583"/>
      <c r="C122" s="584"/>
      <c r="D122" s="585"/>
      <c r="E122" s="586"/>
      <c r="F122" s="587"/>
      <c r="G122" s="586"/>
      <c r="H122" s="586"/>
      <c r="I122" s="588"/>
      <c r="J122" s="589"/>
      <c r="K122" s="589"/>
      <c r="L122" s="590"/>
      <c r="M122" s="589"/>
      <c r="N122" s="589"/>
      <c r="O122" s="589"/>
      <c r="P122" s="589"/>
      <c r="Q122" s="589"/>
      <c r="R122" s="589"/>
      <c r="S122" s="589"/>
      <c r="T122" s="589"/>
      <c r="U122" s="589"/>
      <c r="V122" s="589"/>
      <c r="W122" s="589"/>
      <c r="X122" s="589"/>
      <c r="Y122" s="589"/>
      <c r="Z122" s="589"/>
      <c r="AA122" s="589"/>
      <c r="AB122" s="589"/>
      <c r="AC122" s="589"/>
      <c r="AD122" s="589"/>
      <c r="AE122" s="591"/>
      <c r="AF122" s="591"/>
    </row>
    <row r="123" spans="2:32" s="592" customFormat="1">
      <c r="B123" s="583"/>
      <c r="C123" s="584"/>
      <c r="D123" s="585"/>
      <c r="E123" s="586"/>
      <c r="F123" s="587"/>
      <c r="G123" s="586"/>
      <c r="H123" s="586"/>
      <c r="I123" s="588"/>
      <c r="J123" s="589"/>
      <c r="K123" s="589"/>
      <c r="L123" s="590"/>
      <c r="M123" s="589"/>
      <c r="N123" s="589"/>
      <c r="O123" s="589"/>
      <c r="P123" s="589"/>
      <c r="Q123" s="589"/>
      <c r="R123" s="589"/>
      <c r="S123" s="589"/>
      <c r="T123" s="589"/>
      <c r="U123" s="589"/>
      <c r="V123" s="589"/>
      <c r="W123" s="589"/>
      <c r="X123" s="589"/>
      <c r="Y123" s="589"/>
      <c r="Z123" s="589"/>
      <c r="AA123" s="589"/>
      <c r="AB123" s="589"/>
      <c r="AC123" s="589"/>
      <c r="AD123" s="589"/>
      <c r="AE123" s="591"/>
      <c r="AF123" s="591"/>
    </row>
    <row r="124" spans="2:32">
      <c r="B124" s="471"/>
      <c r="C124" s="475"/>
      <c r="D124" s="475"/>
      <c r="E124" s="475"/>
      <c r="F124" s="474"/>
      <c r="G124" s="475"/>
      <c r="H124" s="474"/>
      <c r="I124" s="474"/>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row>
    <row r="125" spans="2:32" s="592" customFormat="1">
      <c r="B125" s="583"/>
      <c r="C125" s="584"/>
      <c r="D125" s="585"/>
      <c r="E125" s="586"/>
      <c r="F125" s="587"/>
      <c r="G125" s="586"/>
      <c r="H125" s="586"/>
      <c r="I125" s="588"/>
      <c r="J125" s="589"/>
      <c r="K125" s="589"/>
      <c r="L125" s="590"/>
      <c r="M125" s="589"/>
      <c r="N125" s="593"/>
      <c r="O125" s="593"/>
      <c r="P125" s="593"/>
      <c r="Q125" s="593"/>
      <c r="R125" s="593"/>
      <c r="S125" s="593"/>
      <c r="T125" s="593"/>
      <c r="U125" s="589"/>
      <c r="V125" s="593"/>
      <c r="W125" s="593"/>
      <c r="X125" s="593"/>
      <c r="Y125" s="593"/>
      <c r="Z125" s="593"/>
      <c r="AA125" s="593"/>
      <c r="AB125" s="589"/>
      <c r="AC125" s="589"/>
      <c r="AD125" s="589"/>
      <c r="AE125" s="594"/>
      <c r="AF125" s="594"/>
    </row>
    <row r="126" spans="2:32" s="592" customFormat="1">
      <c r="B126" s="583"/>
      <c r="C126" s="584"/>
      <c r="D126" s="585"/>
      <c r="E126" s="586"/>
      <c r="F126" s="587"/>
      <c r="G126" s="586"/>
      <c r="H126" s="586"/>
      <c r="I126" s="588"/>
      <c r="J126" s="589"/>
      <c r="K126" s="589"/>
      <c r="L126" s="590"/>
      <c r="M126" s="589"/>
      <c r="N126" s="589"/>
      <c r="O126" s="589"/>
      <c r="P126" s="589"/>
      <c r="Q126" s="589"/>
      <c r="R126" s="589"/>
      <c r="S126" s="589"/>
      <c r="T126" s="589"/>
      <c r="U126" s="589"/>
      <c r="V126" s="589"/>
      <c r="W126" s="589"/>
      <c r="X126" s="589"/>
      <c r="Y126" s="589"/>
      <c r="Z126" s="589"/>
      <c r="AA126" s="589"/>
      <c r="AB126" s="589"/>
      <c r="AC126" s="589"/>
      <c r="AD126" s="589"/>
      <c r="AE126" s="591"/>
      <c r="AF126" s="591"/>
    </row>
    <row r="127" spans="2:32">
      <c r="B127" s="471"/>
      <c r="C127" s="475"/>
      <c r="D127" s="475"/>
      <c r="E127" s="475"/>
      <c r="F127" s="474"/>
      <c r="G127" s="475"/>
      <c r="H127" s="474"/>
      <c r="I127" s="474"/>
      <c r="J127" s="475"/>
      <c r="K127" s="475"/>
      <c r="L127" s="475"/>
      <c r="M127" s="475"/>
      <c r="N127" s="475"/>
      <c r="O127" s="475"/>
      <c r="P127" s="475"/>
      <c r="Q127" s="475"/>
      <c r="R127" s="475"/>
      <c r="S127" s="475"/>
      <c r="T127" s="475"/>
      <c r="U127" s="475"/>
      <c r="V127" s="475"/>
      <c r="W127" s="475"/>
      <c r="X127" s="475"/>
      <c r="Y127" s="475"/>
      <c r="Z127" s="475"/>
      <c r="AA127" s="475"/>
      <c r="AB127" s="475"/>
      <c r="AC127" s="475"/>
      <c r="AD127" s="475"/>
      <c r="AE127" s="475"/>
      <c r="AF127" s="475"/>
    </row>
    <row r="128" spans="2:32">
      <c r="B128" s="471"/>
      <c r="C128" s="475"/>
      <c r="D128" s="475"/>
      <c r="E128" s="475"/>
      <c r="F128" s="474"/>
      <c r="G128" s="475"/>
      <c r="H128" s="474"/>
      <c r="I128" s="474"/>
      <c r="J128" s="475"/>
      <c r="K128" s="475"/>
      <c r="L128" s="475"/>
      <c r="M128" s="475"/>
      <c r="N128" s="475"/>
      <c r="O128" s="475"/>
      <c r="P128" s="475"/>
      <c r="Q128" s="475"/>
      <c r="R128" s="475"/>
      <c r="S128" s="475"/>
      <c r="T128" s="475"/>
      <c r="U128" s="475"/>
      <c r="V128" s="475"/>
      <c r="W128" s="475"/>
      <c r="X128" s="475"/>
      <c r="Y128" s="475"/>
      <c r="Z128" s="475"/>
      <c r="AA128" s="475"/>
      <c r="AB128" s="475"/>
      <c r="AC128" s="475"/>
      <c r="AD128" s="475"/>
      <c r="AE128" s="475"/>
      <c r="AF128" s="475"/>
    </row>
    <row r="129" spans="2:32">
      <c r="B129" s="471"/>
      <c r="C129" s="475"/>
      <c r="D129" s="475"/>
      <c r="E129" s="475"/>
      <c r="F129" s="474"/>
      <c r="G129" s="475"/>
      <c r="H129" s="474"/>
      <c r="I129" s="474"/>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5"/>
    </row>
    <row r="130" spans="2:32">
      <c r="B130" s="471"/>
      <c r="C130" s="475"/>
      <c r="D130" s="475"/>
      <c r="E130" s="475"/>
      <c r="F130" s="474"/>
      <c r="G130" s="475"/>
      <c r="H130" s="474"/>
      <c r="I130" s="474"/>
      <c r="J130" s="475"/>
      <c r="K130" s="475"/>
      <c r="L130" s="475"/>
      <c r="M130" s="475"/>
      <c r="N130" s="475"/>
      <c r="O130" s="475"/>
      <c r="P130" s="475"/>
      <c r="Q130" s="475"/>
      <c r="R130" s="475"/>
      <c r="S130" s="475"/>
      <c r="T130" s="475"/>
      <c r="U130" s="475"/>
      <c r="V130" s="475"/>
      <c r="W130" s="475"/>
      <c r="X130" s="475"/>
      <c r="Y130" s="475"/>
      <c r="Z130" s="475"/>
      <c r="AA130" s="475"/>
      <c r="AB130" s="475"/>
      <c r="AC130" s="475"/>
      <c r="AD130" s="475"/>
      <c r="AE130" s="475"/>
      <c r="AF130" s="475"/>
    </row>
    <row r="131" spans="2:32">
      <c r="B131" s="471"/>
      <c r="C131" s="475"/>
      <c r="D131" s="475"/>
      <c r="E131" s="475"/>
      <c r="F131" s="474"/>
      <c r="G131" s="475"/>
      <c r="H131" s="474"/>
      <c r="I131" s="474"/>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row>
    <row r="132" spans="2:32">
      <c r="B132" s="471"/>
      <c r="C132" s="475"/>
      <c r="D132" s="475"/>
      <c r="E132" s="475"/>
      <c r="F132" s="474"/>
      <c r="G132" s="475"/>
      <c r="H132" s="474"/>
      <c r="I132" s="474"/>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row>
    <row r="133" spans="2:32">
      <c r="B133" s="471"/>
      <c r="C133" s="475"/>
      <c r="D133" s="475"/>
      <c r="E133" s="475"/>
      <c r="F133" s="474"/>
      <c r="G133" s="475"/>
      <c r="H133" s="474"/>
      <c r="I133" s="474"/>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row>
    <row r="134" spans="2:32">
      <c r="B134" s="471"/>
      <c r="C134" s="475"/>
      <c r="D134" s="475"/>
      <c r="E134" s="475"/>
      <c r="F134" s="474"/>
      <c r="G134" s="475"/>
      <c r="H134" s="474"/>
      <c r="I134" s="474"/>
      <c r="J134" s="475"/>
      <c r="K134" s="475"/>
      <c r="L134" s="475"/>
      <c r="M134" s="475"/>
      <c r="N134" s="475"/>
      <c r="O134" s="475"/>
      <c r="P134" s="475"/>
      <c r="Q134" s="475"/>
      <c r="R134" s="475"/>
      <c r="S134" s="475"/>
      <c r="T134" s="475"/>
      <c r="U134" s="475"/>
      <c r="V134" s="475"/>
      <c r="W134" s="475"/>
      <c r="X134" s="475"/>
      <c r="Y134" s="475"/>
      <c r="Z134" s="475"/>
      <c r="AA134" s="475"/>
      <c r="AB134" s="475"/>
      <c r="AC134" s="475"/>
      <c r="AD134" s="475"/>
      <c r="AE134" s="475"/>
      <c r="AF134" s="475"/>
    </row>
    <row r="135" spans="2:32">
      <c r="B135" s="471"/>
      <c r="C135" s="475"/>
      <c r="D135" s="475"/>
      <c r="E135" s="475"/>
      <c r="F135" s="474"/>
      <c r="G135" s="475"/>
      <c r="H135" s="474"/>
      <c r="I135" s="474"/>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row>
    <row r="136" spans="2:32">
      <c r="B136" s="471"/>
      <c r="C136" s="475"/>
      <c r="D136" s="475"/>
      <c r="E136" s="475"/>
      <c r="F136" s="474"/>
      <c r="G136" s="475"/>
      <c r="H136" s="474"/>
      <c r="I136" s="474"/>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row>
    <row r="137" spans="2:32">
      <c r="B137" s="471"/>
      <c r="C137" s="475"/>
      <c r="D137" s="475"/>
      <c r="E137" s="475"/>
      <c r="F137" s="474"/>
      <c r="G137" s="475"/>
      <c r="H137" s="474"/>
      <c r="I137" s="474"/>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row>
    <row r="138" spans="2:32">
      <c r="B138" s="471"/>
      <c r="C138" s="475"/>
      <c r="D138" s="475"/>
      <c r="E138" s="475"/>
      <c r="F138" s="474"/>
      <c r="G138" s="475"/>
      <c r="H138" s="474"/>
      <c r="I138" s="474"/>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row>
    <row r="139" spans="2:32">
      <c r="B139" s="471"/>
      <c r="C139" s="475"/>
      <c r="D139" s="475"/>
      <c r="E139" s="475"/>
      <c r="F139" s="474"/>
      <c r="G139" s="475"/>
      <c r="H139" s="474"/>
      <c r="I139" s="474"/>
      <c r="J139" s="475"/>
      <c r="K139" s="475"/>
      <c r="L139" s="475"/>
      <c r="M139" s="475"/>
      <c r="N139" s="475"/>
      <c r="O139" s="475"/>
      <c r="P139" s="475"/>
      <c r="Q139" s="475"/>
      <c r="R139" s="475"/>
      <c r="S139" s="475"/>
      <c r="T139" s="475"/>
      <c r="U139" s="475"/>
      <c r="V139" s="475"/>
      <c r="W139" s="475"/>
      <c r="X139" s="475"/>
      <c r="Y139" s="475"/>
      <c r="Z139" s="475"/>
      <c r="AA139" s="475"/>
      <c r="AB139" s="475"/>
      <c r="AC139" s="475"/>
      <c r="AD139" s="475"/>
      <c r="AE139" s="475"/>
      <c r="AF139" s="475"/>
    </row>
    <row r="140" spans="2:32">
      <c r="B140" s="471"/>
      <c r="C140" s="475"/>
      <c r="D140" s="475"/>
      <c r="E140" s="475"/>
      <c r="F140" s="474"/>
      <c r="G140" s="475"/>
      <c r="H140" s="474"/>
      <c r="I140" s="474"/>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row>
    <row r="141" spans="2:32">
      <c r="B141" s="471"/>
      <c r="C141" s="475"/>
      <c r="D141" s="475"/>
      <c r="E141" s="475"/>
      <c r="F141" s="474"/>
      <c r="G141" s="475"/>
      <c r="H141" s="474"/>
      <c r="I141" s="474"/>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row>
    <row r="142" spans="2:32">
      <c r="B142" s="471"/>
      <c r="C142" s="475"/>
      <c r="D142" s="475"/>
      <c r="E142" s="475"/>
      <c r="F142" s="474"/>
      <c r="G142" s="475"/>
      <c r="H142" s="474"/>
      <c r="I142" s="474"/>
      <c r="J142" s="475"/>
      <c r="K142" s="475"/>
      <c r="L142" s="475"/>
      <c r="M142" s="475"/>
      <c r="N142" s="475"/>
      <c r="O142" s="475"/>
      <c r="P142" s="475"/>
      <c r="Q142" s="475"/>
      <c r="R142" s="475"/>
      <c r="S142" s="475"/>
      <c r="T142" s="475"/>
      <c r="U142" s="475"/>
      <c r="V142" s="475"/>
      <c r="W142" s="475"/>
      <c r="X142" s="475"/>
      <c r="Y142" s="475"/>
      <c r="Z142" s="475"/>
      <c r="AA142" s="475"/>
      <c r="AB142" s="475"/>
      <c r="AC142" s="475"/>
      <c r="AD142" s="475"/>
      <c r="AE142" s="475"/>
      <c r="AF142" s="475"/>
    </row>
    <row r="143" spans="2:32">
      <c r="B143" s="471"/>
      <c r="C143" s="475"/>
      <c r="D143" s="475"/>
      <c r="E143" s="475"/>
      <c r="F143" s="474"/>
      <c r="G143" s="475"/>
      <c r="H143" s="474"/>
      <c r="I143" s="474"/>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c r="AF143" s="475"/>
    </row>
    <row r="144" spans="2:32">
      <c r="B144" s="471"/>
      <c r="C144" s="475"/>
      <c r="D144" s="475"/>
      <c r="E144" s="475"/>
      <c r="F144" s="474"/>
      <c r="G144" s="475"/>
      <c r="H144" s="474"/>
      <c r="I144" s="474"/>
      <c r="J144" s="475"/>
      <c r="K144" s="475"/>
      <c r="L144" s="475"/>
      <c r="M144" s="475"/>
      <c r="N144" s="475"/>
      <c r="O144" s="475"/>
      <c r="P144" s="475"/>
      <c r="Q144" s="475"/>
      <c r="R144" s="475"/>
      <c r="S144" s="475"/>
      <c r="T144" s="475"/>
      <c r="U144" s="475"/>
      <c r="V144" s="475"/>
      <c r="W144" s="475"/>
      <c r="X144" s="475"/>
      <c r="Y144" s="475"/>
      <c r="Z144" s="475"/>
      <c r="AA144" s="475"/>
      <c r="AB144" s="475"/>
      <c r="AC144" s="475"/>
      <c r="AD144" s="475"/>
      <c r="AE144" s="475"/>
      <c r="AF144" s="475"/>
    </row>
    <row r="145" spans="2:32">
      <c r="B145" s="471"/>
      <c r="C145" s="475"/>
      <c r="D145" s="475"/>
      <c r="E145" s="475"/>
      <c r="F145" s="474"/>
      <c r="G145" s="475"/>
      <c r="H145" s="474"/>
      <c r="I145" s="474"/>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row>
    <row r="146" spans="2:32">
      <c r="B146" s="471"/>
      <c r="C146" s="475"/>
      <c r="D146" s="475"/>
      <c r="E146" s="475"/>
      <c r="F146" s="474"/>
      <c r="G146" s="475"/>
      <c r="H146" s="474"/>
      <c r="I146" s="474"/>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475"/>
      <c r="AF146" s="475"/>
    </row>
    <row r="147" spans="2:32">
      <c r="B147" s="471"/>
      <c r="C147" s="475"/>
      <c r="D147" s="475"/>
      <c r="E147" s="475"/>
      <c r="F147" s="474"/>
      <c r="G147" s="475"/>
      <c r="H147" s="474"/>
      <c r="I147" s="474"/>
      <c r="J147" s="475"/>
      <c r="K147" s="475"/>
      <c r="L147" s="475"/>
      <c r="M147" s="475"/>
      <c r="N147" s="475"/>
      <c r="O147" s="475"/>
      <c r="P147" s="475"/>
      <c r="Q147" s="475"/>
      <c r="R147" s="475"/>
      <c r="S147" s="475"/>
      <c r="T147" s="475"/>
      <c r="U147" s="475"/>
      <c r="V147" s="475"/>
      <c r="W147" s="475"/>
      <c r="X147" s="475"/>
      <c r="Y147" s="475"/>
      <c r="Z147" s="475"/>
      <c r="AA147" s="475"/>
      <c r="AB147" s="475"/>
      <c r="AC147" s="475"/>
      <c r="AD147" s="475"/>
      <c r="AE147" s="475"/>
      <c r="AF147" s="475"/>
    </row>
    <row r="148" spans="2:32">
      <c r="B148" s="471"/>
      <c r="C148" s="475"/>
      <c r="D148" s="475"/>
      <c r="E148" s="475"/>
      <c r="F148" s="474"/>
      <c r="G148" s="475"/>
      <c r="H148" s="474"/>
      <c r="I148" s="474"/>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row>
    <row r="149" spans="2:32">
      <c r="B149" s="471"/>
      <c r="C149" s="475"/>
      <c r="D149" s="475"/>
      <c r="E149" s="475"/>
      <c r="F149" s="474"/>
      <c r="G149" s="475"/>
      <c r="H149" s="474"/>
      <c r="I149" s="474"/>
      <c r="J149" s="475"/>
      <c r="K149" s="475"/>
      <c r="L149" s="475"/>
      <c r="M149" s="475"/>
      <c r="N149" s="475"/>
      <c r="O149" s="475"/>
      <c r="P149" s="475"/>
      <c r="Q149" s="475"/>
      <c r="R149" s="475"/>
      <c r="S149" s="475"/>
      <c r="T149" s="475"/>
      <c r="U149" s="475"/>
      <c r="V149" s="475"/>
      <c r="W149" s="475"/>
      <c r="X149" s="475"/>
      <c r="Y149" s="475"/>
      <c r="Z149" s="475"/>
      <c r="AA149" s="475"/>
      <c r="AB149" s="475"/>
      <c r="AC149" s="475"/>
      <c r="AD149" s="475"/>
      <c r="AE149" s="475"/>
      <c r="AF149" s="475"/>
    </row>
    <row r="150" spans="2:32">
      <c r="B150" s="471"/>
      <c r="C150" s="475"/>
      <c r="D150" s="475"/>
      <c r="E150" s="475"/>
      <c r="F150" s="474"/>
      <c r="G150" s="475"/>
      <c r="H150" s="474"/>
      <c r="I150" s="474"/>
      <c r="J150" s="475"/>
      <c r="K150" s="475"/>
      <c r="L150" s="475"/>
      <c r="M150" s="475"/>
      <c r="N150" s="475"/>
      <c r="O150" s="475"/>
      <c r="P150" s="475"/>
      <c r="Q150" s="475"/>
      <c r="R150" s="475"/>
      <c r="S150" s="475"/>
      <c r="T150" s="475"/>
      <c r="U150" s="475"/>
      <c r="V150" s="475"/>
      <c r="W150" s="475"/>
      <c r="X150" s="475"/>
      <c r="Y150" s="475"/>
      <c r="Z150" s="475"/>
      <c r="AA150" s="475"/>
      <c r="AB150" s="475"/>
      <c r="AC150" s="475"/>
      <c r="AD150" s="475"/>
      <c r="AE150" s="475"/>
      <c r="AF150" s="475"/>
    </row>
    <row r="151" spans="2:32">
      <c r="B151" s="471"/>
      <c r="C151" s="475"/>
      <c r="D151" s="475"/>
      <c r="E151" s="475"/>
      <c r="F151" s="474"/>
      <c r="G151" s="475"/>
      <c r="H151" s="474"/>
      <c r="I151" s="474"/>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row>
    <row r="152" spans="2:32">
      <c r="B152" s="471"/>
      <c r="C152" s="475"/>
      <c r="D152" s="475"/>
      <c r="E152" s="475"/>
      <c r="F152" s="474"/>
      <c r="G152" s="475"/>
      <c r="H152" s="474"/>
      <c r="I152" s="474"/>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row>
    <row r="153" spans="2:32">
      <c r="B153" s="471"/>
      <c r="C153" s="475"/>
      <c r="D153" s="475"/>
      <c r="E153" s="475"/>
      <c r="F153" s="474"/>
      <c r="G153" s="475"/>
      <c r="H153" s="474"/>
      <c r="I153" s="474"/>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row>
    <row r="154" spans="2:32">
      <c r="B154" s="471"/>
      <c r="C154" s="475"/>
      <c r="D154" s="475"/>
      <c r="E154" s="475"/>
      <c r="F154" s="474"/>
      <c r="G154" s="475"/>
      <c r="H154" s="474"/>
      <c r="I154" s="474"/>
      <c r="J154" s="475"/>
      <c r="K154" s="475"/>
      <c r="L154" s="475"/>
      <c r="M154" s="475"/>
      <c r="N154" s="475"/>
      <c r="O154" s="475"/>
      <c r="P154" s="475"/>
      <c r="Q154" s="475"/>
      <c r="R154" s="475"/>
      <c r="S154" s="475"/>
      <c r="T154" s="475"/>
      <c r="U154" s="475"/>
      <c r="V154" s="475"/>
      <c r="W154" s="475"/>
      <c r="X154" s="475"/>
      <c r="Y154" s="475"/>
      <c r="Z154" s="475"/>
      <c r="AA154" s="475"/>
      <c r="AB154" s="475"/>
      <c r="AC154" s="475"/>
      <c r="AD154" s="475"/>
      <c r="AE154" s="475"/>
      <c r="AF154" s="475"/>
    </row>
    <row r="155" spans="2:32">
      <c r="B155" s="471"/>
      <c r="C155" s="475"/>
      <c r="D155" s="475"/>
      <c r="E155" s="475"/>
      <c r="F155" s="474"/>
      <c r="G155" s="475"/>
      <c r="H155" s="474"/>
      <c r="I155" s="474"/>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row>
    <row r="156" spans="2:32">
      <c r="B156" s="471"/>
      <c r="C156" s="475"/>
      <c r="D156" s="475"/>
      <c r="E156" s="475"/>
      <c r="F156" s="474"/>
      <c r="G156" s="475"/>
      <c r="H156" s="474"/>
      <c r="I156" s="474"/>
      <c r="J156" s="475"/>
      <c r="K156" s="475"/>
      <c r="L156" s="475"/>
      <c r="M156" s="475"/>
      <c r="N156" s="475"/>
      <c r="O156" s="475"/>
      <c r="P156" s="475"/>
      <c r="Q156" s="475"/>
      <c r="R156" s="475"/>
      <c r="S156" s="475"/>
      <c r="T156" s="475"/>
      <c r="U156" s="475"/>
      <c r="V156" s="475"/>
      <c r="W156" s="475"/>
      <c r="X156" s="475"/>
      <c r="Y156" s="475"/>
      <c r="Z156" s="475"/>
      <c r="AA156" s="475"/>
      <c r="AB156" s="475"/>
      <c r="AC156" s="475"/>
      <c r="AD156" s="475"/>
      <c r="AE156" s="475"/>
      <c r="AF156" s="475"/>
    </row>
    <row r="157" spans="2:32">
      <c r="B157" s="471"/>
      <c r="C157" s="475"/>
      <c r="D157" s="475"/>
      <c r="E157" s="475"/>
      <c r="F157" s="474"/>
      <c r="G157" s="475"/>
      <c r="H157" s="474"/>
      <c r="I157" s="474"/>
      <c r="J157" s="475"/>
      <c r="K157" s="475"/>
      <c r="L157" s="475"/>
      <c r="M157" s="475"/>
      <c r="N157" s="475"/>
      <c r="O157" s="475"/>
      <c r="P157" s="475"/>
      <c r="Q157" s="475"/>
      <c r="R157" s="475"/>
      <c r="S157" s="475"/>
      <c r="T157" s="475"/>
      <c r="U157" s="475"/>
      <c r="V157" s="475"/>
      <c r="W157" s="475"/>
      <c r="X157" s="475"/>
      <c r="Y157" s="475"/>
      <c r="Z157" s="475"/>
      <c r="AA157" s="475"/>
      <c r="AB157" s="475"/>
      <c r="AC157" s="475"/>
      <c r="AD157" s="475"/>
      <c r="AE157" s="475"/>
      <c r="AF157" s="475"/>
    </row>
    <row r="158" spans="2:32">
      <c r="B158" s="471"/>
      <c r="C158" s="475"/>
      <c r="D158" s="475"/>
      <c r="E158" s="475"/>
      <c r="F158" s="474"/>
      <c r="G158" s="475"/>
      <c r="H158" s="474"/>
      <c r="I158" s="474"/>
      <c r="J158" s="475"/>
      <c r="K158" s="475"/>
      <c r="L158" s="475"/>
      <c r="M158" s="475"/>
      <c r="N158" s="475"/>
      <c r="O158" s="475"/>
      <c r="P158" s="475"/>
      <c r="Q158" s="475"/>
      <c r="R158" s="475"/>
      <c r="S158" s="475"/>
      <c r="T158" s="475"/>
      <c r="U158" s="475"/>
      <c r="V158" s="475"/>
      <c r="W158" s="475"/>
      <c r="X158" s="475"/>
      <c r="Y158" s="475"/>
      <c r="Z158" s="475"/>
      <c r="AA158" s="475"/>
      <c r="AB158" s="475"/>
      <c r="AC158" s="475"/>
      <c r="AD158" s="475"/>
      <c r="AE158" s="475"/>
      <c r="AF158" s="475"/>
    </row>
    <row r="159" spans="2:32">
      <c r="B159" s="471"/>
      <c r="C159" s="475"/>
      <c r="D159" s="475"/>
      <c r="E159" s="475"/>
      <c r="F159" s="474"/>
      <c r="G159" s="475"/>
      <c r="H159" s="474"/>
      <c r="I159" s="474"/>
      <c r="J159" s="475"/>
      <c r="K159" s="475"/>
      <c r="L159" s="475"/>
      <c r="M159" s="475"/>
      <c r="N159" s="475"/>
      <c r="O159" s="475"/>
      <c r="P159" s="475"/>
      <c r="Q159" s="475"/>
      <c r="R159" s="475"/>
      <c r="S159" s="475"/>
      <c r="T159" s="475"/>
      <c r="U159" s="475"/>
      <c r="V159" s="475"/>
      <c r="W159" s="475"/>
      <c r="X159" s="475"/>
      <c r="Y159" s="475"/>
      <c r="Z159" s="475"/>
      <c r="AA159" s="475"/>
      <c r="AB159" s="475"/>
      <c r="AC159" s="475"/>
      <c r="AD159" s="475"/>
      <c r="AE159" s="475"/>
      <c r="AF159" s="475"/>
    </row>
    <row r="160" spans="2:32">
      <c r="B160" s="471"/>
      <c r="C160" s="475"/>
      <c r="D160" s="475"/>
      <c r="E160" s="475"/>
      <c r="F160" s="474"/>
      <c r="G160" s="475"/>
      <c r="H160" s="474"/>
      <c r="I160" s="474"/>
      <c r="J160" s="475"/>
      <c r="K160" s="475"/>
      <c r="L160" s="475"/>
      <c r="M160" s="475"/>
      <c r="N160" s="475"/>
      <c r="O160" s="475"/>
      <c r="P160" s="475"/>
      <c r="Q160" s="475"/>
      <c r="R160" s="475"/>
      <c r="S160" s="475"/>
      <c r="T160" s="475"/>
      <c r="U160" s="475"/>
      <c r="V160" s="475"/>
      <c r="W160" s="475"/>
      <c r="X160" s="475"/>
      <c r="Y160" s="475"/>
      <c r="Z160" s="475"/>
      <c r="AA160" s="475"/>
      <c r="AB160" s="475"/>
      <c r="AC160" s="475"/>
      <c r="AD160" s="475"/>
      <c r="AE160" s="475"/>
      <c r="AF160" s="475"/>
    </row>
    <row r="161" spans="2:32">
      <c r="B161" s="471"/>
      <c r="C161" s="475"/>
      <c r="D161" s="475"/>
      <c r="E161" s="475"/>
      <c r="F161" s="474"/>
      <c r="G161" s="475"/>
      <c r="H161" s="474"/>
      <c r="I161" s="474"/>
      <c r="J161" s="475"/>
      <c r="K161" s="475"/>
      <c r="L161" s="475"/>
      <c r="M161" s="475"/>
      <c r="N161" s="475"/>
      <c r="O161" s="475"/>
      <c r="P161" s="475"/>
      <c r="Q161" s="475"/>
      <c r="R161" s="475"/>
      <c r="S161" s="475"/>
      <c r="T161" s="475"/>
      <c r="U161" s="475"/>
      <c r="V161" s="475"/>
      <c r="W161" s="475"/>
      <c r="X161" s="475"/>
      <c r="Y161" s="475"/>
      <c r="Z161" s="475"/>
      <c r="AA161" s="475"/>
      <c r="AB161" s="475"/>
      <c r="AC161" s="475"/>
      <c r="AD161" s="475"/>
      <c r="AE161" s="475"/>
      <c r="AF161" s="475"/>
    </row>
    <row r="162" spans="2:32">
      <c r="B162" s="471"/>
      <c r="C162" s="475"/>
      <c r="D162" s="475"/>
      <c r="E162" s="475"/>
      <c r="F162" s="474"/>
      <c r="G162" s="475"/>
      <c r="H162" s="474"/>
      <c r="I162" s="474"/>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row>
    <row r="163" spans="2:32">
      <c r="B163" s="471"/>
      <c r="C163" s="475"/>
      <c r="D163" s="475"/>
      <c r="E163" s="475"/>
      <c r="F163" s="474"/>
      <c r="G163" s="475"/>
      <c r="H163" s="474"/>
      <c r="I163" s="474"/>
      <c r="J163" s="475"/>
      <c r="K163" s="475"/>
      <c r="L163" s="475"/>
      <c r="M163" s="475"/>
      <c r="N163" s="475"/>
      <c r="O163" s="475"/>
      <c r="P163" s="475"/>
      <c r="Q163" s="475"/>
      <c r="R163" s="475"/>
      <c r="S163" s="475"/>
      <c r="T163" s="475"/>
      <c r="U163" s="475"/>
      <c r="V163" s="475"/>
      <c r="W163" s="475"/>
      <c r="X163" s="475"/>
      <c r="Y163" s="475"/>
      <c r="Z163" s="475"/>
      <c r="AA163" s="475"/>
      <c r="AB163" s="475"/>
      <c r="AC163" s="475"/>
      <c r="AD163" s="475"/>
      <c r="AE163" s="475"/>
      <c r="AF163" s="475"/>
    </row>
    <row r="164" spans="2:32">
      <c r="B164" s="471"/>
      <c r="C164" s="475"/>
      <c r="D164" s="475"/>
      <c r="E164" s="475"/>
      <c r="F164" s="474"/>
      <c r="G164" s="475"/>
      <c r="H164" s="474"/>
      <c r="I164" s="474"/>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5"/>
      <c r="AF164" s="475"/>
    </row>
    <row r="165" spans="2:32">
      <c r="B165" s="471"/>
      <c r="C165" s="475"/>
      <c r="D165" s="475"/>
      <c r="E165" s="475"/>
      <c r="F165" s="474"/>
      <c r="G165" s="475"/>
      <c r="H165" s="474"/>
      <c r="I165" s="474"/>
      <c r="J165" s="475"/>
      <c r="K165" s="475"/>
      <c r="L165" s="475"/>
      <c r="M165" s="475"/>
      <c r="N165" s="475"/>
      <c r="O165" s="475"/>
      <c r="P165" s="475"/>
      <c r="Q165" s="475"/>
      <c r="R165" s="475"/>
      <c r="S165" s="475"/>
      <c r="T165" s="475"/>
      <c r="U165" s="475"/>
      <c r="V165" s="475"/>
      <c r="W165" s="475"/>
      <c r="X165" s="475"/>
      <c r="Y165" s="475"/>
      <c r="Z165" s="475"/>
      <c r="AA165" s="475"/>
      <c r="AB165" s="475"/>
      <c r="AC165" s="475"/>
      <c r="AD165" s="475"/>
      <c r="AE165" s="475"/>
      <c r="AF165" s="475"/>
    </row>
    <row r="166" spans="2:32">
      <c r="B166" s="471"/>
      <c r="C166" s="475"/>
      <c r="D166" s="475"/>
      <c r="E166" s="475"/>
      <c r="F166" s="474"/>
      <c r="G166" s="475"/>
      <c r="H166" s="474"/>
      <c r="I166" s="474"/>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5"/>
      <c r="AF166" s="475"/>
    </row>
    <row r="167" spans="2:32">
      <c r="B167" s="471"/>
      <c r="C167" s="475"/>
      <c r="D167" s="475"/>
      <c r="E167" s="475"/>
      <c r="F167" s="474"/>
      <c r="G167" s="475"/>
      <c r="H167" s="474"/>
      <c r="I167" s="474"/>
      <c r="J167" s="475"/>
      <c r="K167" s="475"/>
      <c r="L167" s="475"/>
      <c r="M167" s="475"/>
      <c r="N167" s="475"/>
      <c r="O167" s="475"/>
      <c r="P167" s="475"/>
      <c r="Q167" s="475"/>
      <c r="R167" s="475"/>
      <c r="S167" s="475"/>
      <c r="T167" s="475"/>
      <c r="U167" s="475"/>
      <c r="V167" s="475"/>
      <c r="W167" s="475"/>
      <c r="X167" s="475"/>
      <c r="Y167" s="475"/>
      <c r="Z167" s="475"/>
      <c r="AA167" s="475"/>
      <c r="AB167" s="475"/>
      <c r="AC167" s="475"/>
      <c r="AD167" s="475"/>
      <c r="AE167" s="475"/>
      <c r="AF167" s="475"/>
    </row>
    <row r="168" spans="2:32">
      <c r="B168" s="471"/>
      <c r="C168" s="475"/>
      <c r="D168" s="475"/>
      <c r="E168" s="475"/>
      <c r="F168" s="474"/>
      <c r="G168" s="475"/>
      <c r="H168" s="474"/>
      <c r="I168" s="474"/>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5"/>
      <c r="AF168" s="475"/>
    </row>
    <row r="169" spans="2:32">
      <c r="B169" s="471"/>
      <c r="C169" s="475"/>
      <c r="D169" s="475"/>
      <c r="E169" s="475"/>
      <c r="F169" s="474"/>
      <c r="G169" s="475"/>
      <c r="H169" s="474"/>
      <c r="I169" s="474"/>
      <c r="J169" s="475"/>
      <c r="K169" s="475"/>
      <c r="L169" s="475"/>
      <c r="M169" s="475"/>
      <c r="N169" s="475"/>
      <c r="O169" s="475"/>
      <c r="P169" s="475"/>
      <c r="Q169" s="475"/>
      <c r="R169" s="475"/>
      <c r="S169" s="475"/>
      <c r="T169" s="475"/>
      <c r="U169" s="475"/>
      <c r="V169" s="475"/>
      <c r="W169" s="475"/>
      <c r="X169" s="475"/>
      <c r="Y169" s="475"/>
      <c r="Z169" s="475"/>
      <c r="AA169" s="475"/>
      <c r="AB169" s="475"/>
      <c r="AC169" s="475"/>
      <c r="AD169" s="475"/>
      <c r="AE169" s="475"/>
      <c r="AF169" s="475"/>
    </row>
    <row r="170" spans="2:32">
      <c r="B170" s="471"/>
      <c r="C170" s="475"/>
      <c r="D170" s="475"/>
      <c r="E170" s="475"/>
      <c r="F170" s="474"/>
      <c r="G170" s="475"/>
      <c r="H170" s="474"/>
      <c r="I170" s="474"/>
      <c r="J170" s="475"/>
      <c r="K170" s="475"/>
      <c r="L170" s="475"/>
      <c r="M170" s="475"/>
      <c r="N170" s="475"/>
      <c r="O170" s="475"/>
      <c r="P170" s="475"/>
      <c r="Q170" s="475"/>
      <c r="R170" s="475"/>
      <c r="S170" s="475"/>
      <c r="T170" s="475"/>
      <c r="U170" s="475"/>
      <c r="V170" s="475"/>
      <c r="W170" s="475"/>
      <c r="X170" s="475"/>
      <c r="Y170" s="475"/>
      <c r="Z170" s="475"/>
      <c r="AA170" s="475"/>
      <c r="AB170" s="475"/>
      <c r="AC170" s="475"/>
      <c r="AD170" s="475"/>
      <c r="AE170" s="475"/>
      <c r="AF170" s="475"/>
    </row>
    <row r="171" spans="2:32">
      <c r="B171" s="471"/>
      <c r="C171" s="475"/>
      <c r="D171" s="475"/>
      <c r="E171" s="475"/>
      <c r="F171" s="474"/>
      <c r="G171" s="475"/>
      <c r="H171" s="474"/>
      <c r="I171" s="474"/>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row>
    <row r="172" spans="2:32">
      <c r="B172" s="471"/>
      <c r="C172" s="475"/>
      <c r="D172" s="475"/>
      <c r="E172" s="475"/>
      <c r="F172" s="474"/>
      <c r="G172" s="475"/>
      <c r="H172" s="474"/>
      <c r="I172" s="474"/>
      <c r="J172" s="475"/>
      <c r="K172" s="475"/>
      <c r="L172" s="475"/>
      <c r="M172" s="475"/>
      <c r="N172" s="475"/>
      <c r="O172" s="475"/>
      <c r="P172" s="475"/>
      <c r="Q172" s="475"/>
      <c r="R172" s="475"/>
      <c r="S172" s="475"/>
      <c r="T172" s="475"/>
      <c r="U172" s="475"/>
      <c r="V172" s="475"/>
      <c r="W172" s="475"/>
      <c r="X172" s="475"/>
      <c r="Y172" s="475"/>
      <c r="Z172" s="475"/>
      <c r="AA172" s="475"/>
      <c r="AB172" s="475"/>
      <c r="AC172" s="475"/>
      <c r="AD172" s="475"/>
      <c r="AE172" s="475"/>
      <c r="AF172" s="475"/>
    </row>
    <row r="173" spans="2:32">
      <c r="B173" s="471"/>
      <c r="C173" s="475"/>
      <c r="D173" s="475"/>
      <c r="E173" s="475"/>
      <c r="F173" s="474"/>
      <c r="G173" s="475"/>
      <c r="H173" s="474"/>
      <c r="I173" s="474"/>
      <c r="J173" s="475"/>
      <c r="K173" s="475"/>
      <c r="L173" s="475"/>
      <c r="M173" s="475"/>
      <c r="N173" s="475"/>
      <c r="O173" s="475"/>
      <c r="P173" s="475"/>
      <c r="Q173" s="475"/>
      <c r="R173" s="475"/>
      <c r="S173" s="475"/>
      <c r="T173" s="475"/>
      <c r="U173" s="475"/>
      <c r="V173" s="475"/>
      <c r="W173" s="475"/>
      <c r="X173" s="475"/>
      <c r="Y173" s="475"/>
      <c r="Z173" s="475"/>
      <c r="AA173" s="475"/>
      <c r="AB173" s="475"/>
      <c r="AC173" s="475"/>
      <c r="AD173" s="475"/>
      <c r="AE173" s="475"/>
      <c r="AF173" s="475"/>
    </row>
    <row r="174" spans="2:32">
      <c r="B174" s="471"/>
      <c r="C174" s="475"/>
      <c r="D174" s="475"/>
      <c r="E174" s="475"/>
      <c r="F174" s="474"/>
      <c r="G174" s="475"/>
      <c r="H174" s="474"/>
      <c r="I174" s="474"/>
      <c r="J174" s="475"/>
      <c r="K174" s="475"/>
      <c r="L174" s="475"/>
      <c r="M174" s="475"/>
      <c r="N174" s="475"/>
      <c r="O174" s="475"/>
      <c r="P174" s="475"/>
      <c r="Q174" s="475"/>
      <c r="R174" s="475"/>
      <c r="S174" s="475"/>
      <c r="T174" s="475"/>
      <c r="U174" s="475"/>
      <c r="V174" s="475"/>
      <c r="W174" s="475"/>
      <c r="X174" s="475"/>
      <c r="Y174" s="475"/>
      <c r="Z174" s="475"/>
      <c r="AA174" s="475"/>
      <c r="AB174" s="475"/>
      <c r="AC174" s="475"/>
      <c r="AD174" s="475"/>
      <c r="AE174" s="475"/>
      <c r="AF174" s="475"/>
    </row>
    <row r="175" spans="2:32">
      <c r="B175" s="471"/>
      <c r="C175" s="475"/>
      <c r="D175" s="475"/>
      <c r="E175" s="475"/>
      <c r="F175" s="474"/>
      <c r="G175" s="475"/>
      <c r="H175" s="474"/>
      <c r="I175" s="474"/>
      <c r="J175" s="475"/>
      <c r="K175" s="475"/>
      <c r="L175" s="475"/>
      <c r="M175" s="475"/>
      <c r="N175" s="475"/>
      <c r="O175" s="475"/>
      <c r="P175" s="475"/>
      <c r="Q175" s="475"/>
      <c r="R175" s="475"/>
      <c r="S175" s="475"/>
      <c r="T175" s="475"/>
      <c r="U175" s="475"/>
      <c r="V175" s="475"/>
      <c r="W175" s="475"/>
      <c r="X175" s="475"/>
      <c r="Y175" s="475"/>
      <c r="Z175" s="475"/>
      <c r="AA175" s="475"/>
      <c r="AB175" s="475"/>
      <c r="AC175" s="475"/>
      <c r="AD175" s="475"/>
      <c r="AE175" s="475"/>
      <c r="AF175" s="475"/>
    </row>
    <row r="176" spans="2:32">
      <c r="B176" s="471"/>
      <c r="C176" s="475"/>
      <c r="D176" s="475"/>
      <c r="E176" s="475"/>
      <c r="F176" s="474"/>
      <c r="G176" s="475"/>
      <c r="H176" s="474"/>
      <c r="I176" s="474"/>
      <c r="J176" s="475"/>
      <c r="K176" s="475"/>
      <c r="L176" s="475"/>
      <c r="M176" s="475"/>
      <c r="N176" s="475"/>
      <c r="O176" s="475"/>
      <c r="P176" s="475"/>
      <c r="Q176" s="475"/>
      <c r="R176" s="475"/>
      <c r="S176" s="475"/>
      <c r="T176" s="475"/>
      <c r="U176" s="475"/>
      <c r="V176" s="475"/>
      <c r="W176" s="475"/>
      <c r="X176" s="475"/>
      <c r="Y176" s="475"/>
      <c r="Z176" s="475"/>
      <c r="AA176" s="475"/>
      <c r="AB176" s="475"/>
      <c r="AC176" s="475"/>
      <c r="AD176" s="475"/>
      <c r="AE176" s="475"/>
      <c r="AF176" s="475"/>
    </row>
    <row r="177" spans="2:32">
      <c r="B177" s="471"/>
      <c r="C177" s="475"/>
      <c r="D177" s="475"/>
      <c r="E177" s="475"/>
      <c r="F177" s="474"/>
      <c r="G177" s="475"/>
      <c r="H177" s="474"/>
      <c r="I177" s="474"/>
      <c r="J177" s="475"/>
      <c r="K177" s="475"/>
      <c r="L177" s="475"/>
      <c r="M177" s="475"/>
      <c r="N177" s="475"/>
      <c r="O177" s="475"/>
      <c r="P177" s="475"/>
      <c r="Q177" s="475"/>
      <c r="R177" s="475"/>
      <c r="S177" s="475"/>
      <c r="T177" s="475"/>
      <c r="U177" s="475"/>
      <c r="V177" s="475"/>
      <c r="W177" s="475"/>
      <c r="X177" s="475"/>
      <c r="Y177" s="475"/>
      <c r="Z177" s="475"/>
      <c r="AA177" s="475"/>
      <c r="AB177" s="475"/>
      <c r="AC177" s="475"/>
      <c r="AD177" s="475"/>
      <c r="AE177" s="475"/>
      <c r="AF177" s="475"/>
    </row>
    <row r="178" spans="2:32">
      <c r="B178" s="471"/>
      <c r="C178" s="475"/>
      <c r="D178" s="475"/>
      <c r="E178" s="475"/>
      <c r="F178" s="474"/>
      <c r="G178" s="475"/>
      <c r="H178" s="474"/>
      <c r="I178" s="474"/>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row>
    <row r="179" spans="2:32">
      <c r="B179" s="471"/>
      <c r="C179" s="475"/>
      <c r="D179" s="475"/>
      <c r="E179" s="475"/>
      <c r="F179" s="474"/>
      <c r="G179" s="475"/>
      <c r="H179" s="474"/>
      <c r="I179" s="474"/>
      <c r="J179" s="475"/>
      <c r="K179" s="475"/>
      <c r="L179" s="475"/>
      <c r="M179" s="475"/>
      <c r="N179" s="475"/>
      <c r="O179" s="475"/>
      <c r="P179" s="475"/>
      <c r="Q179" s="475"/>
      <c r="R179" s="475"/>
      <c r="S179" s="475"/>
      <c r="T179" s="475"/>
      <c r="U179" s="475"/>
      <c r="V179" s="475"/>
      <c r="W179" s="475"/>
      <c r="X179" s="475"/>
      <c r="Y179" s="475"/>
      <c r="Z179" s="475"/>
      <c r="AA179" s="475"/>
      <c r="AB179" s="475"/>
      <c r="AC179" s="475"/>
      <c r="AD179" s="475"/>
      <c r="AE179" s="475"/>
      <c r="AF179" s="475"/>
    </row>
    <row r="180" spans="2:32">
      <c r="B180" s="471"/>
      <c r="C180" s="475"/>
      <c r="D180" s="475"/>
      <c r="E180" s="475"/>
      <c r="F180" s="474"/>
      <c r="G180" s="475"/>
      <c r="H180" s="474"/>
      <c r="I180" s="474"/>
      <c r="J180" s="475"/>
      <c r="K180" s="475"/>
      <c r="L180" s="475"/>
      <c r="M180" s="475"/>
      <c r="N180" s="475"/>
      <c r="O180" s="475"/>
      <c r="P180" s="475"/>
      <c r="Q180" s="475"/>
      <c r="R180" s="475"/>
      <c r="S180" s="475"/>
      <c r="T180" s="475"/>
      <c r="U180" s="475"/>
      <c r="V180" s="475"/>
      <c r="W180" s="475"/>
      <c r="X180" s="475"/>
      <c r="Y180" s="475"/>
      <c r="Z180" s="475"/>
      <c r="AA180" s="475"/>
      <c r="AB180" s="475"/>
      <c r="AC180" s="475"/>
      <c r="AD180" s="475"/>
      <c r="AE180" s="475"/>
      <c r="AF180" s="475"/>
    </row>
    <row r="181" spans="2:32">
      <c r="B181" s="471"/>
      <c r="C181" s="475"/>
      <c r="D181" s="475"/>
      <c r="E181" s="475"/>
      <c r="F181" s="474"/>
      <c r="G181" s="475"/>
      <c r="H181" s="474"/>
      <c r="I181" s="474"/>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5"/>
      <c r="AF181" s="475"/>
    </row>
    <row r="182" spans="2:32">
      <c r="B182" s="471"/>
      <c r="C182" s="475"/>
      <c r="D182" s="475"/>
      <c r="E182" s="475"/>
      <c r="F182" s="474"/>
      <c r="G182" s="475"/>
      <c r="H182" s="474"/>
      <c r="I182" s="474"/>
      <c r="J182" s="475"/>
      <c r="K182" s="475"/>
      <c r="L182" s="475"/>
      <c r="M182" s="475"/>
      <c r="N182" s="475"/>
      <c r="O182" s="475"/>
      <c r="P182" s="475"/>
      <c r="Q182" s="475"/>
      <c r="R182" s="475"/>
      <c r="S182" s="475"/>
      <c r="T182" s="475"/>
      <c r="U182" s="475"/>
      <c r="V182" s="475"/>
      <c r="W182" s="475"/>
      <c r="X182" s="475"/>
      <c r="Y182" s="475"/>
      <c r="Z182" s="475"/>
      <c r="AA182" s="475"/>
      <c r="AB182" s="475"/>
      <c r="AC182" s="475"/>
      <c r="AD182" s="475"/>
      <c r="AE182" s="475"/>
      <c r="AF182" s="475"/>
    </row>
    <row r="183" spans="2:32">
      <c r="B183" s="471"/>
      <c r="C183" s="475"/>
      <c r="D183" s="475"/>
      <c r="E183" s="475"/>
      <c r="F183" s="474"/>
      <c r="G183" s="475"/>
      <c r="H183" s="474"/>
      <c r="I183" s="474"/>
      <c r="J183" s="475"/>
      <c r="K183" s="475"/>
      <c r="L183" s="475"/>
      <c r="M183" s="475"/>
      <c r="N183" s="475"/>
      <c r="O183" s="475"/>
      <c r="P183" s="475"/>
      <c r="Q183" s="475"/>
      <c r="R183" s="475"/>
      <c r="S183" s="475"/>
      <c r="T183" s="475"/>
      <c r="U183" s="475"/>
      <c r="V183" s="475"/>
      <c r="W183" s="475"/>
      <c r="X183" s="475"/>
      <c r="Y183" s="475"/>
      <c r="Z183" s="475"/>
      <c r="AA183" s="475"/>
      <c r="AB183" s="475"/>
      <c r="AC183" s="475"/>
      <c r="AD183" s="475"/>
      <c r="AE183" s="475"/>
      <c r="AF183" s="475"/>
    </row>
    <row r="184" spans="2:32">
      <c r="B184" s="471"/>
      <c r="C184" s="475"/>
      <c r="D184" s="475"/>
      <c r="E184" s="475"/>
      <c r="F184" s="474"/>
      <c r="G184" s="475"/>
      <c r="H184" s="474"/>
      <c r="I184" s="474"/>
      <c r="J184" s="475"/>
      <c r="K184" s="475"/>
      <c r="L184" s="475"/>
      <c r="M184" s="475"/>
      <c r="N184" s="475"/>
      <c r="O184" s="475"/>
      <c r="P184" s="475"/>
      <c r="Q184" s="475"/>
      <c r="R184" s="475"/>
      <c r="S184" s="475"/>
      <c r="T184" s="475"/>
      <c r="U184" s="475"/>
      <c r="V184" s="475"/>
      <c r="W184" s="475"/>
      <c r="X184" s="475"/>
      <c r="Y184" s="475"/>
      <c r="Z184" s="475"/>
      <c r="AA184" s="475"/>
      <c r="AB184" s="475"/>
      <c r="AC184" s="475"/>
      <c r="AD184" s="475"/>
      <c r="AE184" s="475"/>
      <c r="AF184" s="475"/>
    </row>
    <row r="185" spans="2:32">
      <c r="B185" s="471"/>
      <c r="C185" s="475"/>
      <c r="D185" s="475"/>
      <c r="E185" s="475"/>
      <c r="F185" s="474"/>
      <c r="G185" s="475"/>
      <c r="H185" s="474"/>
      <c r="I185" s="474"/>
      <c r="J185" s="475"/>
      <c r="K185" s="475"/>
      <c r="L185" s="475"/>
      <c r="M185" s="475"/>
      <c r="N185" s="475"/>
      <c r="O185" s="475"/>
      <c r="P185" s="475"/>
      <c r="Q185" s="475"/>
      <c r="R185" s="475"/>
      <c r="S185" s="475"/>
      <c r="T185" s="475"/>
      <c r="U185" s="475"/>
      <c r="V185" s="475"/>
      <c r="W185" s="475"/>
      <c r="X185" s="475"/>
      <c r="Y185" s="475"/>
      <c r="Z185" s="475"/>
      <c r="AA185" s="475"/>
      <c r="AB185" s="475"/>
      <c r="AC185" s="475"/>
      <c r="AD185" s="475"/>
      <c r="AE185" s="475"/>
      <c r="AF185" s="475"/>
    </row>
    <row r="186" spans="2:32">
      <c r="B186" s="471"/>
      <c r="C186" s="475"/>
      <c r="D186" s="475"/>
      <c r="E186" s="475"/>
      <c r="F186" s="474"/>
      <c r="G186" s="475"/>
      <c r="H186" s="474"/>
      <c r="I186" s="474"/>
      <c r="J186" s="475"/>
      <c r="K186" s="475"/>
      <c r="L186" s="475"/>
      <c r="M186" s="475"/>
      <c r="N186" s="475"/>
      <c r="O186" s="475"/>
      <c r="P186" s="475"/>
      <c r="Q186" s="475"/>
      <c r="R186" s="475"/>
      <c r="S186" s="475"/>
      <c r="T186" s="475"/>
      <c r="U186" s="475"/>
      <c r="V186" s="475"/>
      <c r="W186" s="475"/>
      <c r="X186" s="475"/>
      <c r="Y186" s="475"/>
      <c r="Z186" s="475"/>
      <c r="AA186" s="475"/>
      <c r="AB186" s="475"/>
      <c r="AC186" s="475"/>
      <c r="AD186" s="475"/>
      <c r="AE186" s="475"/>
      <c r="AF186" s="475"/>
    </row>
    <row r="187" spans="2:32">
      <c r="B187" s="471"/>
      <c r="C187" s="475"/>
      <c r="D187" s="475"/>
      <c r="E187" s="475"/>
      <c r="F187" s="474"/>
      <c r="G187" s="475"/>
      <c r="H187" s="474"/>
      <c r="I187" s="474"/>
      <c r="J187" s="475"/>
      <c r="K187" s="475"/>
      <c r="L187" s="475"/>
      <c r="M187" s="475"/>
      <c r="N187" s="475"/>
      <c r="O187" s="475"/>
      <c r="P187" s="475"/>
      <c r="Q187" s="475"/>
      <c r="R187" s="475"/>
      <c r="S187" s="475"/>
      <c r="T187" s="475"/>
      <c r="U187" s="475"/>
      <c r="V187" s="475"/>
      <c r="W187" s="475"/>
      <c r="X187" s="475"/>
      <c r="Y187" s="475"/>
      <c r="Z187" s="475"/>
      <c r="AA187" s="475"/>
      <c r="AB187" s="475"/>
      <c r="AC187" s="475"/>
      <c r="AD187" s="475"/>
      <c r="AE187" s="475"/>
      <c r="AF187" s="475"/>
    </row>
    <row r="188" spans="2:32">
      <c r="B188" s="471"/>
      <c r="C188" s="475"/>
      <c r="D188" s="475"/>
      <c r="E188" s="475"/>
      <c r="F188" s="474"/>
      <c r="G188" s="475"/>
      <c r="H188" s="474"/>
      <c r="I188" s="474"/>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row>
    <row r="189" spans="2:32">
      <c r="B189" s="471"/>
      <c r="C189" s="475"/>
      <c r="D189" s="475"/>
      <c r="E189" s="475"/>
      <c r="F189" s="474"/>
      <c r="G189" s="475"/>
      <c r="H189" s="474"/>
      <c r="I189" s="474"/>
      <c r="J189" s="475"/>
      <c r="K189" s="475"/>
      <c r="L189" s="475"/>
      <c r="M189" s="475"/>
      <c r="N189" s="475"/>
      <c r="O189" s="475"/>
      <c r="P189" s="475"/>
      <c r="Q189" s="475"/>
      <c r="R189" s="475"/>
      <c r="S189" s="475"/>
      <c r="T189" s="475"/>
      <c r="U189" s="475"/>
      <c r="V189" s="475"/>
      <c r="W189" s="475"/>
      <c r="X189" s="475"/>
      <c r="Y189" s="475"/>
      <c r="Z189" s="475"/>
      <c r="AA189" s="475"/>
      <c r="AB189" s="475"/>
      <c r="AC189" s="475"/>
      <c r="AD189" s="475"/>
      <c r="AE189" s="475"/>
      <c r="AF189" s="475"/>
    </row>
    <row r="190" spans="2:32">
      <c r="B190" s="471"/>
      <c r="C190" s="475"/>
      <c r="D190" s="475"/>
      <c r="E190" s="475"/>
      <c r="F190" s="474"/>
      <c r="G190" s="475"/>
      <c r="H190" s="474"/>
      <c r="I190" s="474"/>
      <c r="J190" s="475"/>
      <c r="K190" s="475"/>
      <c r="L190" s="475"/>
      <c r="M190" s="475"/>
      <c r="N190" s="475"/>
      <c r="O190" s="475"/>
      <c r="P190" s="475"/>
      <c r="Q190" s="475"/>
      <c r="R190" s="475"/>
      <c r="S190" s="475"/>
      <c r="T190" s="475"/>
      <c r="U190" s="475"/>
      <c r="V190" s="475"/>
      <c r="W190" s="475"/>
      <c r="X190" s="475"/>
      <c r="Y190" s="475"/>
      <c r="Z190" s="475"/>
      <c r="AA190" s="475"/>
      <c r="AB190" s="475"/>
      <c r="AC190" s="475"/>
      <c r="AD190" s="475"/>
      <c r="AE190" s="475"/>
      <c r="AF190" s="475"/>
    </row>
    <row r="191" spans="2:32">
      <c r="B191" s="471"/>
      <c r="C191" s="475"/>
      <c r="D191" s="475"/>
      <c r="E191" s="475"/>
      <c r="F191" s="474"/>
      <c r="G191" s="475"/>
      <c r="H191" s="474"/>
      <c r="I191" s="474"/>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row>
    <row r="192" spans="2:32">
      <c r="B192" s="471"/>
      <c r="C192" s="475"/>
      <c r="D192" s="475"/>
      <c r="E192" s="475"/>
      <c r="F192" s="474"/>
      <c r="G192" s="475"/>
      <c r="H192" s="474"/>
      <c r="I192" s="474"/>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row>
    <row r="193" spans="2:32">
      <c r="B193" s="471"/>
      <c r="C193" s="475"/>
      <c r="D193" s="475"/>
      <c r="E193" s="475"/>
      <c r="F193" s="474"/>
      <c r="G193" s="475"/>
      <c r="H193" s="474"/>
      <c r="I193" s="474"/>
      <c r="J193" s="475"/>
      <c r="K193" s="475"/>
      <c r="L193" s="475"/>
      <c r="M193" s="475"/>
      <c r="N193" s="475"/>
      <c r="O193" s="475"/>
      <c r="P193" s="475"/>
      <c r="Q193" s="475"/>
      <c r="R193" s="475"/>
      <c r="S193" s="475"/>
      <c r="T193" s="475"/>
      <c r="U193" s="475"/>
      <c r="V193" s="475"/>
      <c r="W193" s="475"/>
      <c r="X193" s="475"/>
      <c r="Y193" s="475"/>
      <c r="Z193" s="475"/>
      <c r="AA193" s="475"/>
      <c r="AB193" s="475"/>
      <c r="AC193" s="475"/>
      <c r="AD193" s="475"/>
      <c r="AE193" s="475"/>
      <c r="AF193" s="475"/>
    </row>
    <row r="194" spans="2:32">
      <c r="B194" s="471"/>
      <c r="C194" s="475"/>
      <c r="D194" s="475"/>
      <c r="E194" s="475"/>
      <c r="F194" s="474"/>
      <c r="G194" s="475"/>
      <c r="H194" s="474"/>
      <c r="I194" s="474"/>
      <c r="J194" s="475"/>
      <c r="K194" s="475"/>
      <c r="L194" s="475"/>
      <c r="M194" s="475"/>
      <c r="N194" s="475"/>
      <c r="O194" s="475"/>
      <c r="P194" s="475"/>
      <c r="Q194" s="475"/>
      <c r="R194" s="475"/>
      <c r="S194" s="475"/>
      <c r="T194" s="475"/>
      <c r="U194" s="475"/>
      <c r="V194" s="475"/>
      <c r="W194" s="475"/>
      <c r="X194" s="475"/>
      <c r="Y194" s="475"/>
      <c r="Z194" s="475"/>
      <c r="AA194" s="475"/>
      <c r="AB194" s="475"/>
      <c r="AC194" s="475"/>
      <c r="AD194" s="475"/>
      <c r="AE194" s="475"/>
      <c r="AF194" s="475"/>
    </row>
    <row r="195" spans="2:32">
      <c r="B195" s="471"/>
      <c r="C195" s="475"/>
      <c r="D195" s="475"/>
      <c r="E195" s="475"/>
      <c r="F195" s="474"/>
      <c r="G195" s="475"/>
      <c r="H195" s="474"/>
      <c r="I195" s="474"/>
      <c r="J195" s="475"/>
      <c r="K195" s="475"/>
      <c r="L195" s="475"/>
      <c r="M195" s="475"/>
      <c r="N195" s="475"/>
      <c r="O195" s="475"/>
      <c r="P195" s="475"/>
      <c r="Q195" s="475"/>
      <c r="R195" s="475"/>
      <c r="S195" s="475"/>
      <c r="T195" s="475"/>
      <c r="U195" s="475"/>
      <c r="V195" s="475"/>
      <c r="W195" s="475"/>
      <c r="X195" s="475"/>
      <c r="Y195" s="475"/>
      <c r="Z195" s="475"/>
      <c r="AA195" s="475"/>
      <c r="AB195" s="475"/>
      <c r="AC195" s="475"/>
      <c r="AD195" s="475"/>
      <c r="AE195" s="475"/>
      <c r="AF195" s="475"/>
    </row>
    <row r="196" spans="2:32">
      <c r="B196" s="471"/>
      <c r="C196" s="475"/>
      <c r="D196" s="475"/>
      <c r="E196" s="475"/>
      <c r="F196" s="474"/>
      <c r="G196" s="475"/>
      <c r="H196" s="474"/>
      <c r="I196" s="474"/>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row>
    <row r="197" spans="2:32">
      <c r="B197" s="471"/>
      <c r="C197" s="475"/>
      <c r="D197" s="475"/>
      <c r="E197" s="475"/>
      <c r="F197" s="474"/>
      <c r="G197" s="475"/>
      <c r="H197" s="474"/>
      <c r="I197" s="474"/>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row>
    <row r="198" spans="2:32">
      <c r="B198" s="471"/>
      <c r="C198" s="475"/>
      <c r="D198" s="475"/>
      <c r="E198" s="475"/>
      <c r="F198" s="474"/>
      <c r="G198" s="475"/>
      <c r="H198" s="474"/>
      <c r="I198" s="474"/>
      <c r="J198" s="475"/>
      <c r="K198" s="475"/>
      <c r="L198" s="475"/>
      <c r="M198" s="475"/>
      <c r="N198" s="475"/>
      <c r="O198" s="475"/>
      <c r="P198" s="475"/>
      <c r="Q198" s="475"/>
      <c r="R198" s="475"/>
      <c r="S198" s="475"/>
      <c r="T198" s="475"/>
      <c r="U198" s="475"/>
      <c r="V198" s="475"/>
      <c r="W198" s="475"/>
      <c r="X198" s="475"/>
      <c r="Y198" s="475"/>
      <c r="Z198" s="475"/>
      <c r="AA198" s="475"/>
      <c r="AB198" s="475"/>
      <c r="AC198" s="475"/>
      <c r="AD198" s="475"/>
      <c r="AE198" s="475"/>
      <c r="AF198" s="475"/>
    </row>
    <row r="199" spans="2:32">
      <c r="B199" s="471"/>
      <c r="C199" s="475"/>
      <c r="D199" s="475"/>
      <c r="E199" s="475"/>
      <c r="F199" s="474"/>
      <c r="G199" s="475"/>
      <c r="H199" s="474"/>
      <c r="I199" s="474"/>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row>
    <row r="200" spans="2:32">
      <c r="B200" s="471"/>
      <c r="C200" s="475"/>
      <c r="D200" s="475"/>
      <c r="E200" s="475"/>
      <c r="F200" s="474"/>
      <c r="G200" s="475"/>
      <c r="H200" s="474"/>
      <c r="I200" s="474"/>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row>
    <row r="201" spans="2:32">
      <c r="B201" s="471"/>
      <c r="C201" s="475"/>
      <c r="D201" s="475"/>
      <c r="E201" s="475"/>
      <c r="F201" s="474"/>
      <c r="G201" s="475"/>
      <c r="H201" s="474"/>
      <c r="I201" s="474"/>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row>
    <row r="202" spans="2:32">
      <c r="B202" s="471"/>
      <c r="C202" s="475"/>
      <c r="D202" s="475"/>
      <c r="E202" s="475"/>
      <c r="F202" s="474"/>
      <c r="G202" s="475"/>
      <c r="H202" s="474"/>
      <c r="I202" s="474"/>
      <c r="J202" s="475"/>
      <c r="K202" s="475"/>
      <c r="L202" s="475"/>
      <c r="M202" s="475"/>
      <c r="N202" s="475"/>
      <c r="O202" s="475"/>
      <c r="P202" s="475"/>
      <c r="Q202" s="475"/>
      <c r="R202" s="475"/>
      <c r="S202" s="475"/>
      <c r="T202" s="475"/>
      <c r="U202" s="475"/>
      <c r="V202" s="475"/>
      <c r="W202" s="475"/>
      <c r="X202" s="475"/>
      <c r="Y202" s="475"/>
      <c r="Z202" s="475"/>
      <c r="AA202" s="475"/>
      <c r="AB202" s="475"/>
      <c r="AC202" s="475"/>
      <c r="AD202" s="475"/>
      <c r="AE202" s="475"/>
      <c r="AF202" s="475"/>
    </row>
    <row r="203" spans="2:32">
      <c r="B203" s="471"/>
      <c r="C203" s="475"/>
      <c r="D203" s="475"/>
      <c r="E203" s="475"/>
      <c r="F203" s="474"/>
      <c r="G203" s="475"/>
      <c r="H203" s="474"/>
      <c r="I203" s="474"/>
      <c r="J203" s="475"/>
      <c r="K203" s="475"/>
      <c r="L203" s="475"/>
      <c r="M203" s="475"/>
      <c r="N203" s="475"/>
      <c r="O203" s="475"/>
      <c r="P203" s="475"/>
      <c r="Q203" s="475"/>
      <c r="R203" s="475"/>
      <c r="S203" s="475"/>
      <c r="T203" s="475"/>
      <c r="U203" s="475"/>
      <c r="V203" s="475"/>
      <c r="W203" s="475"/>
      <c r="X203" s="475"/>
      <c r="Y203" s="475"/>
      <c r="Z203" s="475"/>
      <c r="AA203" s="475"/>
      <c r="AB203" s="475"/>
      <c r="AC203" s="475"/>
      <c r="AD203" s="475"/>
      <c r="AE203" s="475"/>
      <c r="AF203" s="475"/>
    </row>
    <row r="204" spans="2:32">
      <c r="B204" s="471"/>
      <c r="C204" s="475"/>
      <c r="D204" s="475"/>
      <c r="E204" s="475"/>
      <c r="F204" s="474"/>
      <c r="G204" s="475"/>
      <c r="H204" s="474"/>
      <c r="I204" s="474"/>
      <c r="J204" s="475"/>
      <c r="K204" s="475"/>
      <c r="L204" s="475"/>
      <c r="M204" s="475"/>
      <c r="N204" s="475"/>
      <c r="O204" s="475"/>
      <c r="P204" s="475"/>
      <c r="Q204" s="475"/>
      <c r="R204" s="475"/>
      <c r="S204" s="475"/>
      <c r="T204" s="475"/>
      <c r="U204" s="475"/>
      <c r="V204" s="475"/>
      <c r="W204" s="475"/>
      <c r="X204" s="475"/>
      <c r="Y204" s="475"/>
      <c r="Z204" s="475"/>
      <c r="AA204" s="475"/>
      <c r="AB204" s="475"/>
      <c r="AC204" s="475"/>
      <c r="AD204" s="475"/>
      <c r="AE204" s="475"/>
      <c r="AF204" s="475"/>
    </row>
    <row r="205" spans="2:32">
      <c r="B205" s="471"/>
      <c r="C205" s="475"/>
      <c r="D205" s="475"/>
      <c r="E205" s="475"/>
      <c r="F205" s="474"/>
      <c r="G205" s="475"/>
      <c r="H205" s="474"/>
      <c r="I205" s="474"/>
      <c r="J205" s="475"/>
      <c r="K205" s="475"/>
      <c r="L205" s="475"/>
      <c r="M205" s="475"/>
      <c r="N205" s="475"/>
      <c r="O205" s="475"/>
      <c r="P205" s="475"/>
      <c r="Q205" s="475"/>
      <c r="R205" s="475"/>
      <c r="S205" s="475"/>
      <c r="T205" s="475"/>
      <c r="U205" s="475"/>
      <c r="V205" s="475"/>
      <c r="W205" s="475"/>
      <c r="X205" s="475"/>
      <c r="Y205" s="475"/>
      <c r="Z205" s="475"/>
      <c r="AA205" s="475"/>
      <c r="AB205" s="475"/>
      <c r="AC205" s="475"/>
      <c r="AD205" s="475"/>
      <c r="AE205" s="475"/>
      <c r="AF205" s="475"/>
    </row>
    <row r="206" spans="2:32">
      <c r="B206" s="471"/>
      <c r="C206" s="475"/>
      <c r="D206" s="475"/>
      <c r="E206" s="475"/>
      <c r="F206" s="474"/>
      <c r="G206" s="475"/>
      <c r="H206" s="474"/>
      <c r="I206" s="474"/>
      <c r="J206" s="475"/>
      <c r="K206" s="475"/>
      <c r="L206" s="475"/>
      <c r="M206" s="475"/>
      <c r="N206" s="475"/>
      <c r="O206" s="475"/>
      <c r="P206" s="475"/>
      <c r="Q206" s="475"/>
      <c r="R206" s="475"/>
      <c r="S206" s="475"/>
      <c r="T206" s="475"/>
      <c r="U206" s="475"/>
      <c r="V206" s="475"/>
      <c r="W206" s="475"/>
      <c r="X206" s="475"/>
      <c r="Y206" s="475"/>
      <c r="Z206" s="475"/>
      <c r="AA206" s="475"/>
      <c r="AB206" s="475"/>
      <c r="AC206" s="475"/>
      <c r="AD206" s="475"/>
      <c r="AE206" s="475"/>
      <c r="AF206" s="475"/>
    </row>
    <row r="207" spans="2:32">
      <c r="B207" s="471"/>
      <c r="C207" s="475"/>
      <c r="D207" s="475"/>
      <c r="E207" s="475"/>
      <c r="F207" s="474"/>
      <c r="G207" s="475"/>
      <c r="H207" s="474"/>
      <c r="I207" s="474"/>
      <c r="J207" s="475"/>
      <c r="K207" s="475"/>
      <c r="L207" s="475"/>
      <c r="M207" s="475"/>
      <c r="N207" s="475"/>
      <c r="O207" s="475"/>
      <c r="P207" s="475"/>
      <c r="Q207" s="475"/>
      <c r="R207" s="475"/>
      <c r="S207" s="475"/>
      <c r="T207" s="475"/>
      <c r="U207" s="475"/>
      <c r="V207" s="475"/>
      <c r="W207" s="475"/>
      <c r="X207" s="475"/>
      <c r="Y207" s="475"/>
      <c r="Z207" s="475"/>
      <c r="AA207" s="475"/>
      <c r="AB207" s="475"/>
      <c r="AC207" s="475"/>
      <c r="AD207" s="475"/>
      <c r="AE207" s="475"/>
      <c r="AF207" s="475"/>
    </row>
    <row r="208" spans="2:32">
      <c r="B208" s="471"/>
      <c r="C208" s="475"/>
      <c r="D208" s="475"/>
      <c r="E208" s="475"/>
      <c r="F208" s="474"/>
      <c r="G208" s="475"/>
      <c r="H208" s="474"/>
      <c r="I208" s="474"/>
      <c r="J208" s="475"/>
      <c r="K208" s="475"/>
      <c r="L208" s="475"/>
      <c r="M208" s="475"/>
      <c r="N208" s="475"/>
      <c r="O208" s="475"/>
      <c r="P208" s="475"/>
      <c r="Q208" s="475"/>
      <c r="R208" s="475"/>
      <c r="S208" s="475"/>
      <c r="T208" s="475"/>
      <c r="U208" s="475"/>
      <c r="V208" s="475"/>
      <c r="W208" s="475"/>
      <c r="X208" s="475"/>
      <c r="Y208" s="475"/>
      <c r="Z208" s="475"/>
      <c r="AA208" s="475"/>
      <c r="AB208" s="475"/>
      <c r="AC208" s="475"/>
      <c r="AD208" s="475"/>
      <c r="AE208" s="475"/>
      <c r="AF208" s="475"/>
    </row>
    <row r="209" spans="2:32">
      <c r="B209" s="471"/>
      <c r="C209" s="475"/>
      <c r="D209" s="475"/>
      <c r="E209" s="475"/>
      <c r="F209" s="474"/>
      <c r="G209" s="475"/>
      <c r="H209" s="474"/>
      <c r="I209" s="474"/>
      <c r="J209" s="475"/>
      <c r="K209" s="475"/>
      <c r="L209" s="475"/>
      <c r="M209" s="475"/>
      <c r="N209" s="475"/>
      <c r="O209" s="475"/>
      <c r="P209" s="475"/>
      <c r="Q209" s="475"/>
      <c r="R209" s="475"/>
      <c r="S209" s="475"/>
      <c r="T209" s="475"/>
      <c r="U209" s="475"/>
      <c r="V209" s="475"/>
      <c r="W209" s="475"/>
      <c r="X209" s="475"/>
      <c r="Y209" s="475"/>
      <c r="Z209" s="475"/>
      <c r="AA209" s="475"/>
      <c r="AB209" s="475"/>
      <c r="AC209" s="475"/>
      <c r="AD209" s="475"/>
      <c r="AE209" s="475"/>
      <c r="AF209" s="475"/>
    </row>
    <row r="210" spans="2:32">
      <c r="B210" s="471"/>
      <c r="C210" s="475"/>
      <c r="D210" s="475"/>
      <c r="E210" s="475"/>
      <c r="F210" s="474"/>
      <c r="G210" s="475"/>
      <c r="H210" s="474"/>
      <c r="I210" s="474"/>
      <c r="J210" s="475"/>
      <c r="K210" s="475"/>
      <c r="L210" s="475"/>
      <c r="M210" s="475"/>
      <c r="N210" s="475"/>
      <c r="O210" s="475"/>
      <c r="P210" s="475"/>
      <c r="Q210" s="475"/>
      <c r="R210" s="475"/>
      <c r="S210" s="475"/>
      <c r="T210" s="475"/>
      <c r="U210" s="475"/>
      <c r="V210" s="475"/>
      <c r="W210" s="475"/>
      <c r="X210" s="475"/>
      <c r="Y210" s="475"/>
      <c r="Z210" s="475"/>
      <c r="AA210" s="475"/>
      <c r="AB210" s="475"/>
      <c r="AC210" s="475"/>
      <c r="AD210" s="475"/>
      <c r="AE210" s="475"/>
      <c r="AF210" s="475"/>
    </row>
    <row r="211" spans="2:32">
      <c r="B211" s="471"/>
      <c r="C211" s="475"/>
      <c r="D211" s="475"/>
      <c r="E211" s="475"/>
      <c r="F211" s="474"/>
      <c r="G211" s="475"/>
      <c r="H211" s="474"/>
      <c r="I211" s="474"/>
      <c r="J211" s="475"/>
      <c r="K211" s="475"/>
      <c r="L211" s="475"/>
      <c r="M211" s="475"/>
      <c r="N211" s="475"/>
      <c r="O211" s="475"/>
      <c r="P211" s="475"/>
      <c r="Q211" s="475"/>
      <c r="R211" s="475"/>
      <c r="S211" s="475"/>
      <c r="T211" s="475"/>
      <c r="U211" s="475"/>
      <c r="V211" s="475"/>
      <c r="W211" s="475"/>
      <c r="X211" s="475"/>
      <c r="Y211" s="475"/>
      <c r="Z211" s="475"/>
      <c r="AA211" s="475"/>
      <c r="AB211" s="475"/>
      <c r="AC211" s="475"/>
      <c r="AD211" s="475"/>
      <c r="AE211" s="475"/>
      <c r="AF211" s="475"/>
    </row>
    <row r="212" spans="2:32">
      <c r="B212" s="471"/>
      <c r="C212" s="475"/>
      <c r="D212" s="475"/>
      <c r="E212" s="475"/>
      <c r="F212" s="474"/>
      <c r="G212" s="475"/>
      <c r="H212" s="474"/>
      <c r="I212" s="474"/>
      <c r="J212" s="475"/>
      <c r="K212" s="475"/>
      <c r="L212" s="475"/>
      <c r="M212" s="475"/>
      <c r="N212" s="475"/>
      <c r="O212" s="475"/>
      <c r="P212" s="475"/>
      <c r="Q212" s="475"/>
      <c r="R212" s="475"/>
      <c r="S212" s="475"/>
      <c r="T212" s="475"/>
      <c r="U212" s="475"/>
      <c r="V212" s="475"/>
      <c r="W212" s="475"/>
      <c r="X212" s="475"/>
      <c r="Y212" s="475"/>
      <c r="Z212" s="475"/>
      <c r="AA212" s="475"/>
      <c r="AB212" s="475"/>
      <c r="AC212" s="475"/>
      <c r="AD212" s="475"/>
      <c r="AE212" s="475"/>
      <c r="AF212" s="475"/>
    </row>
    <row r="213" spans="2:32">
      <c r="B213" s="471"/>
      <c r="C213" s="475"/>
      <c r="D213" s="475"/>
      <c r="E213" s="475"/>
      <c r="F213" s="474"/>
      <c r="G213" s="475"/>
      <c r="H213" s="474"/>
      <c r="I213" s="474"/>
      <c r="J213" s="475"/>
      <c r="K213" s="475"/>
      <c r="L213" s="475"/>
      <c r="M213" s="475"/>
      <c r="N213" s="475"/>
      <c r="O213" s="475"/>
      <c r="P213" s="475"/>
      <c r="Q213" s="475"/>
      <c r="R213" s="475"/>
      <c r="S213" s="475"/>
      <c r="T213" s="475"/>
      <c r="U213" s="475"/>
      <c r="V213" s="475"/>
      <c r="W213" s="475"/>
      <c r="X213" s="475"/>
      <c r="Y213" s="475"/>
      <c r="Z213" s="475"/>
      <c r="AA213" s="475"/>
      <c r="AB213" s="475"/>
      <c r="AC213" s="475"/>
      <c r="AD213" s="475"/>
      <c r="AE213" s="475"/>
      <c r="AF213" s="475"/>
    </row>
    <row r="214" spans="2:32">
      <c r="B214" s="471"/>
      <c r="C214" s="475"/>
      <c r="D214" s="475"/>
      <c r="E214" s="475"/>
      <c r="F214" s="474"/>
      <c r="G214" s="475"/>
      <c r="H214" s="474"/>
      <c r="I214" s="474"/>
      <c r="J214" s="475"/>
      <c r="K214" s="475"/>
      <c r="L214" s="475"/>
      <c r="M214" s="475"/>
      <c r="N214" s="475"/>
      <c r="O214" s="475"/>
      <c r="P214" s="475"/>
      <c r="Q214" s="475"/>
      <c r="R214" s="475"/>
      <c r="S214" s="475"/>
      <c r="T214" s="475"/>
      <c r="U214" s="475"/>
      <c r="V214" s="475"/>
      <c r="W214" s="475"/>
      <c r="X214" s="475"/>
      <c r="Y214" s="475"/>
      <c r="Z214" s="475"/>
      <c r="AA214" s="475"/>
      <c r="AB214" s="475"/>
      <c r="AC214" s="475"/>
      <c r="AD214" s="475"/>
      <c r="AE214" s="475"/>
      <c r="AF214" s="475"/>
    </row>
    <row r="215" spans="2:32">
      <c r="B215" s="471"/>
      <c r="C215" s="475"/>
      <c r="D215" s="475"/>
      <c r="E215" s="475"/>
      <c r="F215" s="474"/>
      <c r="G215" s="475"/>
      <c r="H215" s="474"/>
      <c r="I215" s="474"/>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c r="AF215" s="475"/>
    </row>
    <row r="216" spans="2:32">
      <c r="B216" s="471"/>
      <c r="C216" s="475"/>
      <c r="D216" s="475"/>
      <c r="E216" s="475"/>
      <c r="F216" s="474"/>
      <c r="G216" s="475"/>
      <c r="H216" s="474"/>
      <c r="I216" s="474"/>
      <c r="J216" s="475"/>
      <c r="K216" s="475"/>
      <c r="L216" s="475"/>
      <c r="M216" s="475"/>
      <c r="N216" s="475"/>
      <c r="O216" s="475"/>
      <c r="P216" s="475"/>
      <c r="Q216" s="475"/>
      <c r="R216" s="475"/>
      <c r="S216" s="475"/>
      <c r="T216" s="475"/>
      <c r="U216" s="475"/>
      <c r="V216" s="475"/>
      <c r="W216" s="475"/>
      <c r="X216" s="475"/>
      <c r="Y216" s="475"/>
      <c r="Z216" s="475"/>
      <c r="AA216" s="475"/>
      <c r="AB216" s="475"/>
      <c r="AC216" s="475"/>
      <c r="AD216" s="475"/>
      <c r="AE216" s="475"/>
      <c r="AF216" s="475"/>
    </row>
    <row r="217" spans="2:32">
      <c r="B217" s="471"/>
      <c r="C217" s="475"/>
      <c r="D217" s="475"/>
      <c r="E217" s="475"/>
      <c r="F217" s="474"/>
      <c r="G217" s="475"/>
      <c r="H217" s="474"/>
      <c r="I217" s="474"/>
      <c r="J217" s="475"/>
      <c r="K217" s="475"/>
      <c r="L217" s="475"/>
      <c r="M217" s="475"/>
      <c r="N217" s="475"/>
      <c r="O217" s="475"/>
      <c r="P217" s="475"/>
      <c r="Q217" s="475"/>
      <c r="R217" s="475"/>
      <c r="S217" s="475"/>
      <c r="T217" s="475"/>
      <c r="U217" s="475"/>
      <c r="V217" s="475"/>
      <c r="W217" s="475"/>
      <c r="X217" s="475"/>
      <c r="Y217" s="475"/>
      <c r="Z217" s="475"/>
      <c r="AA217" s="475"/>
      <c r="AB217" s="475"/>
      <c r="AC217" s="475"/>
      <c r="AD217" s="475"/>
      <c r="AE217" s="475"/>
      <c r="AF217" s="475"/>
    </row>
    <row r="218" spans="2:32">
      <c r="B218" s="471"/>
      <c r="C218" s="475"/>
      <c r="D218" s="475"/>
      <c r="E218" s="475"/>
      <c r="F218" s="474"/>
      <c r="G218" s="475"/>
      <c r="H218" s="474"/>
      <c r="I218" s="474"/>
      <c r="J218" s="475"/>
      <c r="K218" s="475"/>
      <c r="L218" s="475"/>
      <c r="M218" s="475"/>
      <c r="N218" s="475"/>
      <c r="O218" s="475"/>
      <c r="P218" s="475"/>
      <c r="Q218" s="475"/>
      <c r="R218" s="475"/>
      <c r="S218" s="475"/>
      <c r="T218" s="475"/>
      <c r="U218" s="475"/>
      <c r="V218" s="475"/>
      <c r="W218" s="475"/>
      <c r="X218" s="475"/>
      <c r="Y218" s="475"/>
      <c r="Z218" s="475"/>
      <c r="AA218" s="475"/>
      <c r="AB218" s="475"/>
      <c r="AC218" s="475"/>
      <c r="AD218" s="475"/>
      <c r="AE218" s="475"/>
      <c r="AF218" s="475"/>
    </row>
    <row r="219" spans="2:32">
      <c r="B219" s="471"/>
      <c r="C219" s="475"/>
      <c r="D219" s="475"/>
      <c r="E219" s="475"/>
      <c r="F219" s="474"/>
      <c r="G219" s="475"/>
      <c r="H219" s="474"/>
      <c r="I219" s="474"/>
      <c r="J219" s="475"/>
      <c r="K219" s="475"/>
      <c r="L219" s="475"/>
      <c r="M219" s="475"/>
      <c r="N219" s="475"/>
      <c r="O219" s="475"/>
      <c r="P219" s="475"/>
      <c r="Q219" s="475"/>
      <c r="R219" s="475"/>
      <c r="S219" s="475"/>
      <c r="T219" s="475"/>
      <c r="U219" s="475"/>
      <c r="V219" s="475"/>
      <c r="W219" s="475"/>
      <c r="X219" s="475"/>
      <c r="Y219" s="475"/>
      <c r="Z219" s="475"/>
      <c r="AA219" s="475"/>
      <c r="AB219" s="475"/>
      <c r="AC219" s="475"/>
      <c r="AD219" s="475"/>
      <c r="AE219" s="475"/>
      <c r="AF219" s="475"/>
    </row>
    <row r="220" spans="2:32">
      <c r="B220" s="471"/>
      <c r="C220" s="475"/>
      <c r="D220" s="475"/>
      <c r="E220" s="475"/>
      <c r="F220" s="474"/>
      <c r="G220" s="475"/>
      <c r="H220" s="474"/>
      <c r="I220" s="474"/>
      <c r="J220" s="475"/>
      <c r="K220" s="475"/>
      <c r="L220" s="475"/>
      <c r="M220" s="475"/>
      <c r="N220" s="475"/>
      <c r="O220" s="475"/>
      <c r="P220" s="475"/>
      <c r="Q220" s="475"/>
      <c r="R220" s="475"/>
      <c r="S220" s="475"/>
      <c r="T220" s="475"/>
      <c r="U220" s="475"/>
      <c r="V220" s="475"/>
      <c r="W220" s="475"/>
      <c r="X220" s="475"/>
      <c r="Y220" s="475"/>
      <c r="Z220" s="475"/>
      <c r="AA220" s="475"/>
      <c r="AB220" s="475"/>
      <c r="AC220" s="475"/>
      <c r="AD220" s="475"/>
      <c r="AE220" s="475"/>
      <c r="AF220" s="475"/>
    </row>
    <row r="221" spans="2:32">
      <c r="B221" s="471"/>
      <c r="C221" s="475"/>
      <c r="D221" s="475"/>
      <c r="E221" s="475"/>
      <c r="F221" s="474"/>
      <c r="G221" s="475"/>
      <c r="H221" s="474"/>
      <c r="I221" s="474"/>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row>
    <row r="222" spans="2:32">
      <c r="B222" s="471"/>
      <c r="C222" s="475"/>
      <c r="D222" s="475"/>
      <c r="E222" s="475"/>
      <c r="F222" s="474"/>
      <c r="G222" s="475"/>
      <c r="H222" s="474"/>
      <c r="I222" s="474"/>
      <c r="J222" s="475"/>
      <c r="K222" s="475"/>
      <c r="L222" s="475"/>
      <c r="M222" s="475"/>
      <c r="N222" s="475"/>
      <c r="O222" s="475"/>
      <c r="P222" s="475"/>
      <c r="Q222" s="475"/>
      <c r="R222" s="475"/>
      <c r="S222" s="475"/>
      <c r="T222" s="475"/>
      <c r="U222" s="475"/>
      <c r="V222" s="475"/>
      <c r="W222" s="475"/>
      <c r="X222" s="475"/>
      <c r="Y222" s="475"/>
      <c r="Z222" s="475"/>
      <c r="AA222" s="475"/>
      <c r="AB222" s="475"/>
      <c r="AC222" s="475"/>
      <c r="AD222" s="475"/>
      <c r="AE222" s="475"/>
      <c r="AF222" s="475"/>
    </row>
    <row r="223" spans="2:32">
      <c r="B223" s="471"/>
      <c r="C223" s="475"/>
      <c r="D223" s="475"/>
      <c r="E223" s="475"/>
      <c r="F223" s="474"/>
      <c r="G223" s="475"/>
      <c r="H223" s="474"/>
      <c r="I223" s="474"/>
      <c r="J223" s="475"/>
      <c r="K223" s="475"/>
      <c r="L223" s="475"/>
      <c r="M223" s="475"/>
      <c r="N223" s="475"/>
      <c r="O223" s="475"/>
      <c r="P223" s="475"/>
      <c r="Q223" s="475"/>
      <c r="R223" s="475"/>
      <c r="S223" s="475"/>
      <c r="T223" s="475"/>
      <c r="U223" s="475"/>
      <c r="V223" s="475"/>
      <c r="W223" s="475"/>
      <c r="X223" s="475"/>
      <c r="Y223" s="475"/>
      <c r="Z223" s="475"/>
      <c r="AA223" s="475"/>
      <c r="AB223" s="475"/>
      <c r="AC223" s="475"/>
      <c r="AD223" s="475"/>
      <c r="AE223" s="475"/>
      <c r="AF223" s="475"/>
    </row>
    <row r="224" spans="2:32">
      <c r="B224" s="471"/>
      <c r="C224" s="475"/>
      <c r="D224" s="475"/>
      <c r="E224" s="475"/>
      <c r="F224" s="474"/>
      <c r="G224" s="475"/>
      <c r="H224" s="474"/>
      <c r="I224" s="474"/>
      <c r="J224" s="475"/>
      <c r="K224" s="475"/>
      <c r="L224" s="475"/>
      <c r="M224" s="475"/>
      <c r="N224" s="475"/>
      <c r="O224" s="475"/>
      <c r="P224" s="475"/>
      <c r="Q224" s="475"/>
      <c r="R224" s="475"/>
      <c r="S224" s="475"/>
      <c r="T224" s="475"/>
      <c r="U224" s="475"/>
      <c r="V224" s="475"/>
      <c r="W224" s="475"/>
      <c r="X224" s="475"/>
      <c r="Y224" s="475"/>
      <c r="Z224" s="475"/>
      <c r="AA224" s="475"/>
      <c r="AB224" s="475"/>
      <c r="AC224" s="475"/>
      <c r="AD224" s="475"/>
      <c r="AE224" s="475"/>
      <c r="AF224" s="475"/>
    </row>
    <row r="225" spans="2:32">
      <c r="B225" s="471"/>
      <c r="C225" s="475"/>
      <c r="D225" s="475"/>
      <c r="E225" s="475"/>
      <c r="F225" s="474"/>
      <c r="G225" s="475"/>
      <c r="H225" s="474"/>
      <c r="I225" s="474"/>
      <c r="J225" s="475"/>
      <c r="K225" s="475"/>
      <c r="L225" s="475"/>
      <c r="M225" s="475"/>
      <c r="N225" s="475"/>
      <c r="O225" s="475"/>
      <c r="P225" s="475"/>
      <c r="Q225" s="475"/>
      <c r="R225" s="475"/>
      <c r="S225" s="475"/>
      <c r="T225" s="475"/>
      <c r="U225" s="475"/>
      <c r="V225" s="475"/>
      <c r="W225" s="475"/>
      <c r="X225" s="475"/>
      <c r="Y225" s="475"/>
      <c r="Z225" s="475"/>
      <c r="AA225" s="475"/>
      <c r="AB225" s="475"/>
      <c r="AC225" s="475"/>
      <c r="AD225" s="475"/>
      <c r="AE225" s="475"/>
      <c r="AF225" s="475"/>
    </row>
    <row r="226" spans="2:32">
      <c r="B226" s="471"/>
      <c r="C226" s="475"/>
      <c r="D226" s="475"/>
      <c r="E226" s="475"/>
      <c r="F226" s="474"/>
      <c r="G226" s="475"/>
      <c r="H226" s="474"/>
      <c r="I226" s="474"/>
      <c r="J226" s="475"/>
      <c r="K226" s="475"/>
      <c r="L226" s="475"/>
      <c r="M226" s="475"/>
      <c r="N226" s="475"/>
      <c r="O226" s="475"/>
      <c r="P226" s="475"/>
      <c r="Q226" s="475"/>
      <c r="R226" s="475"/>
      <c r="S226" s="475"/>
      <c r="T226" s="475"/>
      <c r="U226" s="475"/>
      <c r="V226" s="475"/>
      <c r="W226" s="475"/>
      <c r="X226" s="475"/>
      <c r="Y226" s="475"/>
      <c r="Z226" s="475"/>
      <c r="AA226" s="475"/>
      <c r="AB226" s="475"/>
      <c r="AC226" s="475"/>
      <c r="AD226" s="475"/>
      <c r="AE226" s="475"/>
      <c r="AF226" s="475"/>
    </row>
    <row r="227" spans="2:32">
      <c r="B227" s="471"/>
      <c r="C227" s="475"/>
      <c r="D227" s="475"/>
      <c r="E227" s="475"/>
      <c r="F227" s="474"/>
      <c r="G227" s="475"/>
      <c r="H227" s="474"/>
      <c r="I227" s="474"/>
      <c r="J227" s="475"/>
      <c r="K227" s="475"/>
      <c r="L227" s="475"/>
      <c r="M227" s="475"/>
      <c r="N227" s="475"/>
      <c r="O227" s="475"/>
      <c r="P227" s="475"/>
      <c r="Q227" s="475"/>
      <c r="R227" s="475"/>
      <c r="S227" s="475"/>
      <c r="T227" s="475"/>
      <c r="U227" s="475"/>
      <c r="V227" s="475"/>
      <c r="W227" s="475"/>
      <c r="X227" s="475"/>
      <c r="Y227" s="475"/>
      <c r="Z227" s="475"/>
      <c r="AA227" s="475"/>
      <c r="AB227" s="475"/>
      <c r="AC227" s="475"/>
      <c r="AD227" s="475"/>
      <c r="AE227" s="475"/>
      <c r="AF227" s="475"/>
    </row>
    <row r="228" spans="2:32">
      <c r="B228" s="471"/>
      <c r="C228" s="475"/>
      <c r="D228" s="475"/>
      <c r="E228" s="475"/>
      <c r="F228" s="474"/>
      <c r="G228" s="475"/>
      <c r="H228" s="474"/>
      <c r="I228" s="474"/>
      <c r="J228" s="475"/>
      <c r="K228" s="475"/>
      <c r="L228" s="475"/>
      <c r="M228" s="475"/>
      <c r="N228" s="475"/>
      <c r="O228" s="475"/>
      <c r="P228" s="475"/>
      <c r="Q228" s="475"/>
      <c r="R228" s="475"/>
      <c r="S228" s="475"/>
      <c r="T228" s="475"/>
      <c r="U228" s="475"/>
      <c r="V228" s="475"/>
      <c r="W228" s="475"/>
      <c r="X228" s="475"/>
      <c r="Y228" s="475"/>
      <c r="Z228" s="475"/>
      <c r="AA228" s="475"/>
      <c r="AB228" s="475"/>
      <c r="AC228" s="475"/>
      <c r="AD228" s="475"/>
      <c r="AE228" s="475"/>
      <c r="AF228" s="475"/>
    </row>
    <row r="229" spans="2:32">
      <c r="B229" s="471"/>
      <c r="C229" s="475"/>
      <c r="D229" s="475"/>
      <c r="E229" s="475"/>
      <c r="F229" s="474"/>
      <c r="G229" s="475"/>
      <c r="H229" s="474"/>
      <c r="I229" s="474"/>
      <c r="J229" s="475"/>
      <c r="K229" s="475"/>
      <c r="L229" s="475"/>
      <c r="M229" s="475"/>
      <c r="N229" s="475"/>
      <c r="O229" s="475"/>
      <c r="P229" s="475"/>
      <c r="Q229" s="475"/>
      <c r="R229" s="475"/>
      <c r="S229" s="475"/>
      <c r="T229" s="475"/>
      <c r="U229" s="475"/>
      <c r="V229" s="475"/>
      <c r="W229" s="475"/>
      <c r="X229" s="475"/>
      <c r="Y229" s="475"/>
      <c r="Z229" s="475"/>
      <c r="AA229" s="475"/>
      <c r="AB229" s="475"/>
      <c r="AC229" s="475"/>
      <c r="AD229" s="475"/>
      <c r="AE229" s="475"/>
      <c r="AF229" s="475"/>
    </row>
    <row r="230" spans="2:32">
      <c r="B230" s="471"/>
      <c r="C230" s="475"/>
      <c r="D230" s="475"/>
      <c r="E230" s="475"/>
      <c r="F230" s="474"/>
      <c r="G230" s="475"/>
      <c r="H230" s="474"/>
      <c r="I230" s="474"/>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row>
    <row r="231" spans="2:32">
      <c r="B231" s="471"/>
      <c r="C231" s="475"/>
      <c r="D231" s="475"/>
      <c r="E231" s="475"/>
      <c r="F231" s="474"/>
      <c r="G231" s="475"/>
      <c r="H231" s="474"/>
      <c r="I231" s="474"/>
      <c r="J231" s="475"/>
      <c r="K231" s="475"/>
      <c r="L231" s="475"/>
      <c r="M231" s="475"/>
      <c r="N231" s="475"/>
      <c r="O231" s="475"/>
      <c r="P231" s="475"/>
      <c r="Q231" s="475"/>
      <c r="R231" s="475"/>
      <c r="S231" s="475"/>
      <c r="T231" s="475"/>
      <c r="U231" s="475"/>
      <c r="V231" s="475"/>
      <c r="W231" s="475"/>
      <c r="X231" s="475"/>
      <c r="Y231" s="475"/>
      <c r="Z231" s="475"/>
      <c r="AA231" s="475"/>
      <c r="AB231" s="475"/>
      <c r="AC231" s="475"/>
      <c r="AD231" s="475"/>
      <c r="AE231" s="475"/>
      <c r="AF231" s="475"/>
    </row>
    <row r="232" spans="2:32">
      <c r="B232" s="471"/>
      <c r="C232" s="475"/>
      <c r="D232" s="475"/>
      <c r="E232" s="475"/>
      <c r="F232" s="474"/>
      <c r="G232" s="475"/>
      <c r="H232" s="474"/>
      <c r="I232" s="474"/>
      <c r="J232" s="475"/>
      <c r="K232" s="475"/>
      <c r="L232" s="475"/>
      <c r="M232" s="475"/>
      <c r="N232" s="475"/>
      <c r="O232" s="475"/>
      <c r="P232" s="475"/>
      <c r="Q232" s="475"/>
      <c r="R232" s="475"/>
      <c r="S232" s="475"/>
      <c r="T232" s="475"/>
      <c r="U232" s="475"/>
      <c r="V232" s="475"/>
      <c r="W232" s="475"/>
      <c r="X232" s="475"/>
      <c r="Y232" s="475"/>
      <c r="Z232" s="475"/>
      <c r="AA232" s="475"/>
      <c r="AB232" s="475"/>
      <c r="AC232" s="475"/>
      <c r="AD232" s="475"/>
      <c r="AE232" s="475"/>
      <c r="AF232" s="475"/>
    </row>
    <row r="233" spans="2:32">
      <c r="B233" s="471"/>
      <c r="C233" s="475"/>
      <c r="D233" s="475"/>
      <c r="E233" s="475"/>
      <c r="F233" s="474"/>
      <c r="G233" s="475"/>
      <c r="H233" s="474"/>
      <c r="I233" s="474"/>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row>
    <row r="234" spans="2:32">
      <c r="B234" s="471"/>
      <c r="C234" s="475"/>
      <c r="D234" s="475"/>
      <c r="E234" s="475"/>
      <c r="F234" s="474"/>
      <c r="G234" s="475"/>
      <c r="H234" s="474"/>
      <c r="I234" s="474"/>
      <c r="J234" s="475"/>
      <c r="K234" s="475"/>
      <c r="L234" s="475"/>
      <c r="M234" s="475"/>
      <c r="N234" s="475"/>
      <c r="O234" s="475"/>
      <c r="P234" s="475"/>
      <c r="Q234" s="475"/>
      <c r="R234" s="475"/>
      <c r="S234" s="475"/>
      <c r="T234" s="475"/>
      <c r="U234" s="475"/>
      <c r="V234" s="475"/>
      <c r="W234" s="475"/>
      <c r="X234" s="475"/>
      <c r="Y234" s="475"/>
      <c r="Z234" s="475"/>
      <c r="AA234" s="475"/>
      <c r="AB234" s="475"/>
      <c r="AC234" s="475"/>
      <c r="AD234" s="475"/>
      <c r="AE234" s="475"/>
      <c r="AF234" s="475"/>
    </row>
    <row r="235" spans="2:32">
      <c r="B235" s="471"/>
      <c r="C235" s="475"/>
      <c r="D235" s="475"/>
      <c r="E235" s="475"/>
      <c r="F235" s="474"/>
      <c r="G235" s="475"/>
      <c r="H235" s="474"/>
      <c r="I235" s="474"/>
      <c r="J235" s="475"/>
      <c r="K235" s="475"/>
      <c r="L235" s="475"/>
      <c r="M235" s="475"/>
      <c r="N235" s="475"/>
      <c r="O235" s="475"/>
      <c r="P235" s="475"/>
      <c r="Q235" s="475"/>
      <c r="R235" s="475"/>
      <c r="S235" s="475"/>
      <c r="T235" s="475"/>
      <c r="U235" s="475"/>
      <c r="V235" s="475"/>
      <c r="W235" s="475"/>
      <c r="X235" s="475"/>
      <c r="Y235" s="475"/>
      <c r="Z235" s="475"/>
      <c r="AA235" s="475"/>
      <c r="AB235" s="475"/>
      <c r="AC235" s="475"/>
      <c r="AD235" s="475"/>
      <c r="AE235" s="475"/>
      <c r="AF235" s="475"/>
    </row>
    <row r="236" spans="2:32">
      <c r="B236" s="471"/>
      <c r="C236" s="475"/>
      <c r="D236" s="475"/>
      <c r="E236" s="475"/>
      <c r="F236" s="474"/>
      <c r="G236" s="475"/>
      <c r="H236" s="474"/>
      <c r="I236" s="474"/>
      <c r="J236" s="475"/>
      <c r="K236" s="475"/>
      <c r="L236" s="475"/>
      <c r="M236" s="475"/>
      <c r="N236" s="475"/>
      <c r="O236" s="475"/>
      <c r="P236" s="475"/>
      <c r="Q236" s="475"/>
      <c r="R236" s="475"/>
      <c r="S236" s="475"/>
      <c r="T236" s="475"/>
      <c r="U236" s="475"/>
      <c r="V236" s="475"/>
      <c r="W236" s="475"/>
      <c r="X236" s="475"/>
      <c r="Y236" s="475"/>
      <c r="Z236" s="475"/>
      <c r="AA236" s="475"/>
      <c r="AB236" s="475"/>
      <c r="AC236" s="475"/>
      <c r="AD236" s="475"/>
      <c r="AE236" s="475"/>
      <c r="AF236" s="475"/>
    </row>
    <row r="237" spans="2:32">
      <c r="B237" s="471"/>
      <c r="C237" s="475"/>
      <c r="D237" s="475"/>
      <c r="E237" s="475"/>
      <c r="F237" s="474"/>
      <c r="G237" s="475"/>
      <c r="H237" s="474"/>
      <c r="I237" s="474"/>
      <c r="J237" s="475"/>
      <c r="K237" s="475"/>
      <c r="L237" s="475"/>
      <c r="M237" s="475"/>
      <c r="N237" s="475"/>
      <c r="O237" s="475"/>
      <c r="P237" s="475"/>
      <c r="Q237" s="475"/>
      <c r="R237" s="475"/>
      <c r="S237" s="475"/>
      <c r="T237" s="475"/>
      <c r="U237" s="475"/>
      <c r="V237" s="475"/>
      <c r="W237" s="475"/>
      <c r="X237" s="475"/>
      <c r="Y237" s="475"/>
      <c r="Z237" s="475"/>
      <c r="AA237" s="475"/>
      <c r="AB237" s="475"/>
      <c r="AC237" s="475"/>
      <c r="AD237" s="475"/>
      <c r="AE237" s="475"/>
      <c r="AF237" s="475"/>
    </row>
    <row r="238" spans="2:32">
      <c r="B238" s="471"/>
      <c r="C238" s="475"/>
      <c r="D238" s="475"/>
      <c r="E238" s="475"/>
      <c r="F238" s="474"/>
      <c r="G238" s="475"/>
      <c r="H238" s="474"/>
      <c r="I238" s="474"/>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5"/>
    </row>
    <row r="239" spans="2:32">
      <c r="B239" s="471"/>
      <c r="C239" s="475"/>
      <c r="D239" s="475"/>
      <c r="E239" s="475"/>
      <c r="F239" s="474"/>
      <c r="G239" s="475"/>
      <c r="H239" s="474"/>
      <c r="I239" s="474"/>
      <c r="J239" s="475"/>
      <c r="K239" s="475"/>
      <c r="L239" s="475"/>
      <c r="M239" s="475"/>
      <c r="N239" s="475"/>
      <c r="O239" s="475"/>
      <c r="P239" s="475"/>
      <c r="Q239" s="475"/>
      <c r="R239" s="475"/>
      <c r="S239" s="475"/>
      <c r="T239" s="475"/>
      <c r="U239" s="475"/>
      <c r="V239" s="475"/>
      <c r="W239" s="475"/>
      <c r="X239" s="475"/>
      <c r="Y239" s="475"/>
      <c r="Z239" s="475"/>
      <c r="AA239" s="475"/>
      <c r="AB239" s="475"/>
      <c r="AC239" s="475"/>
      <c r="AD239" s="475"/>
      <c r="AE239" s="475"/>
      <c r="AF239" s="475"/>
    </row>
    <row r="240" spans="2:32">
      <c r="B240" s="471"/>
      <c r="C240" s="475"/>
      <c r="D240" s="475"/>
      <c r="E240" s="475"/>
      <c r="F240" s="474"/>
      <c r="G240" s="475"/>
      <c r="H240" s="474"/>
      <c r="I240" s="474"/>
      <c r="J240" s="475"/>
      <c r="K240" s="475"/>
      <c r="L240" s="475"/>
      <c r="M240" s="475"/>
      <c r="N240" s="475"/>
      <c r="O240" s="475"/>
      <c r="P240" s="475"/>
      <c r="Q240" s="475"/>
      <c r="R240" s="475"/>
      <c r="S240" s="475"/>
      <c r="T240" s="475"/>
      <c r="U240" s="475"/>
      <c r="V240" s="475"/>
      <c r="W240" s="475"/>
      <c r="X240" s="475"/>
      <c r="Y240" s="475"/>
      <c r="Z240" s="475"/>
      <c r="AA240" s="475"/>
      <c r="AB240" s="475"/>
      <c r="AC240" s="475"/>
      <c r="AD240" s="475"/>
      <c r="AE240" s="475"/>
      <c r="AF240" s="475"/>
    </row>
    <row r="241" spans="2:32">
      <c r="B241" s="471"/>
      <c r="C241" s="475"/>
      <c r="D241" s="475"/>
      <c r="E241" s="475"/>
      <c r="F241" s="474"/>
      <c r="G241" s="475"/>
      <c r="H241" s="474"/>
      <c r="I241" s="474"/>
      <c r="J241" s="475"/>
      <c r="K241" s="475"/>
      <c r="L241" s="475"/>
      <c r="M241" s="475"/>
      <c r="N241" s="475"/>
      <c r="O241" s="475"/>
      <c r="P241" s="475"/>
      <c r="Q241" s="475"/>
      <c r="R241" s="475"/>
      <c r="S241" s="475"/>
      <c r="T241" s="475"/>
      <c r="U241" s="475"/>
      <c r="V241" s="475"/>
      <c r="W241" s="475"/>
      <c r="X241" s="475"/>
      <c r="Y241" s="475"/>
      <c r="Z241" s="475"/>
      <c r="AA241" s="475"/>
      <c r="AB241" s="475"/>
      <c r="AC241" s="475"/>
      <c r="AD241" s="475"/>
      <c r="AE241" s="475"/>
      <c r="AF241" s="475"/>
    </row>
    <row r="242" spans="2:32">
      <c r="B242" s="471"/>
      <c r="C242" s="475"/>
      <c r="D242" s="475"/>
      <c r="E242" s="475"/>
      <c r="F242" s="474"/>
      <c r="G242" s="475"/>
      <c r="H242" s="474"/>
      <c r="I242" s="474"/>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c r="AF242" s="475"/>
    </row>
    <row r="243" spans="2:32">
      <c r="B243" s="471"/>
      <c r="C243" s="475"/>
      <c r="D243" s="475"/>
      <c r="E243" s="475"/>
      <c r="F243" s="474"/>
      <c r="G243" s="475"/>
      <c r="H243" s="474"/>
      <c r="I243" s="474"/>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5"/>
    </row>
    <row r="244" spans="2:32">
      <c r="B244" s="471"/>
      <c r="C244" s="475"/>
      <c r="D244" s="475"/>
      <c r="E244" s="475"/>
      <c r="F244" s="474"/>
      <c r="G244" s="475"/>
      <c r="H244" s="474"/>
      <c r="I244" s="474"/>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475"/>
      <c r="AF244" s="475"/>
    </row>
    <row r="245" spans="2:32">
      <c r="B245" s="471"/>
      <c r="C245" s="475"/>
      <c r="D245" s="475"/>
      <c r="E245" s="475"/>
      <c r="F245" s="474"/>
      <c r="G245" s="475"/>
      <c r="H245" s="474"/>
      <c r="I245" s="474"/>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row>
    <row r="246" spans="2:32">
      <c r="B246" s="471"/>
      <c r="C246" s="475"/>
      <c r="D246" s="475"/>
      <c r="E246" s="475"/>
      <c r="F246" s="474"/>
      <c r="G246" s="475"/>
      <c r="H246" s="474"/>
      <c r="I246" s="474"/>
      <c r="J246" s="475"/>
      <c r="K246" s="475"/>
      <c r="L246" s="475"/>
      <c r="M246" s="475"/>
      <c r="N246" s="475"/>
      <c r="O246" s="475"/>
      <c r="P246" s="475"/>
      <c r="Q246" s="475"/>
      <c r="R246" s="475"/>
      <c r="S246" s="475"/>
      <c r="T246" s="475"/>
      <c r="U246" s="475"/>
      <c r="V246" s="475"/>
      <c r="W246" s="475"/>
      <c r="X246" s="475"/>
      <c r="Y246" s="475"/>
      <c r="Z246" s="475"/>
      <c r="AA246" s="475"/>
      <c r="AB246" s="475"/>
      <c r="AC246" s="475"/>
      <c r="AD246" s="475"/>
      <c r="AE246" s="475"/>
      <c r="AF246" s="475"/>
    </row>
    <row r="247" spans="2:32">
      <c r="B247" s="471"/>
      <c r="C247" s="475"/>
      <c r="D247" s="475"/>
      <c r="E247" s="475"/>
      <c r="F247" s="474"/>
      <c r="G247" s="475"/>
      <c r="H247" s="474"/>
      <c r="I247" s="474"/>
      <c r="J247" s="475"/>
      <c r="K247" s="475"/>
      <c r="L247" s="475"/>
      <c r="M247" s="475"/>
      <c r="N247" s="475"/>
      <c r="O247" s="475"/>
      <c r="P247" s="475"/>
      <c r="Q247" s="475"/>
      <c r="R247" s="475"/>
      <c r="S247" s="475"/>
      <c r="T247" s="475"/>
      <c r="U247" s="475"/>
      <c r="V247" s="475"/>
      <c r="W247" s="475"/>
      <c r="X247" s="475"/>
      <c r="Y247" s="475"/>
      <c r="Z247" s="475"/>
      <c r="AA247" s="475"/>
      <c r="AB247" s="475"/>
      <c r="AC247" s="475"/>
      <c r="AD247" s="475"/>
      <c r="AE247" s="475"/>
      <c r="AF247" s="475"/>
    </row>
    <row r="248" spans="2:32">
      <c r="B248" s="471"/>
      <c r="C248" s="475"/>
      <c r="D248" s="475"/>
      <c r="E248" s="475"/>
      <c r="F248" s="474"/>
      <c r="G248" s="475"/>
      <c r="H248" s="474"/>
      <c r="I248" s="474"/>
      <c r="J248" s="475"/>
      <c r="K248" s="475"/>
      <c r="L248" s="475"/>
      <c r="M248" s="475"/>
      <c r="N248" s="475"/>
      <c r="O248" s="475"/>
      <c r="P248" s="475"/>
      <c r="Q248" s="475"/>
      <c r="R248" s="475"/>
      <c r="S248" s="475"/>
      <c r="T248" s="475"/>
      <c r="U248" s="475"/>
      <c r="V248" s="475"/>
      <c r="W248" s="475"/>
      <c r="X248" s="475"/>
      <c r="Y248" s="475"/>
      <c r="Z248" s="475"/>
      <c r="AA248" s="475"/>
      <c r="AB248" s="475"/>
      <c r="AC248" s="475"/>
      <c r="AD248" s="475"/>
      <c r="AE248" s="475"/>
      <c r="AF248" s="475"/>
    </row>
    <row r="249" spans="2:32">
      <c r="B249" s="471"/>
      <c r="C249" s="475"/>
      <c r="D249" s="475"/>
      <c r="E249" s="475"/>
      <c r="F249" s="474"/>
      <c r="G249" s="475"/>
      <c r="H249" s="474"/>
      <c r="I249" s="474"/>
      <c r="J249" s="475"/>
      <c r="K249" s="475"/>
      <c r="L249" s="475"/>
      <c r="M249" s="475"/>
      <c r="N249" s="475"/>
      <c r="O249" s="475"/>
      <c r="P249" s="475"/>
      <c r="Q249" s="475"/>
      <c r="R249" s="475"/>
      <c r="S249" s="475"/>
      <c r="T249" s="475"/>
      <c r="U249" s="475"/>
      <c r="V249" s="475"/>
      <c r="W249" s="475"/>
      <c r="X249" s="475"/>
      <c r="Y249" s="475"/>
      <c r="Z249" s="475"/>
      <c r="AA249" s="475"/>
      <c r="AB249" s="475"/>
      <c r="AC249" s="475"/>
      <c r="AD249" s="475"/>
      <c r="AE249" s="475"/>
      <c r="AF249" s="475"/>
    </row>
    <row r="250" spans="2:32">
      <c r="B250" s="471"/>
      <c r="C250" s="475"/>
      <c r="D250" s="475"/>
      <c r="E250" s="475"/>
      <c r="F250" s="474"/>
      <c r="G250" s="475"/>
      <c r="H250" s="474"/>
      <c r="I250" s="474"/>
      <c r="J250" s="475"/>
      <c r="K250" s="475"/>
      <c r="L250" s="475"/>
      <c r="M250" s="475"/>
      <c r="N250" s="475"/>
      <c r="O250" s="475"/>
      <c r="P250" s="475"/>
      <c r="Q250" s="475"/>
      <c r="R250" s="475"/>
      <c r="S250" s="475"/>
      <c r="T250" s="475"/>
      <c r="U250" s="475"/>
      <c r="V250" s="475"/>
      <c r="W250" s="475"/>
      <c r="X250" s="475"/>
      <c r="Y250" s="475"/>
      <c r="Z250" s="475"/>
      <c r="AA250" s="475"/>
      <c r="AB250" s="475"/>
      <c r="AC250" s="475"/>
      <c r="AD250" s="475"/>
      <c r="AE250" s="475"/>
      <c r="AF250" s="475"/>
    </row>
    <row r="251" spans="2:32">
      <c r="B251" s="471"/>
      <c r="C251" s="475"/>
      <c r="D251" s="475"/>
      <c r="E251" s="475"/>
      <c r="F251" s="474"/>
      <c r="G251" s="475"/>
      <c r="H251" s="474"/>
      <c r="I251" s="474"/>
      <c r="J251" s="475"/>
      <c r="K251" s="475"/>
      <c r="L251" s="475"/>
      <c r="M251" s="475"/>
      <c r="N251" s="475"/>
      <c r="O251" s="475"/>
      <c r="P251" s="475"/>
      <c r="Q251" s="475"/>
      <c r="R251" s="475"/>
      <c r="S251" s="475"/>
      <c r="T251" s="475"/>
      <c r="U251" s="475"/>
      <c r="V251" s="475"/>
      <c r="W251" s="475"/>
      <c r="X251" s="475"/>
      <c r="Y251" s="475"/>
      <c r="Z251" s="475"/>
      <c r="AA251" s="475"/>
      <c r="AB251" s="475"/>
      <c r="AC251" s="475"/>
      <c r="AD251" s="475"/>
      <c r="AE251" s="475"/>
      <c r="AF251" s="475"/>
    </row>
    <row r="252" spans="2:32">
      <c r="B252" s="471"/>
      <c r="C252" s="475"/>
      <c r="D252" s="475"/>
      <c r="E252" s="475"/>
      <c r="F252" s="474"/>
      <c r="G252" s="475"/>
      <c r="H252" s="474"/>
      <c r="I252" s="474"/>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475"/>
      <c r="AF252" s="475"/>
    </row>
    <row r="253" spans="2:32">
      <c r="B253" s="471"/>
      <c r="C253" s="475"/>
      <c r="D253" s="475"/>
      <c r="E253" s="475"/>
      <c r="F253" s="474"/>
      <c r="G253" s="475"/>
      <c r="H253" s="474"/>
      <c r="I253" s="474"/>
      <c r="J253" s="475"/>
      <c r="K253" s="475"/>
      <c r="L253" s="475"/>
      <c r="M253" s="475"/>
      <c r="N253" s="475"/>
      <c r="O253" s="475"/>
      <c r="P253" s="475"/>
      <c r="Q253" s="475"/>
      <c r="R253" s="475"/>
      <c r="S253" s="475"/>
      <c r="T253" s="475"/>
      <c r="U253" s="475"/>
      <c r="V253" s="475"/>
      <c r="W253" s="475"/>
      <c r="X253" s="475"/>
      <c r="Y253" s="475"/>
      <c r="Z253" s="475"/>
      <c r="AA253" s="475"/>
      <c r="AB253" s="475"/>
      <c r="AC253" s="475"/>
      <c r="AD253" s="475"/>
      <c r="AE253" s="475"/>
      <c r="AF253" s="475"/>
    </row>
    <row r="254" spans="2:32">
      <c r="B254" s="471"/>
      <c r="C254" s="475"/>
      <c r="D254" s="475"/>
      <c r="E254" s="475"/>
      <c r="F254" s="474"/>
      <c r="G254" s="475"/>
      <c r="H254" s="474"/>
      <c r="I254" s="474"/>
      <c r="J254" s="475"/>
      <c r="K254" s="475"/>
      <c r="L254" s="475"/>
      <c r="M254" s="475"/>
      <c r="N254" s="475"/>
      <c r="O254" s="475"/>
      <c r="P254" s="475"/>
      <c r="Q254" s="475"/>
      <c r="R254" s="475"/>
      <c r="S254" s="475"/>
      <c r="T254" s="475"/>
      <c r="U254" s="475"/>
      <c r="V254" s="475"/>
      <c r="W254" s="475"/>
      <c r="X254" s="475"/>
      <c r="Y254" s="475"/>
      <c r="Z254" s="475"/>
      <c r="AA254" s="475"/>
      <c r="AB254" s="475"/>
      <c r="AC254" s="475"/>
      <c r="AD254" s="475"/>
      <c r="AE254" s="475"/>
      <c r="AF254" s="475"/>
    </row>
    <row r="255" spans="2:32">
      <c r="B255" s="471"/>
      <c r="C255" s="475"/>
      <c r="D255" s="475"/>
      <c r="E255" s="475"/>
      <c r="F255" s="474"/>
      <c r="G255" s="475"/>
      <c r="H255" s="474"/>
      <c r="I255" s="474"/>
      <c r="J255" s="475"/>
      <c r="K255" s="475"/>
      <c r="L255" s="475"/>
      <c r="M255" s="475"/>
      <c r="N255" s="475"/>
      <c r="O255" s="475"/>
      <c r="P255" s="475"/>
      <c r="Q255" s="475"/>
      <c r="R255" s="475"/>
      <c r="S255" s="475"/>
      <c r="T255" s="475"/>
      <c r="U255" s="475"/>
      <c r="V255" s="475"/>
      <c r="W255" s="475"/>
      <c r="X255" s="475"/>
      <c r="Y255" s="475"/>
      <c r="Z255" s="475"/>
      <c r="AA255" s="475"/>
      <c r="AB255" s="475"/>
      <c r="AC255" s="475"/>
      <c r="AD255" s="475"/>
      <c r="AE255" s="475"/>
      <c r="AF255" s="475"/>
    </row>
    <row r="256" spans="2:32">
      <c r="B256" s="471"/>
      <c r="C256" s="475"/>
      <c r="D256" s="475"/>
      <c r="E256" s="475"/>
      <c r="F256" s="474"/>
      <c r="G256" s="475"/>
      <c r="H256" s="474"/>
      <c r="I256" s="474"/>
      <c r="J256" s="475"/>
      <c r="K256" s="475"/>
      <c r="L256" s="475"/>
      <c r="M256" s="475"/>
      <c r="N256" s="475"/>
      <c r="O256" s="475"/>
      <c r="P256" s="475"/>
      <c r="Q256" s="475"/>
      <c r="R256" s="475"/>
      <c r="S256" s="475"/>
      <c r="T256" s="475"/>
      <c r="U256" s="475"/>
      <c r="V256" s="475"/>
      <c r="W256" s="475"/>
      <c r="X256" s="475"/>
      <c r="Y256" s="475"/>
      <c r="Z256" s="475"/>
      <c r="AA256" s="475"/>
      <c r="AB256" s="475"/>
      <c r="AC256" s="475"/>
      <c r="AD256" s="475"/>
      <c r="AE256" s="475"/>
      <c r="AF256" s="475"/>
    </row>
    <row r="257" spans="2:32">
      <c r="B257" s="471"/>
      <c r="C257" s="475"/>
      <c r="D257" s="475"/>
      <c r="E257" s="475"/>
      <c r="F257" s="474"/>
      <c r="G257" s="475"/>
      <c r="H257" s="474"/>
      <c r="I257" s="474"/>
      <c r="J257" s="475"/>
      <c r="K257" s="475"/>
      <c r="L257" s="475"/>
      <c r="M257" s="475"/>
      <c r="N257" s="475"/>
      <c r="O257" s="475"/>
      <c r="P257" s="475"/>
      <c r="Q257" s="475"/>
      <c r="R257" s="475"/>
      <c r="S257" s="475"/>
      <c r="T257" s="475"/>
      <c r="U257" s="475"/>
      <c r="V257" s="475"/>
      <c r="W257" s="475"/>
      <c r="X257" s="475"/>
      <c r="Y257" s="475"/>
      <c r="Z257" s="475"/>
      <c r="AA257" s="475"/>
      <c r="AB257" s="475"/>
      <c r="AC257" s="475"/>
      <c r="AD257" s="475"/>
      <c r="AE257" s="475"/>
      <c r="AF257" s="475"/>
    </row>
    <row r="258" spans="2:32">
      <c r="B258" s="471"/>
      <c r="C258" s="475"/>
      <c r="D258" s="475"/>
      <c r="E258" s="475"/>
      <c r="F258" s="474"/>
      <c r="G258" s="475"/>
      <c r="H258" s="474"/>
      <c r="I258" s="474"/>
      <c r="J258" s="475"/>
      <c r="K258" s="475"/>
      <c r="L258" s="475"/>
      <c r="M258" s="475"/>
      <c r="N258" s="475"/>
      <c r="O258" s="475"/>
      <c r="P258" s="475"/>
      <c r="Q258" s="475"/>
      <c r="R258" s="475"/>
      <c r="S258" s="475"/>
      <c r="T258" s="475"/>
      <c r="U258" s="475"/>
      <c r="V258" s="475"/>
      <c r="W258" s="475"/>
      <c r="X258" s="475"/>
      <c r="Y258" s="475"/>
      <c r="Z258" s="475"/>
      <c r="AA258" s="475"/>
      <c r="AB258" s="475"/>
      <c r="AC258" s="475"/>
      <c r="AD258" s="475"/>
      <c r="AE258" s="475"/>
      <c r="AF258" s="475"/>
    </row>
    <row r="259" spans="2:32">
      <c r="B259" s="471"/>
      <c r="C259" s="475"/>
      <c r="D259" s="475"/>
      <c r="E259" s="475"/>
      <c r="F259" s="474"/>
      <c r="G259" s="475"/>
      <c r="H259" s="474"/>
      <c r="I259" s="474"/>
      <c r="J259" s="475"/>
      <c r="K259" s="475"/>
      <c r="L259" s="475"/>
      <c r="M259" s="475"/>
      <c r="N259" s="475"/>
      <c r="O259" s="475"/>
      <c r="P259" s="475"/>
      <c r="Q259" s="475"/>
      <c r="R259" s="475"/>
      <c r="S259" s="475"/>
      <c r="T259" s="475"/>
      <c r="U259" s="475"/>
      <c r="V259" s="475"/>
      <c r="W259" s="475"/>
      <c r="X259" s="475"/>
      <c r="Y259" s="475"/>
      <c r="Z259" s="475"/>
      <c r="AA259" s="475"/>
      <c r="AB259" s="475"/>
      <c r="AC259" s="475"/>
      <c r="AD259" s="475"/>
      <c r="AE259" s="475"/>
      <c r="AF259" s="475"/>
    </row>
    <row r="260" spans="2:32">
      <c r="B260" s="471"/>
      <c r="C260" s="475"/>
      <c r="D260" s="475"/>
      <c r="E260" s="475"/>
      <c r="F260" s="474"/>
      <c r="G260" s="475"/>
      <c r="H260" s="474"/>
      <c r="I260" s="474"/>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475"/>
      <c r="AF260" s="475"/>
    </row>
    <row r="261" spans="2:32">
      <c r="B261" s="471"/>
      <c r="C261" s="475"/>
      <c r="D261" s="475"/>
      <c r="E261" s="475"/>
      <c r="F261" s="474"/>
      <c r="G261" s="475"/>
      <c r="H261" s="474"/>
      <c r="I261" s="474"/>
      <c r="J261" s="475"/>
      <c r="K261" s="475"/>
      <c r="L261" s="475"/>
      <c r="M261" s="475"/>
      <c r="N261" s="475"/>
      <c r="O261" s="475"/>
      <c r="P261" s="475"/>
      <c r="Q261" s="475"/>
      <c r="R261" s="475"/>
      <c r="S261" s="475"/>
      <c r="T261" s="475"/>
      <c r="U261" s="475"/>
      <c r="V261" s="475"/>
      <c r="W261" s="475"/>
      <c r="X261" s="475"/>
      <c r="Y261" s="475"/>
      <c r="Z261" s="475"/>
      <c r="AA261" s="475"/>
      <c r="AB261" s="475"/>
      <c r="AC261" s="475"/>
      <c r="AD261" s="475"/>
      <c r="AE261" s="475"/>
      <c r="AF261" s="475"/>
    </row>
    <row r="262" spans="2:32">
      <c r="B262" s="471"/>
      <c r="C262" s="475"/>
      <c r="D262" s="475"/>
      <c r="E262" s="475"/>
      <c r="F262" s="474"/>
      <c r="G262" s="475"/>
      <c r="H262" s="474"/>
      <c r="I262" s="474"/>
      <c r="J262" s="475"/>
      <c r="K262" s="475"/>
      <c r="L262" s="475"/>
      <c r="M262" s="475"/>
      <c r="N262" s="475"/>
      <c r="O262" s="475"/>
      <c r="P262" s="475"/>
      <c r="Q262" s="475"/>
      <c r="R262" s="475"/>
      <c r="S262" s="475"/>
      <c r="T262" s="475"/>
      <c r="U262" s="475"/>
      <c r="V262" s="475"/>
      <c r="W262" s="475"/>
      <c r="X262" s="475"/>
      <c r="Y262" s="475"/>
      <c r="Z262" s="475"/>
      <c r="AA262" s="475"/>
      <c r="AB262" s="475"/>
      <c r="AC262" s="475"/>
      <c r="AD262" s="475"/>
      <c r="AE262" s="475"/>
      <c r="AF262" s="475"/>
    </row>
    <row r="263" spans="2:32">
      <c r="B263" s="471"/>
      <c r="C263" s="475"/>
      <c r="D263" s="475"/>
      <c r="E263" s="475"/>
      <c r="F263" s="474"/>
      <c r="G263" s="475"/>
      <c r="H263" s="474"/>
      <c r="I263" s="474"/>
      <c r="J263" s="475"/>
      <c r="K263" s="475"/>
      <c r="L263" s="475"/>
      <c r="M263" s="475"/>
      <c r="N263" s="475"/>
      <c r="O263" s="475"/>
      <c r="P263" s="475"/>
      <c r="Q263" s="475"/>
      <c r="R263" s="475"/>
      <c r="S263" s="475"/>
      <c r="T263" s="475"/>
      <c r="U263" s="475"/>
      <c r="V263" s="475"/>
      <c r="W263" s="475"/>
      <c r="X263" s="475"/>
      <c r="Y263" s="475"/>
      <c r="Z263" s="475"/>
      <c r="AA263" s="475"/>
      <c r="AB263" s="475"/>
      <c r="AC263" s="475"/>
      <c r="AD263" s="475"/>
      <c r="AE263" s="475"/>
      <c r="AF263" s="475"/>
    </row>
    <row r="264" spans="2:32">
      <c r="B264" s="471"/>
      <c r="C264" s="475"/>
      <c r="D264" s="475"/>
      <c r="E264" s="475"/>
      <c r="F264" s="474"/>
      <c r="G264" s="475"/>
      <c r="H264" s="474"/>
      <c r="I264" s="474"/>
      <c r="J264" s="475"/>
      <c r="K264" s="475"/>
      <c r="L264" s="475"/>
      <c r="M264" s="475"/>
      <c r="N264" s="475"/>
      <c r="O264" s="475"/>
      <c r="P264" s="475"/>
      <c r="Q264" s="475"/>
      <c r="R264" s="475"/>
      <c r="S264" s="475"/>
      <c r="T264" s="475"/>
      <c r="U264" s="475"/>
      <c r="V264" s="475"/>
      <c r="W264" s="475"/>
      <c r="X264" s="475"/>
      <c r="Y264" s="475"/>
      <c r="Z264" s="475"/>
      <c r="AA264" s="475"/>
      <c r="AB264" s="475"/>
      <c r="AC264" s="475"/>
      <c r="AD264" s="475"/>
      <c r="AE264" s="475"/>
      <c r="AF264" s="475"/>
    </row>
    <row r="265" spans="2:32">
      <c r="B265" s="471"/>
      <c r="C265" s="475"/>
      <c r="D265" s="475"/>
      <c r="E265" s="475"/>
      <c r="F265" s="474"/>
      <c r="G265" s="475"/>
      <c r="H265" s="474"/>
      <c r="I265" s="474"/>
      <c r="J265" s="475"/>
      <c r="K265" s="475"/>
      <c r="L265" s="475"/>
      <c r="M265" s="475"/>
      <c r="N265" s="475"/>
      <c r="O265" s="475"/>
      <c r="P265" s="475"/>
      <c r="Q265" s="475"/>
      <c r="R265" s="475"/>
      <c r="S265" s="475"/>
      <c r="T265" s="475"/>
      <c r="U265" s="475"/>
      <c r="V265" s="475"/>
      <c r="W265" s="475"/>
      <c r="X265" s="475"/>
      <c r="Y265" s="475"/>
      <c r="Z265" s="475"/>
      <c r="AA265" s="475"/>
      <c r="AB265" s="475"/>
      <c r="AC265" s="475"/>
      <c r="AD265" s="475"/>
      <c r="AE265" s="475"/>
      <c r="AF265" s="475"/>
    </row>
    <row r="266" spans="2:32">
      <c r="B266" s="471"/>
      <c r="C266" s="475"/>
      <c r="D266" s="475"/>
      <c r="E266" s="475"/>
      <c r="F266" s="474"/>
      <c r="G266" s="475"/>
      <c r="H266" s="474"/>
      <c r="I266" s="474"/>
      <c r="J266" s="475"/>
      <c r="K266" s="475"/>
      <c r="L266" s="475"/>
      <c r="M266" s="475"/>
      <c r="N266" s="475"/>
      <c r="O266" s="475"/>
      <c r="P266" s="475"/>
      <c r="Q266" s="475"/>
      <c r="R266" s="475"/>
      <c r="S266" s="475"/>
      <c r="T266" s="475"/>
      <c r="U266" s="475"/>
      <c r="V266" s="475"/>
      <c r="W266" s="475"/>
      <c r="X266" s="475"/>
      <c r="Y266" s="475"/>
      <c r="Z266" s="475"/>
      <c r="AA266" s="475"/>
      <c r="AB266" s="475"/>
      <c r="AC266" s="475"/>
      <c r="AD266" s="475"/>
      <c r="AE266" s="475"/>
      <c r="AF266" s="475"/>
    </row>
    <row r="267" spans="2:32">
      <c r="B267" s="471"/>
      <c r="C267" s="475"/>
      <c r="D267" s="475"/>
      <c r="E267" s="475"/>
      <c r="F267" s="474"/>
      <c r="G267" s="475"/>
      <c r="H267" s="474"/>
      <c r="I267" s="474"/>
      <c r="J267" s="475"/>
      <c r="K267" s="475"/>
      <c r="L267" s="475"/>
      <c r="M267" s="475"/>
      <c r="N267" s="475"/>
      <c r="O267" s="475"/>
      <c r="P267" s="475"/>
      <c r="Q267" s="475"/>
      <c r="R267" s="475"/>
      <c r="S267" s="475"/>
      <c r="T267" s="475"/>
      <c r="U267" s="475"/>
      <c r="V267" s="475"/>
      <c r="W267" s="475"/>
      <c r="X267" s="475"/>
      <c r="Y267" s="475"/>
      <c r="Z267" s="475"/>
      <c r="AA267" s="475"/>
      <c r="AB267" s="475"/>
      <c r="AC267" s="475"/>
      <c r="AD267" s="475"/>
      <c r="AE267" s="475"/>
      <c r="AF267" s="475"/>
    </row>
    <row r="268" spans="2:32">
      <c r="B268" s="471"/>
      <c r="C268" s="475"/>
      <c r="D268" s="475"/>
      <c r="E268" s="475"/>
      <c r="F268" s="474"/>
      <c r="G268" s="475"/>
      <c r="H268" s="474"/>
      <c r="I268" s="474"/>
      <c r="J268" s="475"/>
      <c r="K268" s="475"/>
      <c r="L268" s="475"/>
      <c r="M268" s="475"/>
      <c r="N268" s="475"/>
      <c r="O268" s="475"/>
      <c r="P268" s="475"/>
      <c r="Q268" s="475"/>
      <c r="R268" s="475"/>
      <c r="S268" s="475"/>
      <c r="T268" s="475"/>
      <c r="U268" s="475"/>
      <c r="V268" s="475"/>
      <c r="W268" s="475"/>
      <c r="X268" s="475"/>
      <c r="Y268" s="475"/>
      <c r="Z268" s="475"/>
      <c r="AA268" s="475"/>
      <c r="AB268" s="475"/>
      <c r="AC268" s="475"/>
      <c r="AD268" s="475"/>
      <c r="AE268" s="475"/>
      <c r="AF268" s="475"/>
    </row>
    <row r="269" spans="2:32">
      <c r="B269" s="471"/>
      <c r="C269" s="475"/>
      <c r="D269" s="475"/>
      <c r="E269" s="475"/>
      <c r="F269" s="474"/>
      <c r="G269" s="475"/>
      <c r="H269" s="474"/>
      <c r="I269" s="474"/>
      <c r="J269" s="475"/>
      <c r="K269" s="475"/>
      <c r="L269" s="475"/>
      <c r="M269" s="475"/>
      <c r="N269" s="475"/>
      <c r="O269" s="475"/>
      <c r="P269" s="475"/>
      <c r="Q269" s="475"/>
      <c r="R269" s="475"/>
      <c r="S269" s="475"/>
      <c r="T269" s="475"/>
      <c r="U269" s="475"/>
      <c r="V269" s="475"/>
      <c r="W269" s="475"/>
      <c r="X269" s="475"/>
      <c r="Y269" s="475"/>
      <c r="Z269" s="475"/>
      <c r="AA269" s="475"/>
      <c r="AB269" s="475"/>
      <c r="AC269" s="475"/>
      <c r="AD269" s="475"/>
      <c r="AE269" s="475"/>
      <c r="AF269" s="475"/>
    </row>
    <row r="270" spans="2:32">
      <c r="B270" s="471"/>
      <c r="C270" s="475"/>
      <c r="D270" s="475"/>
      <c r="E270" s="475"/>
      <c r="F270" s="474"/>
      <c r="G270" s="475"/>
      <c r="H270" s="474"/>
      <c r="I270" s="474"/>
      <c r="J270" s="475"/>
      <c r="K270" s="475"/>
      <c r="L270" s="475"/>
      <c r="M270" s="475"/>
      <c r="N270" s="475"/>
      <c r="O270" s="475"/>
      <c r="P270" s="475"/>
      <c r="Q270" s="475"/>
      <c r="R270" s="475"/>
      <c r="S270" s="475"/>
      <c r="T270" s="475"/>
      <c r="U270" s="475"/>
      <c r="V270" s="475"/>
      <c r="W270" s="475"/>
      <c r="X270" s="475"/>
      <c r="Y270" s="475"/>
      <c r="Z270" s="475"/>
      <c r="AA270" s="475"/>
      <c r="AB270" s="475"/>
      <c r="AC270" s="475"/>
      <c r="AD270" s="475"/>
      <c r="AE270" s="475"/>
      <c r="AF270" s="475"/>
    </row>
    <row r="271" spans="2:32">
      <c r="B271" s="471"/>
      <c r="C271" s="475"/>
      <c r="D271" s="475"/>
      <c r="E271" s="475"/>
      <c r="F271" s="474"/>
      <c r="G271" s="475"/>
      <c r="H271" s="474"/>
      <c r="I271" s="474"/>
      <c r="J271" s="475"/>
      <c r="K271" s="475"/>
      <c r="L271" s="475"/>
      <c r="M271" s="475"/>
      <c r="N271" s="475"/>
      <c r="O271" s="475"/>
      <c r="P271" s="475"/>
      <c r="Q271" s="475"/>
      <c r="R271" s="475"/>
      <c r="S271" s="475"/>
      <c r="T271" s="475"/>
      <c r="U271" s="475"/>
      <c r="V271" s="475"/>
      <c r="W271" s="475"/>
      <c r="X271" s="475"/>
      <c r="Y271" s="475"/>
      <c r="Z271" s="475"/>
      <c r="AA271" s="475"/>
      <c r="AB271" s="475"/>
      <c r="AC271" s="475"/>
      <c r="AD271" s="475"/>
      <c r="AE271" s="475"/>
      <c r="AF271" s="475"/>
    </row>
    <row r="272" spans="2:32">
      <c r="B272" s="471"/>
      <c r="C272" s="475"/>
      <c r="D272" s="475"/>
      <c r="E272" s="475"/>
      <c r="F272" s="474"/>
      <c r="G272" s="475"/>
      <c r="H272" s="474"/>
      <c r="I272" s="474"/>
      <c r="J272" s="475"/>
      <c r="K272" s="475"/>
      <c r="L272" s="475"/>
      <c r="M272" s="475"/>
      <c r="N272" s="475"/>
      <c r="O272" s="475"/>
      <c r="P272" s="475"/>
      <c r="Q272" s="475"/>
      <c r="R272" s="475"/>
      <c r="S272" s="475"/>
      <c r="T272" s="475"/>
      <c r="U272" s="475"/>
      <c r="V272" s="475"/>
      <c r="W272" s="475"/>
      <c r="X272" s="475"/>
      <c r="Y272" s="475"/>
      <c r="Z272" s="475"/>
      <c r="AA272" s="475"/>
      <c r="AB272" s="475"/>
      <c r="AC272" s="475"/>
      <c r="AD272" s="475"/>
      <c r="AE272" s="475"/>
      <c r="AF272" s="475"/>
    </row>
    <row r="273" spans="2:32">
      <c r="B273" s="471"/>
      <c r="C273" s="475"/>
      <c r="D273" s="475"/>
      <c r="E273" s="475"/>
      <c r="F273" s="474"/>
      <c r="G273" s="475"/>
      <c r="H273" s="474"/>
      <c r="I273" s="474"/>
      <c r="J273" s="475"/>
      <c r="K273" s="475"/>
      <c r="L273" s="475"/>
      <c r="M273" s="475"/>
      <c r="N273" s="475"/>
      <c r="O273" s="475"/>
      <c r="P273" s="475"/>
      <c r="Q273" s="475"/>
      <c r="R273" s="475"/>
      <c r="S273" s="475"/>
      <c r="T273" s="475"/>
      <c r="U273" s="475"/>
      <c r="V273" s="475"/>
      <c r="W273" s="475"/>
      <c r="X273" s="475"/>
      <c r="Y273" s="475"/>
      <c r="Z273" s="475"/>
      <c r="AA273" s="475"/>
      <c r="AB273" s="475"/>
      <c r="AC273" s="475"/>
      <c r="AD273" s="475"/>
      <c r="AE273" s="475"/>
      <c r="AF273" s="475"/>
    </row>
    <row r="274" spans="2:32">
      <c r="B274" s="471"/>
      <c r="C274" s="475"/>
      <c r="D274" s="475"/>
      <c r="E274" s="475"/>
      <c r="F274" s="474"/>
      <c r="G274" s="475"/>
      <c r="H274" s="474"/>
      <c r="I274" s="474"/>
      <c r="J274" s="475"/>
      <c r="K274" s="475"/>
      <c r="L274" s="475"/>
      <c r="M274" s="475"/>
      <c r="N274" s="475"/>
      <c r="O274" s="475"/>
      <c r="P274" s="475"/>
      <c r="Q274" s="475"/>
      <c r="R274" s="475"/>
      <c r="S274" s="475"/>
      <c r="T274" s="475"/>
      <c r="U274" s="475"/>
      <c r="V274" s="475"/>
      <c r="W274" s="475"/>
      <c r="X274" s="475"/>
      <c r="Y274" s="475"/>
      <c r="Z274" s="475"/>
      <c r="AA274" s="475"/>
      <c r="AB274" s="475"/>
      <c r="AC274" s="475"/>
      <c r="AD274" s="475"/>
      <c r="AE274" s="475"/>
      <c r="AF274" s="475"/>
    </row>
    <row r="275" spans="2:32">
      <c r="B275" s="471"/>
      <c r="C275" s="475"/>
      <c r="D275" s="475"/>
      <c r="E275" s="475"/>
      <c r="F275" s="474"/>
      <c r="G275" s="475"/>
      <c r="H275" s="474"/>
      <c r="I275" s="474"/>
      <c r="J275" s="475"/>
      <c r="K275" s="475"/>
      <c r="L275" s="475"/>
      <c r="M275" s="475"/>
      <c r="N275" s="475"/>
      <c r="O275" s="475"/>
      <c r="P275" s="475"/>
      <c r="Q275" s="475"/>
      <c r="R275" s="475"/>
      <c r="S275" s="475"/>
      <c r="T275" s="475"/>
      <c r="U275" s="475"/>
      <c r="V275" s="475"/>
      <c r="W275" s="475"/>
      <c r="X275" s="475"/>
      <c r="Y275" s="475"/>
      <c r="Z275" s="475"/>
      <c r="AA275" s="475"/>
      <c r="AB275" s="475"/>
      <c r="AC275" s="475"/>
      <c r="AD275" s="475"/>
      <c r="AE275" s="475"/>
      <c r="AF275" s="475"/>
    </row>
    <row r="276" spans="2:32">
      <c r="B276" s="471"/>
      <c r="C276" s="475"/>
      <c r="D276" s="475"/>
      <c r="E276" s="475"/>
      <c r="F276" s="474"/>
      <c r="G276" s="475"/>
      <c r="H276" s="474"/>
      <c r="I276" s="474"/>
      <c r="J276" s="475"/>
      <c r="K276" s="475"/>
      <c r="L276" s="475"/>
      <c r="M276" s="475"/>
      <c r="N276" s="475"/>
      <c r="O276" s="475"/>
      <c r="P276" s="475"/>
      <c r="Q276" s="475"/>
      <c r="R276" s="475"/>
      <c r="S276" s="475"/>
      <c r="T276" s="475"/>
      <c r="U276" s="475"/>
      <c r="V276" s="475"/>
      <c r="W276" s="475"/>
      <c r="X276" s="475"/>
      <c r="Y276" s="475"/>
      <c r="Z276" s="475"/>
      <c r="AA276" s="475"/>
      <c r="AB276" s="475"/>
      <c r="AC276" s="475"/>
      <c r="AD276" s="475"/>
      <c r="AE276" s="475"/>
      <c r="AF276" s="475"/>
    </row>
    <row r="277" spans="2:32">
      <c r="B277" s="471"/>
      <c r="C277" s="475"/>
      <c r="D277" s="475"/>
      <c r="E277" s="475"/>
      <c r="F277" s="474"/>
      <c r="G277" s="475"/>
      <c r="H277" s="474"/>
      <c r="I277" s="474"/>
      <c r="J277" s="475"/>
      <c r="K277" s="475"/>
      <c r="L277" s="475"/>
      <c r="M277" s="475"/>
      <c r="N277" s="475"/>
      <c r="O277" s="475"/>
      <c r="P277" s="475"/>
      <c r="Q277" s="475"/>
      <c r="R277" s="475"/>
      <c r="S277" s="475"/>
      <c r="T277" s="475"/>
      <c r="U277" s="475"/>
      <c r="V277" s="475"/>
      <c r="W277" s="475"/>
      <c r="X277" s="475"/>
      <c r="Y277" s="475"/>
      <c r="Z277" s="475"/>
      <c r="AA277" s="475"/>
      <c r="AB277" s="475"/>
      <c r="AC277" s="475"/>
      <c r="AD277" s="475"/>
      <c r="AE277" s="475"/>
      <c r="AF277" s="475"/>
    </row>
    <row r="278" spans="2:32">
      <c r="B278" s="471"/>
      <c r="C278" s="475"/>
      <c r="D278" s="475"/>
      <c r="E278" s="475"/>
      <c r="F278" s="474"/>
      <c r="G278" s="475"/>
      <c r="H278" s="474"/>
      <c r="I278" s="474"/>
      <c r="J278" s="475"/>
      <c r="K278" s="475"/>
      <c r="L278" s="475"/>
      <c r="M278" s="475"/>
      <c r="N278" s="475"/>
      <c r="O278" s="475"/>
      <c r="P278" s="475"/>
      <c r="Q278" s="475"/>
      <c r="R278" s="475"/>
      <c r="S278" s="475"/>
      <c r="T278" s="475"/>
      <c r="U278" s="475"/>
      <c r="V278" s="475"/>
      <c r="W278" s="475"/>
      <c r="X278" s="475"/>
      <c r="Y278" s="475"/>
      <c r="Z278" s="475"/>
      <c r="AA278" s="475"/>
      <c r="AB278" s="475"/>
      <c r="AC278" s="475"/>
      <c r="AD278" s="475"/>
      <c r="AE278" s="475"/>
      <c r="AF278" s="475"/>
    </row>
    <row r="279" spans="2:32">
      <c r="B279" s="471"/>
      <c r="C279" s="475"/>
      <c r="D279" s="475"/>
      <c r="E279" s="475"/>
      <c r="F279" s="474"/>
      <c r="G279" s="475"/>
      <c r="H279" s="474"/>
      <c r="I279" s="474"/>
      <c r="J279" s="475"/>
      <c r="K279" s="475"/>
      <c r="L279" s="475"/>
      <c r="M279" s="475"/>
      <c r="N279" s="475"/>
      <c r="O279" s="475"/>
      <c r="P279" s="475"/>
      <c r="Q279" s="475"/>
      <c r="R279" s="475"/>
      <c r="S279" s="475"/>
      <c r="T279" s="475"/>
      <c r="U279" s="475"/>
      <c r="V279" s="475"/>
      <c r="W279" s="475"/>
      <c r="X279" s="475"/>
      <c r="Y279" s="475"/>
      <c r="Z279" s="475"/>
      <c r="AA279" s="475"/>
      <c r="AB279" s="475"/>
      <c r="AC279" s="475"/>
      <c r="AD279" s="475"/>
      <c r="AE279" s="475"/>
      <c r="AF279" s="475"/>
    </row>
    <row r="280" spans="2:32">
      <c r="B280" s="471"/>
      <c r="C280" s="475"/>
      <c r="D280" s="475"/>
      <c r="E280" s="475"/>
      <c r="F280" s="474"/>
      <c r="G280" s="475"/>
      <c r="H280" s="474"/>
      <c r="I280" s="474"/>
      <c r="J280" s="475"/>
      <c r="K280" s="475"/>
      <c r="L280" s="475"/>
      <c r="M280" s="475"/>
      <c r="N280" s="475"/>
      <c r="O280" s="475"/>
      <c r="P280" s="475"/>
      <c r="Q280" s="475"/>
      <c r="R280" s="475"/>
      <c r="S280" s="475"/>
      <c r="T280" s="475"/>
      <c r="U280" s="475"/>
      <c r="V280" s="475"/>
      <c r="W280" s="475"/>
      <c r="X280" s="475"/>
      <c r="Y280" s="475"/>
      <c r="Z280" s="475"/>
      <c r="AA280" s="475"/>
      <c r="AB280" s="475"/>
      <c r="AC280" s="475"/>
      <c r="AD280" s="475"/>
      <c r="AE280" s="475"/>
      <c r="AF280" s="475"/>
    </row>
    <row r="281" spans="2:32">
      <c r="B281" s="471"/>
      <c r="C281" s="475"/>
      <c r="D281" s="475"/>
      <c r="E281" s="475"/>
      <c r="F281" s="474"/>
      <c r="G281" s="475"/>
      <c r="H281" s="474"/>
      <c r="I281" s="474"/>
      <c r="J281" s="475"/>
      <c r="K281" s="475"/>
      <c r="L281" s="475"/>
      <c r="M281" s="475"/>
      <c r="N281" s="475"/>
      <c r="O281" s="475"/>
      <c r="P281" s="475"/>
      <c r="Q281" s="475"/>
      <c r="R281" s="475"/>
      <c r="S281" s="475"/>
      <c r="T281" s="475"/>
      <c r="U281" s="475"/>
      <c r="V281" s="475"/>
      <c r="W281" s="475"/>
      <c r="X281" s="475"/>
      <c r="Y281" s="475"/>
      <c r="Z281" s="475"/>
      <c r="AA281" s="475"/>
      <c r="AB281" s="475"/>
      <c r="AC281" s="475"/>
      <c r="AD281" s="475"/>
      <c r="AE281" s="475"/>
      <c r="AF281" s="475"/>
    </row>
    <row r="282" spans="2:32">
      <c r="B282" s="471"/>
      <c r="C282" s="475"/>
      <c r="D282" s="475"/>
      <c r="E282" s="475"/>
      <c r="F282" s="474"/>
      <c r="G282" s="475"/>
      <c r="H282" s="474"/>
      <c r="I282" s="474"/>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475"/>
      <c r="AF282" s="475"/>
    </row>
    <row r="283" spans="2:32">
      <c r="B283" s="471"/>
      <c r="C283" s="475"/>
      <c r="D283" s="475"/>
      <c r="E283" s="475"/>
      <c r="F283" s="474"/>
      <c r="G283" s="475"/>
      <c r="H283" s="474"/>
      <c r="I283" s="474"/>
      <c r="J283" s="475"/>
      <c r="K283" s="475"/>
      <c r="L283" s="475"/>
      <c r="M283" s="475"/>
      <c r="N283" s="475"/>
      <c r="O283" s="475"/>
      <c r="P283" s="475"/>
      <c r="Q283" s="475"/>
      <c r="R283" s="475"/>
      <c r="S283" s="475"/>
      <c r="T283" s="475"/>
      <c r="U283" s="475"/>
      <c r="V283" s="475"/>
      <c r="W283" s="475"/>
      <c r="X283" s="475"/>
      <c r="Y283" s="475"/>
      <c r="Z283" s="475"/>
      <c r="AA283" s="475"/>
      <c r="AB283" s="475"/>
      <c r="AC283" s="475"/>
      <c r="AD283" s="475"/>
      <c r="AE283" s="475"/>
      <c r="AF283" s="475"/>
    </row>
    <row r="284" spans="2:32">
      <c r="B284" s="471"/>
      <c r="C284" s="475"/>
      <c r="D284" s="475"/>
      <c r="E284" s="475"/>
      <c r="F284" s="474"/>
      <c r="G284" s="475"/>
      <c r="H284" s="474"/>
      <c r="I284" s="474"/>
      <c r="J284" s="475"/>
      <c r="K284" s="475"/>
      <c r="L284" s="475"/>
      <c r="M284" s="475"/>
      <c r="N284" s="475"/>
      <c r="O284" s="475"/>
      <c r="P284" s="475"/>
      <c r="Q284" s="475"/>
      <c r="R284" s="475"/>
      <c r="S284" s="475"/>
      <c r="T284" s="475"/>
      <c r="U284" s="475"/>
      <c r="V284" s="475"/>
      <c r="W284" s="475"/>
      <c r="X284" s="475"/>
      <c r="Y284" s="475"/>
      <c r="Z284" s="475"/>
      <c r="AA284" s="475"/>
      <c r="AB284" s="475"/>
      <c r="AC284" s="475"/>
      <c r="AD284" s="475"/>
      <c r="AE284" s="475"/>
      <c r="AF284" s="475"/>
    </row>
    <row r="285" spans="2:32">
      <c r="B285" s="471"/>
      <c r="C285" s="475"/>
      <c r="D285" s="475"/>
      <c r="E285" s="475"/>
      <c r="F285" s="474"/>
      <c r="G285" s="475"/>
      <c r="H285" s="474"/>
      <c r="I285" s="474"/>
      <c r="J285" s="475"/>
      <c r="K285" s="475"/>
      <c r="L285" s="475"/>
      <c r="M285" s="475"/>
      <c r="N285" s="475"/>
      <c r="O285" s="475"/>
      <c r="P285" s="475"/>
      <c r="Q285" s="475"/>
      <c r="R285" s="475"/>
      <c r="S285" s="475"/>
      <c r="T285" s="475"/>
      <c r="U285" s="475"/>
      <c r="V285" s="475"/>
      <c r="W285" s="475"/>
      <c r="X285" s="475"/>
      <c r="Y285" s="475"/>
      <c r="Z285" s="475"/>
      <c r="AA285" s="475"/>
      <c r="AB285" s="475"/>
      <c r="AC285" s="475"/>
      <c r="AD285" s="475"/>
      <c r="AE285" s="475"/>
      <c r="AF285" s="475"/>
    </row>
    <row r="286" spans="2:32">
      <c r="B286" s="471"/>
      <c r="C286" s="475"/>
      <c r="D286" s="475"/>
      <c r="E286" s="475"/>
      <c r="F286" s="474"/>
      <c r="G286" s="475"/>
      <c r="H286" s="474"/>
      <c r="I286" s="474"/>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75"/>
    </row>
    <row r="287" spans="2:32">
      <c r="B287" s="471"/>
      <c r="C287" s="475"/>
      <c r="D287" s="475"/>
      <c r="E287" s="475"/>
      <c r="F287" s="474"/>
      <c r="G287" s="475"/>
      <c r="H287" s="474"/>
      <c r="I287" s="474"/>
      <c r="J287" s="475"/>
      <c r="K287" s="475"/>
      <c r="L287" s="475"/>
      <c r="M287" s="475"/>
      <c r="N287" s="475"/>
      <c r="O287" s="475"/>
      <c r="P287" s="475"/>
      <c r="Q287" s="475"/>
      <c r="R287" s="475"/>
      <c r="S287" s="475"/>
      <c r="T287" s="475"/>
      <c r="U287" s="475"/>
      <c r="V287" s="475"/>
      <c r="W287" s="475"/>
      <c r="X287" s="475"/>
      <c r="Y287" s="475"/>
      <c r="Z287" s="475"/>
      <c r="AA287" s="475"/>
      <c r="AB287" s="475"/>
      <c r="AC287" s="475"/>
      <c r="AD287" s="475"/>
      <c r="AE287" s="475"/>
      <c r="AF287" s="475"/>
    </row>
    <row r="288" spans="2:32">
      <c r="B288" s="471"/>
      <c r="C288" s="475"/>
      <c r="D288" s="475"/>
      <c r="E288" s="475"/>
      <c r="F288" s="474"/>
      <c r="G288" s="475"/>
      <c r="H288" s="474"/>
      <c r="I288" s="474"/>
      <c r="J288" s="475"/>
      <c r="K288" s="475"/>
      <c r="L288" s="475"/>
      <c r="M288" s="475"/>
      <c r="N288" s="475"/>
      <c r="O288" s="475"/>
      <c r="P288" s="475"/>
      <c r="Q288" s="475"/>
      <c r="R288" s="475"/>
      <c r="S288" s="475"/>
      <c r="T288" s="475"/>
      <c r="U288" s="475"/>
      <c r="V288" s="475"/>
      <c r="W288" s="475"/>
      <c r="X288" s="475"/>
      <c r="Y288" s="475"/>
      <c r="Z288" s="475"/>
      <c r="AA288" s="475"/>
      <c r="AB288" s="475"/>
      <c r="AC288" s="475"/>
      <c r="AD288" s="475"/>
      <c r="AE288" s="475"/>
      <c r="AF288" s="475"/>
    </row>
    <row r="289" spans="2:32">
      <c r="B289" s="471"/>
      <c r="C289" s="475"/>
      <c r="D289" s="475"/>
      <c r="E289" s="475"/>
      <c r="F289" s="474"/>
      <c r="G289" s="475"/>
      <c r="H289" s="474"/>
      <c r="I289" s="474"/>
      <c r="J289" s="475"/>
      <c r="K289" s="475"/>
      <c r="L289" s="475"/>
      <c r="M289" s="475"/>
      <c r="N289" s="475"/>
      <c r="O289" s="475"/>
      <c r="P289" s="475"/>
      <c r="Q289" s="475"/>
      <c r="R289" s="475"/>
      <c r="S289" s="475"/>
      <c r="T289" s="475"/>
      <c r="U289" s="475"/>
      <c r="V289" s="475"/>
      <c r="W289" s="475"/>
      <c r="X289" s="475"/>
      <c r="Y289" s="475"/>
      <c r="Z289" s="475"/>
      <c r="AA289" s="475"/>
      <c r="AB289" s="475"/>
      <c r="AC289" s="475"/>
      <c r="AD289" s="475"/>
      <c r="AE289" s="475"/>
      <c r="AF289" s="475"/>
    </row>
    <row r="290" spans="2:32">
      <c r="B290" s="471"/>
      <c r="C290" s="475"/>
      <c r="D290" s="475"/>
      <c r="E290" s="475"/>
      <c r="F290" s="474"/>
      <c r="G290" s="475"/>
      <c r="H290" s="474"/>
      <c r="I290" s="474"/>
      <c r="J290" s="475"/>
      <c r="K290" s="475"/>
      <c r="L290" s="475"/>
      <c r="M290" s="475"/>
      <c r="N290" s="475"/>
      <c r="O290" s="475"/>
      <c r="P290" s="475"/>
      <c r="Q290" s="475"/>
      <c r="R290" s="475"/>
      <c r="S290" s="475"/>
      <c r="T290" s="475"/>
      <c r="U290" s="475"/>
      <c r="V290" s="475"/>
      <c r="W290" s="475"/>
      <c r="X290" s="475"/>
      <c r="Y290" s="475"/>
      <c r="Z290" s="475"/>
      <c r="AA290" s="475"/>
      <c r="AB290" s="475"/>
      <c r="AC290" s="475"/>
      <c r="AD290" s="475"/>
      <c r="AE290" s="475"/>
      <c r="AF290" s="475"/>
    </row>
    <row r="291" spans="2:32">
      <c r="B291" s="471"/>
      <c r="C291" s="475"/>
      <c r="D291" s="475"/>
      <c r="E291" s="475"/>
      <c r="F291" s="474"/>
      <c r="G291" s="475"/>
      <c r="H291" s="474"/>
      <c r="I291" s="474"/>
      <c r="J291" s="475"/>
      <c r="K291" s="475"/>
      <c r="L291" s="475"/>
      <c r="M291" s="475"/>
      <c r="N291" s="475"/>
      <c r="O291" s="475"/>
      <c r="P291" s="475"/>
      <c r="Q291" s="475"/>
      <c r="R291" s="475"/>
      <c r="S291" s="475"/>
      <c r="T291" s="475"/>
      <c r="U291" s="475"/>
      <c r="V291" s="475"/>
      <c r="W291" s="475"/>
      <c r="X291" s="475"/>
      <c r="Y291" s="475"/>
      <c r="Z291" s="475"/>
      <c r="AA291" s="475"/>
      <c r="AB291" s="475"/>
      <c r="AC291" s="475"/>
      <c r="AD291" s="475"/>
      <c r="AE291" s="475"/>
      <c r="AF291" s="475"/>
    </row>
    <row r="292" spans="2:32">
      <c r="B292" s="471"/>
      <c r="C292" s="475"/>
      <c r="D292" s="475"/>
      <c r="E292" s="475"/>
      <c r="F292" s="474"/>
      <c r="G292" s="475"/>
      <c r="H292" s="474"/>
      <c r="I292" s="474"/>
      <c r="J292" s="475"/>
      <c r="K292" s="475"/>
      <c r="L292" s="475"/>
      <c r="M292" s="475"/>
      <c r="N292" s="475"/>
      <c r="O292" s="475"/>
      <c r="P292" s="475"/>
      <c r="Q292" s="475"/>
      <c r="R292" s="475"/>
      <c r="S292" s="475"/>
      <c r="T292" s="475"/>
      <c r="U292" s="475"/>
      <c r="V292" s="475"/>
      <c r="W292" s="475"/>
      <c r="X292" s="475"/>
      <c r="Y292" s="475"/>
      <c r="Z292" s="475"/>
      <c r="AA292" s="475"/>
      <c r="AB292" s="475"/>
      <c r="AC292" s="475"/>
      <c r="AD292" s="475"/>
      <c r="AE292" s="475"/>
      <c r="AF292" s="475"/>
    </row>
    <row r="293" spans="2:32">
      <c r="B293" s="471"/>
      <c r="C293" s="475"/>
      <c r="D293" s="475"/>
      <c r="E293" s="475"/>
      <c r="F293" s="474"/>
      <c r="G293" s="475"/>
      <c r="H293" s="474"/>
      <c r="I293" s="474"/>
      <c r="J293" s="475"/>
      <c r="K293" s="475"/>
      <c r="L293" s="475"/>
      <c r="M293" s="475"/>
      <c r="N293" s="475"/>
      <c r="O293" s="475"/>
      <c r="P293" s="475"/>
      <c r="Q293" s="475"/>
      <c r="R293" s="475"/>
      <c r="S293" s="475"/>
      <c r="T293" s="475"/>
      <c r="U293" s="475"/>
      <c r="V293" s="475"/>
      <c r="W293" s="475"/>
      <c r="X293" s="475"/>
      <c r="Y293" s="475"/>
      <c r="Z293" s="475"/>
      <c r="AA293" s="475"/>
      <c r="AB293" s="475"/>
      <c r="AC293" s="475"/>
      <c r="AD293" s="475"/>
      <c r="AE293" s="475"/>
      <c r="AF293" s="475"/>
    </row>
    <row r="294" spans="2:32">
      <c r="B294" s="471"/>
      <c r="C294" s="475"/>
      <c r="D294" s="475"/>
      <c r="E294" s="475"/>
      <c r="F294" s="474"/>
      <c r="G294" s="475"/>
      <c r="H294" s="474"/>
      <c r="I294" s="474"/>
      <c r="J294" s="475"/>
      <c r="K294" s="475"/>
      <c r="L294" s="475"/>
      <c r="M294" s="475"/>
      <c r="N294" s="475"/>
      <c r="O294" s="475"/>
      <c r="P294" s="475"/>
      <c r="Q294" s="475"/>
      <c r="R294" s="475"/>
      <c r="S294" s="475"/>
      <c r="T294" s="475"/>
      <c r="U294" s="475"/>
      <c r="V294" s="475"/>
      <c r="W294" s="475"/>
      <c r="X294" s="475"/>
      <c r="Y294" s="475"/>
      <c r="Z294" s="475"/>
      <c r="AA294" s="475"/>
      <c r="AB294" s="475"/>
      <c r="AC294" s="475"/>
      <c r="AD294" s="475"/>
      <c r="AE294" s="475"/>
      <c r="AF294" s="475"/>
    </row>
    <row r="295" spans="2:32">
      <c r="B295" s="471"/>
      <c r="C295" s="475"/>
      <c r="D295" s="475"/>
      <c r="E295" s="475"/>
      <c r="F295" s="474"/>
      <c r="G295" s="475"/>
      <c r="H295" s="474"/>
      <c r="I295" s="474"/>
      <c r="J295" s="475"/>
      <c r="K295" s="475"/>
      <c r="L295" s="475"/>
      <c r="M295" s="475"/>
      <c r="N295" s="475"/>
      <c r="O295" s="475"/>
      <c r="P295" s="475"/>
      <c r="Q295" s="475"/>
      <c r="R295" s="475"/>
      <c r="S295" s="475"/>
      <c r="T295" s="475"/>
      <c r="U295" s="475"/>
      <c r="V295" s="475"/>
      <c r="W295" s="475"/>
      <c r="X295" s="475"/>
      <c r="Y295" s="475"/>
      <c r="Z295" s="475"/>
      <c r="AA295" s="475"/>
      <c r="AB295" s="475"/>
      <c r="AC295" s="475"/>
      <c r="AD295" s="475"/>
      <c r="AE295" s="475"/>
      <c r="AF295" s="475"/>
    </row>
    <row r="296" spans="2:32">
      <c r="B296" s="471"/>
      <c r="C296" s="475"/>
      <c r="D296" s="475"/>
      <c r="E296" s="475"/>
      <c r="F296" s="474"/>
      <c r="G296" s="475"/>
      <c r="H296" s="474"/>
      <c r="I296" s="474"/>
      <c r="J296" s="475"/>
      <c r="K296" s="475"/>
      <c r="L296" s="475"/>
      <c r="M296" s="475"/>
      <c r="N296" s="475"/>
      <c r="O296" s="475"/>
      <c r="P296" s="475"/>
      <c r="Q296" s="475"/>
      <c r="R296" s="475"/>
      <c r="S296" s="475"/>
      <c r="T296" s="475"/>
      <c r="U296" s="475"/>
      <c r="V296" s="475"/>
      <c r="W296" s="475"/>
      <c r="X296" s="475"/>
      <c r="Y296" s="475"/>
      <c r="Z296" s="475"/>
      <c r="AA296" s="475"/>
      <c r="AB296" s="475"/>
      <c r="AC296" s="475"/>
      <c r="AD296" s="475"/>
      <c r="AE296" s="475"/>
      <c r="AF296" s="475"/>
    </row>
    <row r="297" spans="2:32">
      <c r="B297" s="471"/>
      <c r="C297" s="475"/>
      <c r="D297" s="475"/>
      <c r="E297" s="475"/>
      <c r="F297" s="474"/>
      <c r="G297" s="475"/>
      <c r="H297" s="474"/>
      <c r="I297" s="474"/>
      <c r="J297" s="475"/>
      <c r="K297" s="475"/>
      <c r="L297" s="475"/>
      <c r="M297" s="475"/>
      <c r="N297" s="475"/>
      <c r="O297" s="475"/>
      <c r="P297" s="475"/>
      <c r="Q297" s="475"/>
      <c r="R297" s="475"/>
      <c r="S297" s="475"/>
      <c r="T297" s="475"/>
      <c r="U297" s="475"/>
      <c r="V297" s="475"/>
      <c r="W297" s="475"/>
      <c r="X297" s="475"/>
      <c r="Y297" s="475"/>
      <c r="Z297" s="475"/>
      <c r="AA297" s="475"/>
      <c r="AB297" s="475"/>
      <c r="AC297" s="475"/>
      <c r="AD297" s="475"/>
      <c r="AE297" s="475"/>
      <c r="AF297" s="475"/>
    </row>
    <row r="298" spans="2:32">
      <c r="B298" s="471"/>
      <c r="C298" s="475"/>
      <c r="D298" s="475"/>
      <c r="E298" s="475"/>
      <c r="F298" s="474"/>
      <c r="G298" s="475"/>
      <c r="H298" s="474"/>
      <c r="I298" s="474"/>
      <c r="J298" s="475"/>
      <c r="K298" s="475"/>
      <c r="L298" s="475"/>
      <c r="M298" s="475"/>
      <c r="N298" s="475"/>
      <c r="O298" s="475"/>
      <c r="P298" s="475"/>
      <c r="Q298" s="475"/>
      <c r="R298" s="475"/>
      <c r="S298" s="475"/>
      <c r="T298" s="475"/>
      <c r="U298" s="475"/>
      <c r="V298" s="475"/>
      <c r="W298" s="475"/>
      <c r="X298" s="475"/>
      <c r="Y298" s="475"/>
      <c r="Z298" s="475"/>
      <c r="AA298" s="475"/>
      <c r="AB298" s="475"/>
      <c r="AC298" s="475"/>
      <c r="AD298" s="475"/>
      <c r="AE298" s="475"/>
      <c r="AF298" s="475"/>
    </row>
    <row r="299" spans="2:32">
      <c r="B299" s="471"/>
      <c r="C299" s="475"/>
      <c r="D299" s="475"/>
      <c r="E299" s="475"/>
      <c r="F299" s="474"/>
      <c r="G299" s="475"/>
      <c r="H299" s="474"/>
      <c r="I299" s="474"/>
      <c r="J299" s="475"/>
      <c r="K299" s="475"/>
      <c r="L299" s="475"/>
      <c r="M299" s="475"/>
      <c r="N299" s="475"/>
      <c r="O299" s="475"/>
      <c r="P299" s="475"/>
      <c r="Q299" s="475"/>
      <c r="R299" s="475"/>
      <c r="S299" s="475"/>
      <c r="T299" s="475"/>
      <c r="U299" s="475"/>
      <c r="V299" s="475"/>
      <c r="W299" s="475"/>
      <c r="X299" s="475"/>
      <c r="Y299" s="475"/>
      <c r="Z299" s="475"/>
      <c r="AA299" s="475"/>
      <c r="AB299" s="475"/>
      <c r="AC299" s="475"/>
      <c r="AD299" s="475"/>
      <c r="AE299" s="475"/>
      <c r="AF299" s="475"/>
    </row>
    <row r="300" spans="2:32">
      <c r="B300" s="471"/>
      <c r="C300" s="475"/>
      <c r="D300" s="475"/>
      <c r="E300" s="475"/>
      <c r="F300" s="474"/>
      <c r="G300" s="475"/>
      <c r="H300" s="474"/>
      <c r="I300" s="474"/>
      <c r="J300" s="475"/>
      <c r="K300" s="475"/>
      <c r="L300" s="475"/>
      <c r="M300" s="475"/>
      <c r="N300" s="475"/>
      <c r="O300" s="475"/>
      <c r="P300" s="475"/>
      <c r="Q300" s="475"/>
      <c r="R300" s="475"/>
      <c r="S300" s="475"/>
      <c r="T300" s="475"/>
      <c r="U300" s="475"/>
      <c r="V300" s="475"/>
      <c r="W300" s="475"/>
      <c r="X300" s="475"/>
      <c r="Y300" s="475"/>
      <c r="Z300" s="475"/>
      <c r="AA300" s="475"/>
      <c r="AB300" s="475"/>
      <c r="AC300" s="475"/>
      <c r="AD300" s="475"/>
      <c r="AE300" s="475"/>
      <c r="AF300" s="475"/>
    </row>
    <row r="301" spans="2:32">
      <c r="B301" s="471"/>
      <c r="C301" s="475"/>
      <c r="D301" s="475"/>
      <c r="E301" s="475"/>
      <c r="F301" s="474"/>
      <c r="G301" s="475"/>
      <c r="H301" s="474"/>
      <c r="I301" s="474"/>
      <c r="J301" s="475"/>
      <c r="K301" s="475"/>
      <c r="L301" s="475"/>
      <c r="M301" s="475"/>
      <c r="N301" s="475"/>
      <c r="O301" s="475"/>
      <c r="P301" s="475"/>
      <c r="Q301" s="475"/>
      <c r="R301" s="475"/>
      <c r="S301" s="475"/>
      <c r="T301" s="475"/>
      <c r="U301" s="475"/>
      <c r="V301" s="475"/>
      <c r="W301" s="475"/>
      <c r="X301" s="475"/>
      <c r="Y301" s="475"/>
      <c r="Z301" s="475"/>
      <c r="AA301" s="475"/>
      <c r="AB301" s="475"/>
      <c r="AC301" s="475"/>
      <c r="AD301" s="475"/>
      <c r="AE301" s="475"/>
      <c r="AF301" s="475"/>
    </row>
    <row r="302" spans="2:32">
      <c r="B302" s="471"/>
      <c r="C302" s="475"/>
      <c r="D302" s="475"/>
      <c r="E302" s="475"/>
      <c r="F302" s="474"/>
      <c r="G302" s="475"/>
      <c r="H302" s="474"/>
      <c r="I302" s="474"/>
      <c r="J302" s="475"/>
      <c r="K302" s="475"/>
      <c r="L302" s="475"/>
      <c r="M302" s="475"/>
      <c r="N302" s="475"/>
      <c r="O302" s="475"/>
      <c r="P302" s="475"/>
      <c r="Q302" s="475"/>
      <c r="R302" s="475"/>
      <c r="S302" s="475"/>
      <c r="T302" s="475"/>
      <c r="U302" s="475"/>
      <c r="V302" s="475"/>
      <c r="W302" s="475"/>
      <c r="X302" s="475"/>
      <c r="Y302" s="475"/>
      <c r="Z302" s="475"/>
      <c r="AA302" s="475"/>
      <c r="AB302" s="475"/>
      <c r="AC302" s="475"/>
      <c r="AD302" s="475"/>
      <c r="AE302" s="475"/>
      <c r="AF302" s="475"/>
    </row>
    <row r="303" spans="2:32">
      <c r="B303" s="471"/>
      <c r="C303" s="475"/>
      <c r="D303" s="475"/>
      <c r="E303" s="475"/>
      <c r="F303" s="474"/>
      <c r="G303" s="475"/>
      <c r="H303" s="474"/>
      <c r="I303" s="474"/>
      <c r="J303" s="475"/>
      <c r="K303" s="475"/>
      <c r="L303" s="475"/>
      <c r="M303" s="475"/>
      <c r="N303" s="475"/>
      <c r="O303" s="475"/>
      <c r="P303" s="475"/>
      <c r="Q303" s="475"/>
      <c r="R303" s="475"/>
      <c r="S303" s="475"/>
      <c r="T303" s="475"/>
      <c r="U303" s="475"/>
      <c r="V303" s="475"/>
      <c r="W303" s="475"/>
      <c r="X303" s="475"/>
      <c r="Y303" s="475"/>
      <c r="Z303" s="475"/>
      <c r="AA303" s="475"/>
      <c r="AB303" s="475"/>
      <c r="AC303" s="475"/>
      <c r="AD303" s="475"/>
      <c r="AE303" s="475"/>
      <c r="AF303" s="475"/>
    </row>
    <row r="304" spans="2:32">
      <c r="B304" s="471"/>
      <c r="C304" s="475"/>
      <c r="D304" s="475"/>
      <c r="E304" s="475"/>
      <c r="F304" s="474"/>
      <c r="G304" s="475"/>
      <c r="H304" s="474"/>
      <c r="I304" s="474"/>
      <c r="J304" s="475"/>
      <c r="K304" s="475"/>
      <c r="L304" s="475"/>
      <c r="M304" s="475"/>
      <c r="N304" s="475"/>
      <c r="O304" s="475"/>
      <c r="P304" s="475"/>
      <c r="Q304" s="475"/>
      <c r="R304" s="475"/>
      <c r="S304" s="475"/>
      <c r="T304" s="475"/>
      <c r="U304" s="475"/>
      <c r="V304" s="475"/>
      <c r="W304" s="475"/>
      <c r="X304" s="475"/>
      <c r="Y304" s="475"/>
      <c r="Z304" s="475"/>
      <c r="AA304" s="475"/>
      <c r="AB304" s="475"/>
      <c r="AC304" s="475"/>
      <c r="AD304" s="475"/>
      <c r="AE304" s="475"/>
      <c r="AF304" s="475"/>
    </row>
    <row r="305" spans="2:32">
      <c r="B305" s="471"/>
      <c r="C305" s="475"/>
      <c r="D305" s="475"/>
      <c r="E305" s="475"/>
      <c r="F305" s="474"/>
      <c r="G305" s="475"/>
      <c r="H305" s="474"/>
      <c r="I305" s="474"/>
      <c r="J305" s="475"/>
      <c r="K305" s="475"/>
      <c r="L305" s="475"/>
      <c r="M305" s="475"/>
      <c r="N305" s="475"/>
      <c r="O305" s="475"/>
      <c r="P305" s="475"/>
      <c r="Q305" s="475"/>
      <c r="R305" s="475"/>
      <c r="S305" s="475"/>
      <c r="T305" s="475"/>
      <c r="U305" s="475"/>
      <c r="V305" s="475"/>
      <c r="W305" s="475"/>
      <c r="X305" s="475"/>
      <c r="Y305" s="475"/>
      <c r="Z305" s="475"/>
      <c r="AA305" s="475"/>
      <c r="AB305" s="475"/>
      <c r="AC305" s="475"/>
      <c r="AD305" s="475"/>
      <c r="AE305" s="475"/>
      <c r="AF305" s="475"/>
    </row>
    <row r="306" spans="2:32">
      <c r="B306" s="471"/>
      <c r="C306" s="475"/>
      <c r="D306" s="475"/>
      <c r="E306" s="475"/>
      <c r="F306" s="474"/>
      <c r="G306" s="475"/>
      <c r="H306" s="474"/>
      <c r="I306" s="474"/>
      <c r="J306" s="475"/>
      <c r="K306" s="475"/>
      <c r="L306" s="475"/>
      <c r="M306" s="475"/>
      <c r="N306" s="475"/>
      <c r="O306" s="475"/>
      <c r="P306" s="475"/>
      <c r="Q306" s="475"/>
      <c r="R306" s="475"/>
      <c r="S306" s="475"/>
      <c r="T306" s="475"/>
      <c r="U306" s="475"/>
      <c r="V306" s="475"/>
      <c r="W306" s="475"/>
      <c r="X306" s="475"/>
      <c r="Y306" s="475"/>
      <c r="Z306" s="475"/>
      <c r="AA306" s="475"/>
      <c r="AB306" s="475"/>
      <c r="AC306" s="475"/>
      <c r="AD306" s="475"/>
      <c r="AE306" s="475"/>
      <c r="AF306" s="475"/>
    </row>
    <row r="307" spans="2:32">
      <c r="B307" s="471"/>
      <c r="C307" s="475"/>
      <c r="D307" s="475"/>
      <c r="E307" s="475"/>
      <c r="F307" s="474"/>
      <c r="G307" s="475"/>
      <c r="H307" s="474"/>
      <c r="I307" s="474"/>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75"/>
    </row>
    <row r="308" spans="2:32">
      <c r="B308" s="471"/>
      <c r="C308" s="475"/>
      <c r="D308" s="475"/>
      <c r="E308" s="475"/>
      <c r="F308" s="474"/>
      <c r="G308" s="475"/>
      <c r="H308" s="474"/>
      <c r="I308" s="474"/>
      <c r="J308" s="475"/>
      <c r="K308" s="475"/>
      <c r="L308" s="475"/>
      <c r="M308" s="475"/>
      <c r="N308" s="475"/>
      <c r="O308" s="475"/>
      <c r="P308" s="475"/>
      <c r="Q308" s="475"/>
      <c r="R308" s="475"/>
      <c r="S308" s="475"/>
      <c r="T308" s="475"/>
      <c r="U308" s="475"/>
      <c r="V308" s="475"/>
      <c r="W308" s="475"/>
      <c r="X308" s="475"/>
      <c r="Y308" s="475"/>
      <c r="Z308" s="475"/>
      <c r="AA308" s="475"/>
      <c r="AB308" s="475"/>
      <c r="AC308" s="475"/>
      <c r="AD308" s="475"/>
      <c r="AE308" s="475"/>
      <c r="AF308" s="475"/>
    </row>
    <row r="309" spans="2:32">
      <c r="B309" s="471"/>
      <c r="C309" s="475"/>
      <c r="D309" s="475"/>
      <c r="E309" s="475"/>
      <c r="F309" s="474"/>
      <c r="G309" s="475"/>
      <c r="H309" s="474"/>
      <c r="I309" s="474"/>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row>
    <row r="310" spans="2:32">
      <c r="B310" s="471"/>
      <c r="C310" s="475"/>
      <c r="D310" s="475"/>
      <c r="E310" s="475"/>
      <c r="F310" s="474"/>
      <c r="G310" s="475"/>
      <c r="H310" s="474"/>
      <c r="I310" s="474"/>
      <c r="J310" s="475"/>
      <c r="K310" s="475"/>
      <c r="L310" s="475"/>
      <c r="M310" s="475"/>
      <c r="N310" s="475"/>
      <c r="O310" s="475"/>
      <c r="P310" s="475"/>
      <c r="Q310" s="475"/>
      <c r="R310" s="475"/>
      <c r="S310" s="475"/>
      <c r="T310" s="475"/>
      <c r="U310" s="475"/>
      <c r="V310" s="475"/>
      <c r="W310" s="475"/>
      <c r="X310" s="475"/>
      <c r="Y310" s="475"/>
      <c r="Z310" s="475"/>
      <c r="AA310" s="475"/>
      <c r="AB310" s="475"/>
      <c r="AC310" s="475"/>
      <c r="AD310" s="475"/>
      <c r="AE310" s="475"/>
      <c r="AF310" s="475"/>
    </row>
    <row r="311" spans="2:32">
      <c r="B311" s="471"/>
      <c r="C311" s="475"/>
      <c r="D311" s="475"/>
      <c r="E311" s="475"/>
      <c r="F311" s="474"/>
      <c r="G311" s="475"/>
      <c r="H311" s="474"/>
      <c r="I311" s="474"/>
      <c r="J311" s="475"/>
      <c r="K311" s="475"/>
      <c r="L311" s="475"/>
      <c r="M311" s="475"/>
      <c r="N311" s="475"/>
      <c r="O311" s="475"/>
      <c r="P311" s="475"/>
      <c r="Q311" s="475"/>
      <c r="R311" s="475"/>
      <c r="S311" s="475"/>
      <c r="T311" s="475"/>
      <c r="U311" s="475"/>
      <c r="V311" s="475"/>
      <c r="W311" s="475"/>
      <c r="X311" s="475"/>
      <c r="Y311" s="475"/>
      <c r="Z311" s="475"/>
      <c r="AA311" s="475"/>
      <c r="AB311" s="475"/>
      <c r="AC311" s="475"/>
      <c r="AD311" s="475"/>
      <c r="AE311" s="475"/>
      <c r="AF311" s="475"/>
    </row>
    <row r="312" spans="2:32">
      <c r="B312" s="471"/>
      <c r="C312" s="475"/>
      <c r="D312" s="475"/>
      <c r="E312" s="475"/>
      <c r="F312" s="474"/>
      <c r="G312" s="475"/>
      <c r="H312" s="474"/>
      <c r="I312" s="474"/>
      <c r="J312" s="475"/>
      <c r="K312" s="475"/>
      <c r="L312" s="475"/>
      <c r="M312" s="475"/>
      <c r="N312" s="475"/>
      <c r="O312" s="475"/>
      <c r="P312" s="475"/>
      <c r="Q312" s="475"/>
      <c r="R312" s="475"/>
      <c r="S312" s="475"/>
      <c r="T312" s="475"/>
      <c r="U312" s="475"/>
      <c r="V312" s="475"/>
      <c r="W312" s="475"/>
      <c r="X312" s="475"/>
      <c r="Y312" s="475"/>
      <c r="Z312" s="475"/>
      <c r="AA312" s="475"/>
      <c r="AB312" s="475"/>
      <c r="AC312" s="475"/>
      <c r="AD312" s="475"/>
      <c r="AE312" s="475"/>
      <c r="AF312" s="475"/>
    </row>
    <row r="313" spans="2:32">
      <c r="B313" s="471"/>
      <c r="C313" s="475"/>
      <c r="D313" s="475"/>
      <c r="E313" s="475"/>
      <c r="F313" s="474"/>
      <c r="G313" s="475"/>
      <c r="H313" s="474"/>
      <c r="I313" s="474"/>
      <c r="J313" s="475"/>
      <c r="K313" s="475"/>
      <c r="L313" s="475"/>
      <c r="M313" s="475"/>
      <c r="N313" s="475"/>
      <c r="O313" s="475"/>
      <c r="P313" s="475"/>
      <c r="Q313" s="475"/>
      <c r="R313" s="475"/>
      <c r="S313" s="475"/>
      <c r="T313" s="475"/>
      <c r="U313" s="475"/>
      <c r="V313" s="475"/>
      <c r="W313" s="475"/>
      <c r="X313" s="475"/>
      <c r="Y313" s="475"/>
      <c r="Z313" s="475"/>
      <c r="AA313" s="475"/>
      <c r="AB313" s="475"/>
      <c r="AC313" s="475"/>
      <c r="AD313" s="475"/>
      <c r="AE313" s="475"/>
      <c r="AF313" s="475"/>
    </row>
    <row r="314" spans="2:32">
      <c r="B314" s="471"/>
      <c r="C314" s="475"/>
      <c r="D314" s="475"/>
      <c r="E314" s="475"/>
      <c r="F314" s="474"/>
      <c r="G314" s="475"/>
      <c r="H314" s="474"/>
      <c r="I314" s="474"/>
      <c r="J314" s="475"/>
      <c r="K314" s="475"/>
      <c r="L314" s="475"/>
      <c r="M314" s="475"/>
      <c r="N314" s="475"/>
      <c r="O314" s="475"/>
      <c r="P314" s="475"/>
      <c r="Q314" s="475"/>
      <c r="R314" s="475"/>
      <c r="S314" s="475"/>
      <c r="T314" s="475"/>
      <c r="U314" s="475"/>
      <c r="V314" s="475"/>
      <c r="W314" s="475"/>
      <c r="X314" s="475"/>
      <c r="Y314" s="475"/>
      <c r="Z314" s="475"/>
      <c r="AA314" s="475"/>
      <c r="AB314" s="475"/>
      <c r="AC314" s="475"/>
      <c r="AD314" s="475"/>
      <c r="AE314" s="475"/>
      <c r="AF314" s="475"/>
    </row>
    <row r="315" spans="2:32">
      <c r="B315" s="471"/>
      <c r="C315" s="475"/>
      <c r="D315" s="475"/>
      <c r="E315" s="475"/>
      <c r="F315" s="474"/>
      <c r="G315" s="475"/>
      <c r="H315" s="474"/>
      <c r="I315" s="474"/>
      <c r="J315" s="475"/>
      <c r="K315" s="475"/>
      <c r="L315" s="475"/>
      <c r="M315" s="475"/>
      <c r="N315" s="475"/>
      <c r="O315" s="475"/>
      <c r="P315" s="475"/>
      <c r="Q315" s="475"/>
      <c r="R315" s="475"/>
      <c r="S315" s="475"/>
      <c r="T315" s="475"/>
      <c r="U315" s="475"/>
      <c r="V315" s="475"/>
      <c r="W315" s="475"/>
      <c r="X315" s="475"/>
      <c r="Y315" s="475"/>
      <c r="Z315" s="475"/>
      <c r="AA315" s="475"/>
      <c r="AB315" s="475"/>
      <c r="AC315" s="475"/>
      <c r="AD315" s="475"/>
      <c r="AE315" s="475"/>
      <c r="AF315" s="475"/>
    </row>
    <row r="316" spans="2:32">
      <c r="B316" s="471"/>
      <c r="C316" s="475"/>
      <c r="D316" s="475"/>
      <c r="E316" s="475"/>
      <c r="F316" s="474"/>
      <c r="G316" s="475"/>
      <c r="H316" s="474"/>
      <c r="I316" s="474"/>
      <c r="J316" s="475"/>
      <c r="K316" s="475"/>
      <c r="L316" s="475"/>
      <c r="M316" s="475"/>
      <c r="N316" s="475"/>
      <c r="O316" s="475"/>
      <c r="P316" s="475"/>
      <c r="Q316" s="475"/>
      <c r="R316" s="475"/>
      <c r="S316" s="475"/>
      <c r="T316" s="475"/>
      <c r="U316" s="475"/>
      <c r="V316" s="475"/>
      <c r="W316" s="475"/>
      <c r="X316" s="475"/>
      <c r="Y316" s="475"/>
      <c r="Z316" s="475"/>
      <c r="AA316" s="475"/>
      <c r="AB316" s="475"/>
      <c r="AC316" s="475"/>
      <c r="AD316" s="475"/>
      <c r="AE316" s="475"/>
      <c r="AF316" s="475"/>
    </row>
    <row r="317" spans="2:32">
      <c r="B317" s="471"/>
      <c r="C317" s="475"/>
      <c r="D317" s="475"/>
      <c r="E317" s="475"/>
      <c r="F317" s="474"/>
      <c r="G317" s="475"/>
      <c r="H317" s="474"/>
      <c r="I317" s="474"/>
      <c r="J317" s="475"/>
      <c r="K317" s="475"/>
      <c r="L317" s="475"/>
      <c r="M317" s="475"/>
      <c r="N317" s="475"/>
      <c r="O317" s="475"/>
      <c r="P317" s="475"/>
      <c r="Q317" s="475"/>
      <c r="R317" s="475"/>
      <c r="S317" s="475"/>
      <c r="T317" s="475"/>
      <c r="U317" s="475"/>
      <c r="V317" s="475"/>
      <c r="W317" s="475"/>
      <c r="X317" s="475"/>
      <c r="Y317" s="475"/>
      <c r="Z317" s="475"/>
      <c r="AA317" s="475"/>
      <c r="AB317" s="475"/>
      <c r="AC317" s="475"/>
      <c r="AD317" s="475"/>
      <c r="AE317" s="475"/>
      <c r="AF317" s="475"/>
    </row>
    <row r="318" spans="2:32">
      <c r="B318" s="471"/>
      <c r="C318" s="475"/>
      <c r="D318" s="475"/>
      <c r="E318" s="475"/>
      <c r="F318" s="474"/>
      <c r="G318" s="475"/>
      <c r="H318" s="474"/>
      <c r="I318" s="474"/>
      <c r="J318" s="475"/>
      <c r="K318" s="475"/>
      <c r="L318" s="475"/>
      <c r="M318" s="475"/>
      <c r="N318" s="475"/>
      <c r="O318" s="475"/>
      <c r="P318" s="475"/>
      <c r="Q318" s="475"/>
      <c r="R318" s="475"/>
      <c r="S318" s="475"/>
      <c r="T318" s="475"/>
      <c r="U318" s="475"/>
      <c r="V318" s="475"/>
      <c r="W318" s="475"/>
      <c r="X318" s="475"/>
      <c r="Y318" s="475"/>
      <c r="Z318" s="475"/>
      <c r="AA318" s="475"/>
      <c r="AB318" s="475"/>
      <c r="AC318" s="475"/>
      <c r="AD318" s="475"/>
      <c r="AE318" s="475"/>
      <c r="AF318" s="475"/>
    </row>
    <row r="319" spans="2:32">
      <c r="B319" s="471"/>
      <c r="C319" s="475"/>
      <c r="D319" s="475"/>
      <c r="E319" s="475"/>
      <c r="F319" s="474"/>
      <c r="G319" s="475"/>
      <c r="H319" s="474"/>
      <c r="I319" s="474"/>
      <c r="J319" s="475"/>
      <c r="K319" s="475"/>
      <c r="L319" s="475"/>
      <c r="M319" s="475"/>
      <c r="N319" s="475"/>
      <c r="O319" s="475"/>
      <c r="P319" s="475"/>
      <c r="Q319" s="475"/>
      <c r="R319" s="475"/>
      <c r="S319" s="475"/>
      <c r="T319" s="475"/>
      <c r="U319" s="475"/>
      <c r="V319" s="475"/>
      <c r="W319" s="475"/>
      <c r="X319" s="475"/>
      <c r="Y319" s="475"/>
      <c r="Z319" s="475"/>
      <c r="AA319" s="475"/>
      <c r="AB319" s="475"/>
      <c r="AC319" s="475"/>
      <c r="AD319" s="475"/>
      <c r="AE319" s="475"/>
      <c r="AF319" s="475"/>
    </row>
    <row r="320" spans="2:32">
      <c r="B320" s="471"/>
      <c r="C320" s="475"/>
      <c r="D320" s="475"/>
      <c r="E320" s="475"/>
      <c r="F320" s="474"/>
      <c r="G320" s="475"/>
      <c r="H320" s="474"/>
      <c r="I320" s="474"/>
      <c r="J320" s="475"/>
      <c r="K320" s="475"/>
      <c r="L320" s="475"/>
      <c r="M320" s="475"/>
      <c r="N320" s="475"/>
      <c r="O320" s="475"/>
      <c r="P320" s="475"/>
      <c r="Q320" s="475"/>
      <c r="R320" s="475"/>
      <c r="S320" s="475"/>
      <c r="T320" s="475"/>
      <c r="U320" s="475"/>
      <c r="V320" s="475"/>
      <c r="W320" s="475"/>
      <c r="X320" s="475"/>
      <c r="Y320" s="475"/>
      <c r="Z320" s="475"/>
      <c r="AA320" s="475"/>
      <c r="AB320" s="475"/>
      <c r="AC320" s="475"/>
      <c r="AD320" s="475"/>
      <c r="AE320" s="475"/>
      <c r="AF320" s="475"/>
    </row>
    <row r="321" spans="2:32">
      <c r="B321" s="471"/>
      <c r="C321" s="475"/>
      <c r="D321" s="475"/>
      <c r="E321" s="475"/>
      <c r="F321" s="474"/>
      <c r="G321" s="475"/>
      <c r="H321" s="474"/>
      <c r="I321" s="474"/>
      <c r="J321" s="475"/>
      <c r="K321" s="475"/>
      <c r="L321" s="475"/>
      <c r="M321" s="475"/>
      <c r="N321" s="475"/>
      <c r="O321" s="475"/>
      <c r="P321" s="475"/>
      <c r="Q321" s="475"/>
      <c r="R321" s="475"/>
      <c r="S321" s="475"/>
      <c r="T321" s="475"/>
      <c r="U321" s="475"/>
      <c r="V321" s="475"/>
      <c r="W321" s="475"/>
      <c r="X321" s="475"/>
      <c r="Y321" s="475"/>
      <c r="Z321" s="475"/>
      <c r="AA321" s="475"/>
      <c r="AB321" s="475"/>
      <c r="AC321" s="475"/>
      <c r="AD321" s="475"/>
      <c r="AE321" s="475"/>
      <c r="AF321" s="475"/>
    </row>
    <row r="322" spans="2:32">
      <c r="B322" s="471"/>
      <c r="C322" s="475"/>
      <c r="D322" s="475"/>
      <c r="E322" s="475"/>
      <c r="F322" s="474"/>
      <c r="G322" s="475"/>
      <c r="H322" s="474"/>
      <c r="I322" s="474"/>
      <c r="J322" s="475"/>
      <c r="K322" s="475"/>
      <c r="L322" s="475"/>
      <c r="M322" s="475"/>
      <c r="N322" s="475"/>
      <c r="O322" s="475"/>
      <c r="P322" s="475"/>
      <c r="Q322" s="475"/>
      <c r="R322" s="475"/>
      <c r="S322" s="475"/>
      <c r="T322" s="475"/>
      <c r="U322" s="475"/>
      <c r="V322" s="475"/>
      <c r="W322" s="475"/>
      <c r="X322" s="475"/>
      <c r="Y322" s="475"/>
      <c r="Z322" s="475"/>
      <c r="AA322" s="475"/>
      <c r="AB322" s="475"/>
      <c r="AC322" s="475"/>
      <c r="AD322" s="475"/>
      <c r="AE322" s="475"/>
      <c r="AF322" s="475"/>
    </row>
    <row r="323" spans="2:32">
      <c r="B323" s="471"/>
      <c r="C323" s="475"/>
      <c r="D323" s="475"/>
      <c r="E323" s="475"/>
      <c r="F323" s="474"/>
      <c r="G323" s="475"/>
      <c r="H323" s="474"/>
      <c r="I323" s="474"/>
      <c r="J323" s="475"/>
      <c r="K323" s="475"/>
      <c r="L323" s="475"/>
      <c r="M323" s="475"/>
      <c r="N323" s="475"/>
      <c r="O323" s="475"/>
      <c r="P323" s="475"/>
      <c r="Q323" s="475"/>
      <c r="R323" s="475"/>
      <c r="S323" s="475"/>
      <c r="T323" s="475"/>
      <c r="U323" s="475"/>
      <c r="V323" s="475"/>
      <c r="W323" s="475"/>
      <c r="X323" s="475"/>
      <c r="Y323" s="475"/>
      <c r="Z323" s="475"/>
      <c r="AA323" s="475"/>
      <c r="AB323" s="475"/>
      <c r="AC323" s="475"/>
      <c r="AD323" s="475"/>
      <c r="AE323" s="475"/>
      <c r="AF323" s="475"/>
    </row>
    <row r="324" spans="2:32">
      <c r="B324" s="471"/>
      <c r="C324" s="475"/>
      <c r="D324" s="475"/>
      <c r="E324" s="475"/>
      <c r="F324" s="474"/>
      <c r="G324" s="475"/>
      <c r="H324" s="474"/>
      <c r="I324" s="474"/>
      <c r="J324" s="475"/>
      <c r="K324" s="475"/>
      <c r="L324" s="475"/>
      <c r="M324" s="475"/>
      <c r="N324" s="475"/>
      <c r="O324" s="475"/>
      <c r="P324" s="475"/>
      <c r="Q324" s="475"/>
      <c r="R324" s="475"/>
      <c r="S324" s="475"/>
      <c r="T324" s="475"/>
      <c r="U324" s="475"/>
      <c r="V324" s="475"/>
      <c r="W324" s="475"/>
      <c r="X324" s="475"/>
      <c r="Y324" s="475"/>
      <c r="Z324" s="475"/>
      <c r="AA324" s="475"/>
      <c r="AB324" s="475"/>
      <c r="AC324" s="475"/>
      <c r="AD324" s="475"/>
      <c r="AE324" s="475"/>
      <c r="AF324" s="475"/>
    </row>
    <row r="325" spans="2:32">
      <c r="B325" s="471"/>
      <c r="C325" s="475"/>
      <c r="D325" s="475"/>
      <c r="E325" s="475"/>
      <c r="F325" s="474"/>
      <c r="G325" s="475"/>
      <c r="H325" s="474"/>
      <c r="I325" s="474"/>
      <c r="J325" s="475"/>
      <c r="K325" s="475"/>
      <c r="L325" s="475"/>
      <c r="M325" s="475"/>
      <c r="N325" s="475"/>
      <c r="O325" s="475"/>
      <c r="P325" s="475"/>
      <c r="Q325" s="475"/>
      <c r="R325" s="475"/>
      <c r="S325" s="475"/>
      <c r="T325" s="475"/>
      <c r="U325" s="475"/>
      <c r="V325" s="475"/>
      <c r="W325" s="475"/>
      <c r="X325" s="475"/>
      <c r="Y325" s="475"/>
      <c r="Z325" s="475"/>
      <c r="AA325" s="475"/>
      <c r="AB325" s="475"/>
      <c r="AC325" s="475"/>
      <c r="AD325" s="475"/>
      <c r="AE325" s="475"/>
      <c r="AF325" s="475"/>
    </row>
    <row r="326" spans="2:32">
      <c r="B326" s="471"/>
      <c r="C326" s="475"/>
      <c r="D326" s="475"/>
      <c r="E326" s="475"/>
      <c r="F326" s="474"/>
      <c r="G326" s="475"/>
      <c r="H326" s="474"/>
      <c r="I326" s="474"/>
      <c r="J326" s="475"/>
      <c r="K326" s="475"/>
      <c r="L326" s="475"/>
      <c r="M326" s="475"/>
      <c r="N326" s="475"/>
      <c r="O326" s="475"/>
      <c r="P326" s="475"/>
      <c r="Q326" s="475"/>
      <c r="R326" s="475"/>
      <c r="S326" s="475"/>
      <c r="T326" s="475"/>
      <c r="U326" s="475"/>
      <c r="V326" s="475"/>
      <c r="W326" s="475"/>
      <c r="X326" s="475"/>
      <c r="Y326" s="475"/>
      <c r="Z326" s="475"/>
      <c r="AA326" s="475"/>
      <c r="AB326" s="475"/>
      <c r="AC326" s="475"/>
      <c r="AD326" s="475"/>
      <c r="AE326" s="475"/>
      <c r="AF326" s="475"/>
    </row>
    <row r="327" spans="2:32">
      <c r="B327" s="471"/>
      <c r="C327" s="475"/>
      <c r="D327" s="475"/>
      <c r="E327" s="475"/>
      <c r="F327" s="474"/>
      <c r="G327" s="475"/>
      <c r="H327" s="474"/>
      <c r="I327" s="474"/>
      <c r="J327" s="475"/>
      <c r="K327" s="475"/>
      <c r="L327" s="475"/>
      <c r="M327" s="475"/>
      <c r="N327" s="475"/>
      <c r="O327" s="475"/>
      <c r="P327" s="475"/>
      <c r="Q327" s="475"/>
      <c r="R327" s="475"/>
      <c r="S327" s="475"/>
      <c r="T327" s="475"/>
      <c r="U327" s="475"/>
      <c r="V327" s="475"/>
      <c r="W327" s="475"/>
      <c r="X327" s="475"/>
      <c r="Y327" s="475"/>
      <c r="Z327" s="475"/>
      <c r="AA327" s="475"/>
      <c r="AB327" s="475"/>
      <c r="AC327" s="475"/>
      <c r="AD327" s="475"/>
      <c r="AE327" s="475"/>
      <c r="AF327" s="475"/>
    </row>
    <row r="328" spans="2:32">
      <c r="B328" s="471"/>
      <c r="C328" s="475"/>
      <c r="D328" s="475"/>
      <c r="E328" s="475"/>
      <c r="F328" s="474"/>
      <c r="G328" s="475"/>
      <c r="H328" s="474"/>
      <c r="I328" s="474"/>
      <c r="J328" s="475"/>
      <c r="K328" s="475"/>
      <c r="L328" s="475"/>
      <c r="M328" s="475"/>
      <c r="N328" s="475"/>
      <c r="O328" s="475"/>
      <c r="P328" s="475"/>
      <c r="Q328" s="475"/>
      <c r="R328" s="475"/>
      <c r="S328" s="475"/>
      <c r="T328" s="475"/>
      <c r="U328" s="475"/>
      <c r="V328" s="475"/>
      <c r="W328" s="475"/>
      <c r="X328" s="475"/>
      <c r="Y328" s="475"/>
      <c r="Z328" s="475"/>
      <c r="AA328" s="475"/>
      <c r="AB328" s="475"/>
      <c r="AC328" s="475"/>
      <c r="AD328" s="475"/>
      <c r="AE328" s="475"/>
      <c r="AF328" s="475"/>
    </row>
    <row r="329" spans="2:32">
      <c r="B329" s="471"/>
      <c r="C329" s="475"/>
      <c r="D329" s="475"/>
      <c r="E329" s="475"/>
      <c r="F329" s="474"/>
      <c r="G329" s="475"/>
      <c r="H329" s="474"/>
      <c r="I329" s="474"/>
      <c r="J329" s="475"/>
      <c r="K329" s="475"/>
      <c r="L329" s="475"/>
      <c r="M329" s="475"/>
      <c r="N329" s="475"/>
      <c r="O329" s="475"/>
      <c r="P329" s="475"/>
      <c r="Q329" s="475"/>
      <c r="R329" s="475"/>
      <c r="S329" s="475"/>
      <c r="T329" s="475"/>
      <c r="U329" s="475"/>
      <c r="V329" s="475"/>
      <c r="W329" s="475"/>
      <c r="X329" s="475"/>
      <c r="Y329" s="475"/>
      <c r="Z329" s="475"/>
      <c r="AA329" s="475"/>
      <c r="AB329" s="475"/>
      <c r="AC329" s="475"/>
      <c r="AD329" s="475"/>
      <c r="AE329" s="475"/>
      <c r="AF329" s="475"/>
    </row>
    <row r="330" spans="2:32">
      <c r="B330" s="471"/>
      <c r="C330" s="475"/>
      <c r="D330" s="475"/>
      <c r="E330" s="475"/>
      <c r="F330" s="474"/>
      <c r="G330" s="475"/>
      <c r="H330" s="474"/>
      <c r="I330" s="474"/>
      <c r="J330" s="475"/>
      <c r="K330" s="475"/>
      <c r="L330" s="475"/>
      <c r="M330" s="475"/>
      <c r="N330" s="475"/>
      <c r="O330" s="475"/>
      <c r="P330" s="475"/>
      <c r="Q330" s="475"/>
      <c r="R330" s="475"/>
      <c r="S330" s="475"/>
      <c r="T330" s="475"/>
      <c r="U330" s="475"/>
      <c r="V330" s="475"/>
      <c r="W330" s="475"/>
      <c r="X330" s="475"/>
      <c r="Y330" s="475"/>
      <c r="Z330" s="475"/>
      <c r="AA330" s="475"/>
      <c r="AB330" s="475"/>
      <c r="AC330" s="475"/>
      <c r="AD330" s="475"/>
      <c r="AE330" s="475"/>
      <c r="AF330" s="475"/>
    </row>
    <row r="331" spans="2:32">
      <c r="B331" s="471"/>
      <c r="C331" s="475"/>
      <c r="D331" s="475"/>
      <c r="E331" s="475"/>
      <c r="F331" s="474"/>
      <c r="G331" s="475"/>
      <c r="H331" s="474"/>
      <c r="I331" s="474"/>
      <c r="J331" s="475"/>
      <c r="K331" s="475"/>
      <c r="L331" s="475"/>
      <c r="M331" s="475"/>
      <c r="N331" s="475"/>
      <c r="O331" s="475"/>
      <c r="P331" s="475"/>
      <c r="Q331" s="475"/>
      <c r="R331" s="475"/>
      <c r="S331" s="475"/>
      <c r="T331" s="475"/>
      <c r="U331" s="475"/>
      <c r="V331" s="475"/>
      <c r="W331" s="475"/>
      <c r="X331" s="475"/>
      <c r="Y331" s="475"/>
      <c r="Z331" s="475"/>
      <c r="AA331" s="475"/>
      <c r="AB331" s="475"/>
      <c r="AC331" s="475"/>
      <c r="AD331" s="475"/>
      <c r="AE331" s="475"/>
      <c r="AF331" s="475"/>
    </row>
    <row r="332" spans="2:32">
      <c r="B332" s="471"/>
      <c r="C332" s="475"/>
      <c r="D332" s="475"/>
      <c r="E332" s="475"/>
      <c r="F332" s="474"/>
      <c r="G332" s="475"/>
      <c r="H332" s="474"/>
      <c r="I332" s="474"/>
      <c r="J332" s="475"/>
      <c r="K332" s="475"/>
      <c r="L332" s="475"/>
      <c r="M332" s="475"/>
      <c r="N332" s="475"/>
      <c r="O332" s="475"/>
      <c r="P332" s="475"/>
      <c r="Q332" s="475"/>
      <c r="R332" s="475"/>
      <c r="S332" s="475"/>
      <c r="T332" s="475"/>
      <c r="U332" s="475"/>
      <c r="V332" s="475"/>
      <c r="W332" s="475"/>
      <c r="X332" s="475"/>
      <c r="Y332" s="475"/>
      <c r="Z332" s="475"/>
      <c r="AA332" s="475"/>
      <c r="AB332" s="475"/>
      <c r="AC332" s="475"/>
      <c r="AD332" s="475"/>
      <c r="AE332" s="475"/>
      <c r="AF332" s="475"/>
    </row>
    <row r="333" spans="2:32">
      <c r="B333" s="471"/>
      <c r="C333" s="475"/>
      <c r="D333" s="475"/>
      <c r="E333" s="475"/>
      <c r="F333" s="474"/>
      <c r="G333" s="475"/>
      <c r="H333" s="474"/>
      <c r="I333" s="474"/>
      <c r="J333" s="475"/>
      <c r="K333" s="475"/>
      <c r="L333" s="475"/>
      <c r="M333" s="475"/>
      <c r="N333" s="475"/>
      <c r="O333" s="475"/>
      <c r="P333" s="475"/>
      <c r="Q333" s="475"/>
      <c r="R333" s="475"/>
      <c r="S333" s="475"/>
      <c r="T333" s="475"/>
      <c r="U333" s="475"/>
      <c r="V333" s="475"/>
      <c r="W333" s="475"/>
      <c r="X333" s="475"/>
      <c r="Y333" s="475"/>
      <c r="Z333" s="475"/>
      <c r="AA333" s="475"/>
      <c r="AB333" s="475"/>
      <c r="AC333" s="475"/>
      <c r="AD333" s="475"/>
      <c r="AE333" s="475"/>
      <c r="AF333" s="475"/>
    </row>
    <row r="334" spans="2:32">
      <c r="B334" s="471"/>
      <c r="C334" s="475"/>
      <c r="D334" s="475"/>
      <c r="E334" s="475"/>
      <c r="F334" s="474"/>
      <c r="G334" s="475"/>
      <c r="H334" s="474"/>
      <c r="I334" s="474"/>
      <c r="J334" s="475"/>
      <c r="K334" s="475"/>
      <c r="L334" s="475"/>
      <c r="M334" s="475"/>
      <c r="N334" s="475"/>
      <c r="O334" s="475"/>
      <c r="P334" s="475"/>
      <c r="Q334" s="475"/>
      <c r="R334" s="475"/>
      <c r="S334" s="475"/>
      <c r="T334" s="475"/>
      <c r="U334" s="475"/>
      <c r="V334" s="475"/>
      <c r="W334" s="475"/>
      <c r="X334" s="475"/>
      <c r="Y334" s="475"/>
      <c r="Z334" s="475"/>
      <c r="AA334" s="475"/>
      <c r="AB334" s="475"/>
      <c r="AC334" s="475"/>
      <c r="AD334" s="475"/>
      <c r="AE334" s="475"/>
      <c r="AF334" s="475"/>
    </row>
    <row r="335" spans="2:32">
      <c r="B335" s="471"/>
      <c r="C335" s="475"/>
      <c r="D335" s="475"/>
      <c r="E335" s="475"/>
      <c r="F335" s="474"/>
      <c r="G335" s="475"/>
      <c r="H335" s="474"/>
      <c r="I335" s="474"/>
      <c r="J335" s="475"/>
      <c r="K335" s="475"/>
      <c r="L335" s="475"/>
      <c r="M335" s="475"/>
      <c r="N335" s="475"/>
      <c r="O335" s="475"/>
      <c r="P335" s="475"/>
      <c r="Q335" s="475"/>
      <c r="R335" s="475"/>
      <c r="S335" s="475"/>
      <c r="T335" s="475"/>
      <c r="U335" s="475"/>
      <c r="V335" s="475"/>
      <c r="W335" s="475"/>
      <c r="X335" s="475"/>
      <c r="Y335" s="475"/>
      <c r="Z335" s="475"/>
      <c r="AA335" s="475"/>
      <c r="AB335" s="475"/>
      <c r="AC335" s="475"/>
      <c r="AD335" s="475"/>
      <c r="AE335" s="475"/>
      <c r="AF335" s="475"/>
    </row>
    <row r="336" spans="2:32">
      <c r="B336" s="471"/>
      <c r="C336" s="475"/>
      <c r="D336" s="475"/>
      <c r="E336" s="475"/>
      <c r="F336" s="474"/>
      <c r="G336" s="475"/>
      <c r="H336" s="474"/>
      <c r="I336" s="474"/>
      <c r="J336" s="475"/>
      <c r="K336" s="475"/>
      <c r="L336" s="475"/>
      <c r="M336" s="475"/>
      <c r="N336" s="475"/>
      <c r="O336" s="475"/>
      <c r="P336" s="475"/>
      <c r="Q336" s="475"/>
      <c r="R336" s="475"/>
      <c r="S336" s="475"/>
      <c r="T336" s="475"/>
      <c r="U336" s="475"/>
      <c r="V336" s="475"/>
      <c r="W336" s="475"/>
      <c r="X336" s="475"/>
      <c r="Y336" s="475"/>
      <c r="Z336" s="475"/>
      <c r="AA336" s="475"/>
      <c r="AB336" s="475"/>
      <c r="AC336" s="475"/>
      <c r="AD336" s="475"/>
      <c r="AE336" s="475"/>
      <c r="AF336" s="475"/>
    </row>
    <row r="337" spans="2:32">
      <c r="B337" s="471"/>
      <c r="C337" s="475"/>
      <c r="D337" s="475"/>
      <c r="E337" s="475"/>
      <c r="F337" s="474"/>
      <c r="G337" s="475"/>
      <c r="H337" s="474"/>
      <c r="I337" s="474"/>
      <c r="J337" s="475"/>
      <c r="K337" s="475"/>
      <c r="L337" s="475"/>
      <c r="M337" s="475"/>
      <c r="N337" s="475"/>
      <c r="O337" s="475"/>
      <c r="P337" s="475"/>
      <c r="Q337" s="475"/>
      <c r="R337" s="475"/>
      <c r="S337" s="475"/>
      <c r="T337" s="475"/>
      <c r="U337" s="475"/>
      <c r="V337" s="475"/>
      <c r="W337" s="475"/>
      <c r="X337" s="475"/>
      <c r="Y337" s="475"/>
      <c r="Z337" s="475"/>
      <c r="AA337" s="475"/>
      <c r="AB337" s="475"/>
      <c r="AC337" s="475"/>
      <c r="AD337" s="475"/>
      <c r="AE337" s="475"/>
      <c r="AF337" s="475"/>
    </row>
    <row r="338" spans="2:32">
      <c r="B338" s="471"/>
      <c r="C338" s="475"/>
      <c r="D338" s="475"/>
      <c r="E338" s="475"/>
      <c r="F338" s="474"/>
      <c r="G338" s="475"/>
      <c r="H338" s="474"/>
      <c r="I338" s="474"/>
      <c r="J338" s="475"/>
      <c r="K338" s="475"/>
      <c r="L338" s="475"/>
      <c r="M338" s="475"/>
      <c r="N338" s="475"/>
      <c r="O338" s="475"/>
      <c r="P338" s="475"/>
      <c r="Q338" s="475"/>
      <c r="R338" s="475"/>
      <c r="S338" s="475"/>
      <c r="T338" s="475"/>
      <c r="U338" s="475"/>
      <c r="V338" s="475"/>
      <c r="W338" s="475"/>
      <c r="X338" s="475"/>
      <c r="Y338" s="475"/>
      <c r="Z338" s="475"/>
      <c r="AA338" s="475"/>
      <c r="AB338" s="475"/>
      <c r="AC338" s="475"/>
      <c r="AD338" s="475"/>
      <c r="AE338" s="475"/>
      <c r="AF338" s="475"/>
    </row>
    <row r="339" spans="2:32">
      <c r="B339" s="471"/>
      <c r="C339" s="475"/>
      <c r="D339" s="475"/>
      <c r="E339" s="475"/>
      <c r="F339" s="474"/>
      <c r="G339" s="475"/>
      <c r="H339" s="474"/>
      <c r="I339" s="474"/>
      <c r="J339" s="475"/>
      <c r="K339" s="475"/>
      <c r="L339" s="475"/>
      <c r="M339" s="475"/>
      <c r="N339" s="475"/>
      <c r="O339" s="475"/>
      <c r="P339" s="475"/>
      <c r="Q339" s="475"/>
      <c r="R339" s="475"/>
      <c r="S339" s="475"/>
      <c r="T339" s="475"/>
      <c r="U339" s="475"/>
      <c r="V339" s="475"/>
      <c r="W339" s="475"/>
      <c r="X339" s="475"/>
      <c r="Y339" s="475"/>
      <c r="Z339" s="475"/>
      <c r="AA339" s="475"/>
      <c r="AB339" s="475"/>
      <c r="AC339" s="475"/>
      <c r="AD339" s="475"/>
      <c r="AE339" s="475"/>
      <c r="AF339" s="475"/>
    </row>
    <row r="340" spans="2:32">
      <c r="B340" s="471"/>
      <c r="C340" s="475"/>
      <c r="D340" s="475"/>
      <c r="E340" s="475"/>
      <c r="F340" s="474"/>
      <c r="G340" s="475"/>
      <c r="H340" s="474"/>
      <c r="I340" s="474"/>
      <c r="J340" s="475"/>
      <c r="K340" s="475"/>
      <c r="L340" s="475"/>
      <c r="M340" s="475"/>
      <c r="N340" s="475"/>
      <c r="O340" s="475"/>
      <c r="P340" s="475"/>
      <c r="Q340" s="475"/>
      <c r="R340" s="475"/>
      <c r="S340" s="475"/>
      <c r="T340" s="475"/>
      <c r="U340" s="475"/>
      <c r="V340" s="475"/>
      <c r="W340" s="475"/>
      <c r="X340" s="475"/>
      <c r="Y340" s="475"/>
      <c r="Z340" s="475"/>
      <c r="AA340" s="475"/>
      <c r="AB340" s="475"/>
      <c r="AC340" s="475"/>
      <c r="AD340" s="475"/>
      <c r="AE340" s="475"/>
      <c r="AF340" s="475"/>
    </row>
    <row r="341" spans="2:32">
      <c r="B341" s="471"/>
      <c r="C341" s="475"/>
      <c r="D341" s="475"/>
      <c r="E341" s="475"/>
      <c r="F341" s="474"/>
      <c r="G341" s="475"/>
      <c r="H341" s="474"/>
      <c r="I341" s="474"/>
      <c r="J341" s="475"/>
      <c r="K341" s="475"/>
      <c r="L341" s="475"/>
      <c r="M341" s="475"/>
      <c r="N341" s="475"/>
      <c r="O341" s="475"/>
      <c r="P341" s="475"/>
      <c r="Q341" s="475"/>
      <c r="R341" s="475"/>
      <c r="S341" s="475"/>
      <c r="T341" s="475"/>
      <c r="U341" s="475"/>
      <c r="V341" s="475"/>
      <c r="W341" s="475"/>
      <c r="X341" s="475"/>
      <c r="Y341" s="475"/>
      <c r="Z341" s="475"/>
      <c r="AA341" s="475"/>
      <c r="AB341" s="475"/>
      <c r="AC341" s="475"/>
      <c r="AD341" s="475"/>
      <c r="AE341" s="475"/>
      <c r="AF341" s="475"/>
    </row>
    <row r="342" spans="2:32">
      <c r="B342" s="471"/>
      <c r="C342" s="475"/>
      <c r="D342" s="475"/>
      <c r="E342" s="475"/>
      <c r="F342" s="474"/>
      <c r="G342" s="475"/>
      <c r="H342" s="474"/>
      <c r="I342" s="474"/>
      <c r="J342" s="475"/>
      <c r="K342" s="475"/>
      <c r="L342" s="475"/>
      <c r="M342" s="475"/>
      <c r="N342" s="475"/>
      <c r="O342" s="475"/>
      <c r="P342" s="475"/>
      <c r="Q342" s="475"/>
      <c r="R342" s="475"/>
      <c r="S342" s="475"/>
      <c r="T342" s="475"/>
      <c r="U342" s="475"/>
      <c r="V342" s="475"/>
      <c r="W342" s="475"/>
      <c r="X342" s="475"/>
      <c r="Y342" s="475"/>
      <c r="Z342" s="475"/>
      <c r="AA342" s="475"/>
      <c r="AB342" s="475"/>
      <c r="AC342" s="475"/>
      <c r="AD342" s="475"/>
      <c r="AE342" s="475"/>
      <c r="AF342" s="475"/>
    </row>
    <row r="343" spans="2:32">
      <c r="B343" s="471"/>
      <c r="C343" s="475"/>
      <c r="D343" s="475"/>
      <c r="E343" s="475"/>
      <c r="F343" s="474"/>
      <c r="G343" s="475"/>
      <c r="H343" s="474"/>
      <c r="I343" s="474"/>
      <c r="J343" s="475"/>
      <c r="K343" s="475"/>
      <c r="L343" s="475"/>
      <c r="M343" s="475"/>
      <c r="N343" s="475"/>
      <c r="O343" s="475"/>
      <c r="P343" s="475"/>
      <c r="Q343" s="475"/>
      <c r="R343" s="475"/>
      <c r="S343" s="475"/>
      <c r="T343" s="475"/>
      <c r="U343" s="475"/>
      <c r="V343" s="475"/>
      <c r="W343" s="475"/>
      <c r="X343" s="475"/>
      <c r="Y343" s="475"/>
      <c r="Z343" s="475"/>
      <c r="AA343" s="475"/>
      <c r="AB343" s="475"/>
      <c r="AC343" s="475"/>
      <c r="AD343" s="475"/>
      <c r="AE343" s="475"/>
      <c r="AF343" s="475"/>
    </row>
    <row r="344" spans="2:32">
      <c r="B344" s="471"/>
      <c r="C344" s="475"/>
      <c r="D344" s="475"/>
      <c r="E344" s="475"/>
      <c r="F344" s="474"/>
      <c r="G344" s="475"/>
      <c r="H344" s="474"/>
      <c r="I344" s="474"/>
      <c r="J344" s="475"/>
      <c r="K344" s="475"/>
      <c r="L344" s="475"/>
      <c r="M344" s="475"/>
      <c r="N344" s="475"/>
      <c r="O344" s="475"/>
      <c r="P344" s="475"/>
      <c r="Q344" s="475"/>
      <c r="R344" s="475"/>
      <c r="S344" s="475"/>
      <c r="T344" s="475"/>
      <c r="U344" s="475"/>
      <c r="V344" s="475"/>
      <c r="W344" s="475"/>
      <c r="X344" s="475"/>
      <c r="Y344" s="475"/>
      <c r="Z344" s="475"/>
      <c r="AA344" s="475"/>
      <c r="AB344" s="475"/>
      <c r="AC344" s="475"/>
      <c r="AD344" s="475"/>
      <c r="AE344" s="475"/>
      <c r="AF344" s="475"/>
    </row>
    <row r="345" spans="2:32">
      <c r="B345" s="471"/>
      <c r="C345" s="475"/>
      <c r="D345" s="475"/>
      <c r="E345" s="475"/>
      <c r="F345" s="474"/>
      <c r="G345" s="475"/>
      <c r="H345" s="474"/>
      <c r="I345" s="474"/>
      <c r="J345" s="475"/>
      <c r="K345" s="475"/>
      <c r="L345" s="475"/>
      <c r="M345" s="475"/>
      <c r="N345" s="475"/>
      <c r="O345" s="475"/>
      <c r="P345" s="475"/>
      <c r="Q345" s="475"/>
      <c r="R345" s="475"/>
      <c r="S345" s="475"/>
      <c r="T345" s="475"/>
      <c r="U345" s="475"/>
      <c r="V345" s="475"/>
      <c r="W345" s="475"/>
      <c r="X345" s="475"/>
      <c r="Y345" s="475"/>
      <c r="Z345" s="475"/>
      <c r="AA345" s="475"/>
      <c r="AB345" s="475"/>
      <c r="AC345" s="475"/>
      <c r="AD345" s="475"/>
      <c r="AE345" s="475"/>
      <c r="AF345" s="475"/>
    </row>
    <row r="346" spans="2:32">
      <c r="B346" s="471"/>
      <c r="C346" s="475"/>
      <c r="D346" s="475"/>
      <c r="E346" s="475"/>
      <c r="F346" s="474"/>
      <c r="G346" s="475"/>
      <c r="H346" s="474"/>
      <c r="I346" s="474"/>
      <c r="J346" s="475"/>
      <c r="K346" s="475"/>
      <c r="L346" s="475"/>
      <c r="M346" s="475"/>
      <c r="N346" s="475"/>
      <c r="O346" s="475"/>
      <c r="P346" s="475"/>
      <c r="Q346" s="475"/>
      <c r="R346" s="475"/>
      <c r="S346" s="475"/>
      <c r="T346" s="475"/>
      <c r="U346" s="475"/>
      <c r="V346" s="475"/>
      <c r="W346" s="475"/>
      <c r="X346" s="475"/>
      <c r="Y346" s="475"/>
      <c r="Z346" s="475"/>
      <c r="AA346" s="475"/>
      <c r="AB346" s="475"/>
      <c r="AC346" s="475"/>
      <c r="AD346" s="475"/>
      <c r="AE346" s="475"/>
      <c r="AF346" s="475"/>
    </row>
    <row r="347" spans="2:32">
      <c r="B347" s="471"/>
      <c r="C347" s="475"/>
      <c r="D347" s="475"/>
      <c r="E347" s="475"/>
      <c r="F347" s="474"/>
      <c r="G347" s="475"/>
      <c r="H347" s="474"/>
      <c r="I347" s="474"/>
      <c r="J347" s="475"/>
      <c r="K347" s="475"/>
      <c r="L347" s="475"/>
      <c r="M347" s="475"/>
      <c r="N347" s="475"/>
      <c r="O347" s="475"/>
      <c r="P347" s="475"/>
      <c r="Q347" s="475"/>
      <c r="R347" s="475"/>
      <c r="S347" s="475"/>
      <c r="T347" s="475"/>
      <c r="U347" s="475"/>
      <c r="V347" s="475"/>
      <c r="W347" s="475"/>
      <c r="X347" s="475"/>
      <c r="Y347" s="475"/>
      <c r="Z347" s="475"/>
      <c r="AA347" s="475"/>
      <c r="AB347" s="475"/>
      <c r="AC347" s="475"/>
      <c r="AD347" s="475"/>
      <c r="AE347" s="475"/>
      <c r="AF347" s="475"/>
    </row>
    <row r="348" spans="2:32">
      <c r="B348" s="471"/>
      <c r="C348" s="475"/>
      <c r="D348" s="475"/>
      <c r="E348" s="475"/>
      <c r="F348" s="474"/>
      <c r="G348" s="475"/>
      <c r="H348" s="474"/>
      <c r="I348" s="474"/>
      <c r="J348" s="475"/>
      <c r="K348" s="475"/>
      <c r="L348" s="475"/>
      <c r="M348" s="475"/>
      <c r="N348" s="475"/>
      <c r="O348" s="475"/>
      <c r="P348" s="475"/>
      <c r="Q348" s="475"/>
      <c r="R348" s="475"/>
      <c r="S348" s="475"/>
      <c r="T348" s="475"/>
      <c r="U348" s="475"/>
      <c r="V348" s="475"/>
      <c r="W348" s="475"/>
      <c r="X348" s="475"/>
      <c r="Y348" s="475"/>
      <c r="Z348" s="475"/>
      <c r="AA348" s="475"/>
      <c r="AB348" s="475"/>
      <c r="AC348" s="475"/>
      <c r="AD348" s="475"/>
      <c r="AE348" s="475"/>
      <c r="AF348" s="475"/>
    </row>
    <row r="349" spans="2:32">
      <c r="B349" s="471"/>
      <c r="C349" s="475"/>
      <c r="D349" s="475"/>
      <c r="E349" s="475"/>
      <c r="F349" s="474"/>
      <c r="G349" s="475"/>
      <c r="H349" s="474"/>
      <c r="I349" s="474"/>
      <c r="J349" s="475"/>
      <c r="K349" s="475"/>
      <c r="L349" s="475"/>
      <c r="M349" s="475"/>
      <c r="N349" s="475"/>
      <c r="O349" s="475"/>
      <c r="P349" s="475"/>
      <c r="Q349" s="475"/>
      <c r="R349" s="475"/>
      <c r="S349" s="475"/>
      <c r="T349" s="475"/>
      <c r="U349" s="475"/>
      <c r="V349" s="475"/>
      <c r="W349" s="475"/>
      <c r="X349" s="475"/>
      <c r="Y349" s="475"/>
      <c r="Z349" s="475"/>
      <c r="AA349" s="475"/>
      <c r="AB349" s="475"/>
      <c r="AC349" s="475"/>
      <c r="AD349" s="475"/>
      <c r="AE349" s="475"/>
      <c r="AF349" s="475"/>
    </row>
    <row r="350" spans="2:32">
      <c r="B350" s="471"/>
      <c r="C350" s="475"/>
      <c r="D350" s="475"/>
      <c r="E350" s="475"/>
      <c r="F350" s="474"/>
      <c r="G350" s="475"/>
      <c r="H350" s="474"/>
      <c r="I350" s="474"/>
      <c r="J350" s="475"/>
      <c r="K350" s="475"/>
      <c r="L350" s="475"/>
      <c r="M350" s="475"/>
      <c r="N350" s="475"/>
      <c r="O350" s="475"/>
      <c r="P350" s="475"/>
      <c r="Q350" s="475"/>
      <c r="R350" s="475"/>
      <c r="S350" s="475"/>
      <c r="T350" s="475"/>
      <c r="U350" s="475"/>
      <c r="V350" s="475"/>
      <c r="W350" s="475"/>
      <c r="X350" s="475"/>
      <c r="Y350" s="475"/>
      <c r="Z350" s="475"/>
      <c r="AA350" s="475"/>
      <c r="AB350" s="475"/>
      <c r="AC350" s="475"/>
      <c r="AD350" s="475"/>
      <c r="AE350" s="475"/>
      <c r="AF350" s="475"/>
    </row>
    <row r="351" spans="2:32">
      <c r="B351" s="471"/>
      <c r="C351" s="475"/>
      <c r="D351" s="475"/>
      <c r="E351" s="475"/>
      <c r="F351" s="474"/>
      <c r="G351" s="475"/>
      <c r="H351" s="474"/>
      <c r="I351" s="474"/>
      <c r="J351" s="475"/>
      <c r="K351" s="475"/>
      <c r="L351" s="475"/>
      <c r="M351" s="475"/>
      <c r="N351" s="475"/>
      <c r="O351" s="475"/>
      <c r="P351" s="475"/>
      <c r="Q351" s="475"/>
      <c r="R351" s="475"/>
      <c r="S351" s="475"/>
      <c r="T351" s="475"/>
      <c r="U351" s="475"/>
      <c r="V351" s="475"/>
      <c r="W351" s="475"/>
      <c r="X351" s="475"/>
      <c r="Y351" s="475"/>
      <c r="Z351" s="475"/>
      <c r="AA351" s="475"/>
      <c r="AB351" s="475"/>
      <c r="AC351" s="475"/>
      <c r="AD351" s="475"/>
      <c r="AE351" s="475"/>
      <c r="AF351" s="475"/>
    </row>
    <row r="352" spans="2:32">
      <c r="B352" s="471"/>
      <c r="C352" s="475"/>
      <c r="D352" s="475"/>
      <c r="E352" s="475"/>
      <c r="F352" s="474"/>
      <c r="G352" s="475"/>
      <c r="H352" s="474"/>
      <c r="I352" s="474"/>
      <c r="J352" s="475"/>
      <c r="K352" s="475"/>
      <c r="L352" s="475"/>
      <c r="M352" s="475"/>
      <c r="N352" s="475"/>
      <c r="O352" s="475"/>
      <c r="P352" s="475"/>
      <c r="Q352" s="475"/>
      <c r="R352" s="475"/>
      <c r="S352" s="475"/>
      <c r="T352" s="475"/>
      <c r="U352" s="475"/>
      <c r="V352" s="475"/>
      <c r="W352" s="475"/>
      <c r="X352" s="475"/>
      <c r="Y352" s="475"/>
      <c r="Z352" s="475"/>
      <c r="AA352" s="475"/>
      <c r="AB352" s="475"/>
      <c r="AC352" s="475"/>
      <c r="AD352" s="475"/>
      <c r="AE352" s="475"/>
      <c r="AF352" s="475"/>
    </row>
    <row r="353" spans="2:32">
      <c r="B353" s="471"/>
      <c r="C353" s="475"/>
      <c r="D353" s="475"/>
      <c r="E353" s="475"/>
      <c r="F353" s="474"/>
      <c r="G353" s="475"/>
      <c r="H353" s="474"/>
      <c r="I353" s="474"/>
      <c r="J353" s="475"/>
      <c r="K353" s="475"/>
      <c r="L353" s="475"/>
      <c r="M353" s="475"/>
      <c r="N353" s="475"/>
      <c r="O353" s="475"/>
      <c r="P353" s="475"/>
      <c r="Q353" s="475"/>
      <c r="R353" s="475"/>
      <c r="S353" s="475"/>
      <c r="T353" s="475"/>
      <c r="U353" s="475"/>
      <c r="V353" s="475"/>
      <c r="W353" s="475"/>
      <c r="X353" s="475"/>
      <c r="Y353" s="475"/>
      <c r="Z353" s="475"/>
      <c r="AA353" s="475"/>
      <c r="AB353" s="475"/>
      <c r="AC353" s="475"/>
      <c r="AD353" s="475"/>
      <c r="AE353" s="475"/>
      <c r="AF353" s="475"/>
    </row>
    <row r="354" spans="2:32">
      <c r="B354" s="471"/>
      <c r="C354" s="475"/>
      <c r="D354" s="475"/>
      <c r="E354" s="475"/>
      <c r="F354" s="474"/>
      <c r="G354" s="475"/>
      <c r="H354" s="474"/>
      <c r="I354" s="474"/>
      <c r="J354" s="475"/>
      <c r="K354" s="475"/>
      <c r="L354" s="475"/>
      <c r="M354" s="475"/>
      <c r="N354" s="475"/>
      <c r="O354" s="475"/>
      <c r="P354" s="475"/>
      <c r="Q354" s="475"/>
      <c r="R354" s="475"/>
      <c r="S354" s="475"/>
      <c r="T354" s="475"/>
      <c r="U354" s="475"/>
      <c r="V354" s="475"/>
      <c r="W354" s="475"/>
      <c r="X354" s="475"/>
      <c r="Y354" s="475"/>
      <c r="Z354" s="475"/>
      <c r="AA354" s="475"/>
      <c r="AB354" s="475"/>
      <c r="AC354" s="475"/>
      <c r="AD354" s="475"/>
      <c r="AE354" s="475"/>
      <c r="AF354" s="475"/>
    </row>
    <row r="355" spans="2:32">
      <c r="B355" s="471"/>
      <c r="C355" s="475"/>
      <c r="D355" s="475"/>
      <c r="E355" s="475"/>
      <c r="F355" s="474"/>
      <c r="G355" s="475"/>
      <c r="H355" s="474"/>
      <c r="I355" s="474"/>
      <c r="J355" s="475"/>
      <c r="K355" s="475"/>
      <c r="L355" s="475"/>
      <c r="M355" s="475"/>
      <c r="N355" s="475"/>
      <c r="O355" s="475"/>
      <c r="P355" s="475"/>
      <c r="Q355" s="475"/>
      <c r="R355" s="475"/>
      <c r="S355" s="475"/>
      <c r="T355" s="475"/>
      <c r="U355" s="475"/>
      <c r="V355" s="475"/>
      <c r="W355" s="475"/>
      <c r="X355" s="475"/>
      <c r="Y355" s="475"/>
      <c r="Z355" s="475"/>
      <c r="AA355" s="475"/>
      <c r="AB355" s="475"/>
      <c r="AC355" s="475"/>
      <c r="AD355" s="475"/>
      <c r="AE355" s="475"/>
      <c r="AF355" s="475"/>
    </row>
    <row r="356" spans="2:32">
      <c r="B356" s="471"/>
      <c r="C356" s="475"/>
      <c r="D356" s="475"/>
      <c r="E356" s="475"/>
      <c r="F356" s="474"/>
      <c r="G356" s="475"/>
      <c r="H356" s="474"/>
      <c r="I356" s="474"/>
      <c r="J356" s="475"/>
      <c r="K356" s="475"/>
      <c r="L356" s="475"/>
      <c r="M356" s="475"/>
      <c r="N356" s="475"/>
      <c r="O356" s="475"/>
      <c r="P356" s="475"/>
      <c r="Q356" s="475"/>
      <c r="R356" s="475"/>
      <c r="S356" s="475"/>
      <c r="T356" s="475"/>
      <c r="U356" s="475"/>
      <c r="V356" s="475"/>
      <c r="W356" s="475"/>
      <c r="X356" s="475"/>
      <c r="Y356" s="475"/>
      <c r="Z356" s="475"/>
      <c r="AA356" s="475"/>
      <c r="AB356" s="475"/>
      <c r="AC356" s="475"/>
      <c r="AD356" s="475"/>
      <c r="AE356" s="475"/>
      <c r="AF356" s="475"/>
    </row>
    <row r="357" spans="2:32">
      <c r="B357" s="471"/>
      <c r="C357" s="475"/>
      <c r="D357" s="475"/>
      <c r="E357" s="475"/>
      <c r="F357" s="474"/>
      <c r="G357" s="475"/>
      <c r="H357" s="474"/>
      <c r="I357" s="474"/>
      <c r="J357" s="475"/>
      <c r="K357" s="475"/>
      <c r="L357" s="475"/>
      <c r="M357" s="475"/>
      <c r="N357" s="475"/>
      <c r="O357" s="475"/>
      <c r="P357" s="475"/>
      <c r="Q357" s="475"/>
      <c r="R357" s="475"/>
      <c r="S357" s="475"/>
      <c r="T357" s="475"/>
      <c r="U357" s="475"/>
      <c r="V357" s="475"/>
      <c r="W357" s="475"/>
      <c r="X357" s="475"/>
      <c r="Y357" s="475"/>
      <c r="Z357" s="475"/>
      <c r="AA357" s="475"/>
      <c r="AB357" s="475"/>
      <c r="AC357" s="475"/>
      <c r="AD357" s="475"/>
      <c r="AE357" s="475"/>
      <c r="AF357" s="475"/>
    </row>
    <row r="358" spans="2:32">
      <c r="B358" s="471"/>
      <c r="C358" s="475"/>
      <c r="D358" s="475"/>
      <c r="E358" s="475"/>
      <c r="F358" s="474"/>
      <c r="G358" s="475"/>
      <c r="H358" s="474"/>
      <c r="I358" s="474"/>
      <c r="J358" s="475"/>
      <c r="K358" s="475"/>
      <c r="L358" s="475"/>
      <c r="M358" s="475"/>
      <c r="N358" s="475"/>
      <c r="O358" s="475"/>
      <c r="P358" s="475"/>
      <c r="Q358" s="475"/>
      <c r="R358" s="475"/>
      <c r="S358" s="475"/>
      <c r="T358" s="475"/>
      <c r="U358" s="475"/>
      <c r="V358" s="475"/>
      <c r="W358" s="475"/>
      <c r="X358" s="475"/>
      <c r="Y358" s="475"/>
      <c r="Z358" s="475"/>
      <c r="AA358" s="475"/>
      <c r="AB358" s="475"/>
      <c r="AC358" s="475"/>
      <c r="AD358" s="475"/>
      <c r="AE358" s="475"/>
      <c r="AF358" s="475"/>
    </row>
    <row r="359" spans="2:32">
      <c r="B359" s="471"/>
      <c r="C359" s="475"/>
      <c r="D359" s="475"/>
      <c r="E359" s="475"/>
      <c r="F359" s="474"/>
      <c r="G359" s="475"/>
      <c r="H359" s="474"/>
      <c r="I359" s="474"/>
      <c r="J359" s="475"/>
      <c r="K359" s="475"/>
      <c r="L359" s="475"/>
      <c r="M359" s="475"/>
      <c r="N359" s="475"/>
      <c r="O359" s="475"/>
      <c r="P359" s="475"/>
      <c r="Q359" s="475"/>
      <c r="R359" s="475"/>
      <c r="S359" s="475"/>
      <c r="T359" s="475"/>
      <c r="U359" s="475"/>
      <c r="V359" s="475"/>
      <c r="W359" s="475"/>
      <c r="X359" s="475"/>
      <c r="Y359" s="475"/>
      <c r="Z359" s="475"/>
      <c r="AA359" s="475"/>
      <c r="AB359" s="475"/>
      <c r="AC359" s="475"/>
      <c r="AD359" s="475"/>
      <c r="AE359" s="475"/>
      <c r="AF359" s="475"/>
    </row>
    <row r="360" spans="2:32">
      <c r="B360" s="471"/>
      <c r="C360" s="475"/>
      <c r="D360" s="475"/>
      <c r="E360" s="475"/>
      <c r="F360" s="474"/>
      <c r="G360" s="475"/>
      <c r="H360" s="474"/>
      <c r="I360" s="474"/>
      <c r="J360" s="475"/>
      <c r="K360" s="475"/>
      <c r="L360" s="475"/>
      <c r="M360" s="475"/>
      <c r="N360" s="475"/>
      <c r="O360" s="475"/>
      <c r="P360" s="475"/>
      <c r="Q360" s="475"/>
      <c r="R360" s="475"/>
      <c r="S360" s="475"/>
      <c r="T360" s="475"/>
      <c r="U360" s="475"/>
      <c r="V360" s="475"/>
      <c r="W360" s="475"/>
      <c r="X360" s="475"/>
      <c r="Y360" s="475"/>
      <c r="Z360" s="475"/>
      <c r="AA360" s="475"/>
      <c r="AB360" s="475"/>
      <c r="AC360" s="475"/>
      <c r="AD360" s="475"/>
      <c r="AE360" s="475"/>
      <c r="AF360" s="475"/>
    </row>
    <row r="361" spans="2:32">
      <c r="B361" s="471"/>
      <c r="C361" s="475"/>
      <c r="D361" s="475"/>
      <c r="E361" s="475"/>
      <c r="F361" s="474"/>
      <c r="G361" s="475"/>
      <c r="H361" s="474"/>
      <c r="I361" s="474"/>
      <c r="J361" s="475"/>
      <c r="K361" s="475"/>
      <c r="L361" s="475"/>
      <c r="M361" s="475"/>
      <c r="N361" s="475"/>
      <c r="O361" s="475"/>
      <c r="P361" s="475"/>
      <c r="Q361" s="475"/>
      <c r="R361" s="475"/>
      <c r="S361" s="475"/>
      <c r="T361" s="475"/>
      <c r="U361" s="475"/>
      <c r="V361" s="475"/>
      <c r="W361" s="475"/>
      <c r="X361" s="475"/>
      <c r="Y361" s="475"/>
      <c r="Z361" s="475"/>
      <c r="AA361" s="475"/>
      <c r="AB361" s="475"/>
      <c r="AC361" s="475"/>
      <c r="AD361" s="475"/>
      <c r="AE361" s="475"/>
      <c r="AF361" s="475"/>
    </row>
    <row r="362" spans="2:32">
      <c r="B362" s="471"/>
      <c r="C362" s="475"/>
      <c r="D362" s="475"/>
      <c r="E362" s="475"/>
      <c r="F362" s="474"/>
      <c r="G362" s="475"/>
      <c r="H362" s="474"/>
      <c r="I362" s="474"/>
      <c r="J362" s="475"/>
      <c r="K362" s="475"/>
      <c r="L362" s="475"/>
      <c r="M362" s="475"/>
      <c r="N362" s="475"/>
      <c r="O362" s="475"/>
      <c r="P362" s="475"/>
      <c r="Q362" s="475"/>
      <c r="R362" s="475"/>
      <c r="S362" s="475"/>
      <c r="T362" s="475"/>
      <c r="U362" s="475"/>
      <c r="V362" s="475"/>
      <c r="W362" s="475"/>
      <c r="X362" s="475"/>
      <c r="Y362" s="475"/>
      <c r="Z362" s="475"/>
      <c r="AA362" s="475"/>
      <c r="AB362" s="475"/>
      <c r="AC362" s="475"/>
      <c r="AD362" s="475"/>
      <c r="AE362" s="475"/>
      <c r="AF362" s="475"/>
    </row>
    <row r="363" spans="2:32">
      <c r="B363" s="471"/>
      <c r="C363" s="475"/>
      <c r="D363" s="475"/>
      <c r="E363" s="475"/>
      <c r="F363" s="474"/>
      <c r="G363" s="475"/>
      <c r="H363" s="474"/>
      <c r="I363" s="474"/>
      <c r="J363" s="475"/>
      <c r="K363" s="475"/>
      <c r="L363" s="475"/>
      <c r="M363" s="475"/>
      <c r="N363" s="475"/>
      <c r="O363" s="475"/>
      <c r="P363" s="475"/>
      <c r="Q363" s="475"/>
      <c r="R363" s="475"/>
      <c r="S363" s="475"/>
      <c r="T363" s="475"/>
      <c r="U363" s="475"/>
      <c r="V363" s="475"/>
      <c r="W363" s="475"/>
      <c r="X363" s="475"/>
      <c r="Y363" s="475"/>
      <c r="Z363" s="475"/>
      <c r="AA363" s="475"/>
      <c r="AB363" s="475"/>
      <c r="AC363" s="475"/>
      <c r="AD363" s="475"/>
      <c r="AE363" s="475"/>
      <c r="AF363" s="475"/>
    </row>
    <row r="364" spans="2:32">
      <c r="B364" s="471"/>
      <c r="C364" s="475"/>
      <c r="D364" s="475"/>
      <c r="E364" s="475"/>
      <c r="F364" s="474"/>
      <c r="G364" s="475"/>
      <c r="H364" s="474"/>
      <c r="I364" s="474"/>
      <c r="J364" s="475"/>
      <c r="K364" s="475"/>
      <c r="L364" s="475"/>
      <c r="M364" s="475"/>
      <c r="N364" s="475"/>
      <c r="O364" s="475"/>
      <c r="P364" s="475"/>
      <c r="Q364" s="475"/>
      <c r="R364" s="475"/>
      <c r="S364" s="475"/>
      <c r="T364" s="475"/>
      <c r="U364" s="475"/>
      <c r="V364" s="475"/>
      <c r="W364" s="475"/>
      <c r="X364" s="475"/>
      <c r="Y364" s="475"/>
      <c r="Z364" s="475"/>
      <c r="AA364" s="475"/>
      <c r="AB364" s="475"/>
      <c r="AC364" s="475"/>
      <c r="AD364" s="475"/>
      <c r="AE364" s="475"/>
      <c r="AF364" s="475"/>
    </row>
    <row r="365" spans="2:32">
      <c r="B365" s="471"/>
      <c r="C365" s="475"/>
      <c r="D365" s="475"/>
      <c r="E365" s="475"/>
      <c r="F365" s="474"/>
      <c r="G365" s="475"/>
      <c r="H365" s="474"/>
      <c r="I365" s="474"/>
      <c r="J365" s="475"/>
      <c r="K365" s="475"/>
      <c r="L365" s="475"/>
      <c r="M365" s="475"/>
      <c r="N365" s="475"/>
      <c r="O365" s="475"/>
      <c r="P365" s="475"/>
      <c r="Q365" s="475"/>
      <c r="R365" s="475"/>
      <c r="S365" s="475"/>
      <c r="T365" s="475"/>
      <c r="U365" s="475"/>
      <c r="V365" s="475"/>
      <c r="W365" s="475"/>
      <c r="X365" s="475"/>
      <c r="Y365" s="475"/>
      <c r="Z365" s="475"/>
      <c r="AA365" s="475"/>
      <c r="AB365" s="475"/>
      <c r="AC365" s="475"/>
      <c r="AD365" s="475"/>
      <c r="AE365" s="475"/>
      <c r="AF365" s="475"/>
    </row>
    <row r="366" spans="2:32">
      <c r="B366" s="471"/>
      <c r="C366" s="475"/>
      <c r="D366" s="475"/>
      <c r="E366" s="475"/>
      <c r="F366" s="474"/>
      <c r="G366" s="475"/>
      <c r="H366" s="474"/>
      <c r="I366" s="474"/>
      <c r="J366" s="475"/>
      <c r="K366" s="475"/>
      <c r="L366" s="475"/>
      <c r="M366" s="475"/>
      <c r="N366" s="475"/>
      <c r="O366" s="475"/>
      <c r="P366" s="475"/>
      <c r="Q366" s="475"/>
      <c r="R366" s="475"/>
      <c r="S366" s="475"/>
      <c r="T366" s="475"/>
      <c r="U366" s="475"/>
      <c r="V366" s="475"/>
      <c r="W366" s="475"/>
      <c r="X366" s="475"/>
      <c r="Y366" s="475"/>
      <c r="Z366" s="475"/>
      <c r="AA366" s="475"/>
      <c r="AB366" s="475"/>
      <c r="AC366" s="475"/>
      <c r="AD366" s="475"/>
      <c r="AE366" s="475"/>
      <c r="AF366" s="475"/>
    </row>
    <row r="367" spans="2:32">
      <c r="B367" s="471"/>
      <c r="C367" s="475"/>
      <c r="D367" s="475"/>
      <c r="E367" s="475"/>
      <c r="F367" s="474"/>
      <c r="G367" s="475"/>
      <c r="H367" s="474"/>
      <c r="I367" s="474"/>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row>
    <row r="368" spans="2:32">
      <c r="B368" s="471"/>
      <c r="C368" s="475"/>
      <c r="D368" s="475"/>
      <c r="E368" s="475"/>
      <c r="F368" s="474"/>
      <c r="G368" s="475"/>
      <c r="H368" s="474"/>
      <c r="I368" s="474"/>
      <c r="J368" s="475"/>
      <c r="K368" s="475"/>
      <c r="L368" s="475"/>
      <c r="M368" s="475"/>
      <c r="N368" s="475"/>
      <c r="O368" s="475"/>
      <c r="P368" s="475"/>
      <c r="Q368" s="475"/>
      <c r="R368" s="475"/>
      <c r="S368" s="475"/>
      <c r="T368" s="475"/>
      <c r="U368" s="475"/>
      <c r="V368" s="475"/>
      <c r="W368" s="475"/>
      <c r="X368" s="475"/>
      <c r="Y368" s="475"/>
      <c r="Z368" s="475"/>
      <c r="AA368" s="475"/>
      <c r="AB368" s="475"/>
      <c r="AC368" s="475"/>
      <c r="AD368" s="475"/>
      <c r="AE368" s="475"/>
      <c r="AF368" s="475"/>
    </row>
    <row r="369" spans="2:32">
      <c r="B369" s="471"/>
      <c r="C369" s="475"/>
      <c r="D369" s="475"/>
      <c r="E369" s="475"/>
      <c r="F369" s="474"/>
      <c r="G369" s="475"/>
      <c r="H369" s="474"/>
      <c r="I369" s="474"/>
      <c r="J369" s="475"/>
      <c r="K369" s="475"/>
      <c r="L369" s="475"/>
      <c r="M369" s="475"/>
      <c r="N369" s="475"/>
      <c r="O369" s="475"/>
      <c r="P369" s="475"/>
      <c r="Q369" s="475"/>
      <c r="R369" s="475"/>
      <c r="S369" s="475"/>
      <c r="T369" s="475"/>
      <c r="U369" s="475"/>
      <c r="V369" s="475"/>
      <c r="W369" s="475"/>
      <c r="X369" s="475"/>
      <c r="Y369" s="475"/>
      <c r="Z369" s="475"/>
      <c r="AA369" s="475"/>
      <c r="AB369" s="475"/>
      <c r="AC369" s="475"/>
      <c r="AD369" s="475"/>
      <c r="AE369" s="475"/>
      <c r="AF369" s="475"/>
    </row>
    <row r="370" spans="2:32">
      <c r="B370" s="471"/>
      <c r="C370" s="475"/>
      <c r="D370" s="475"/>
      <c r="E370" s="475"/>
      <c r="F370" s="474"/>
      <c r="G370" s="475"/>
      <c r="H370" s="474"/>
      <c r="I370" s="474"/>
      <c r="J370" s="475"/>
      <c r="K370" s="475"/>
      <c r="L370" s="475"/>
      <c r="M370" s="475"/>
      <c r="N370" s="475"/>
      <c r="O370" s="475"/>
      <c r="P370" s="475"/>
      <c r="Q370" s="475"/>
      <c r="R370" s="475"/>
      <c r="S370" s="475"/>
      <c r="T370" s="475"/>
      <c r="U370" s="475"/>
      <c r="V370" s="475"/>
      <c r="W370" s="475"/>
      <c r="X370" s="475"/>
      <c r="Y370" s="475"/>
      <c r="Z370" s="475"/>
      <c r="AA370" s="475"/>
      <c r="AB370" s="475"/>
      <c r="AC370" s="475"/>
      <c r="AD370" s="475"/>
      <c r="AE370" s="475"/>
      <c r="AF370" s="475"/>
    </row>
    <row r="371" spans="2:32">
      <c r="B371" s="471"/>
      <c r="C371" s="475"/>
      <c r="D371" s="475"/>
      <c r="E371" s="475"/>
      <c r="F371" s="474"/>
      <c r="G371" s="475"/>
      <c r="H371" s="474"/>
      <c r="I371" s="474"/>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row>
    <row r="372" spans="2:32">
      <c r="B372" s="471"/>
      <c r="C372" s="475"/>
      <c r="D372" s="475"/>
      <c r="E372" s="475"/>
      <c r="F372" s="474"/>
      <c r="G372" s="475"/>
      <c r="H372" s="474"/>
      <c r="I372" s="474"/>
      <c r="J372" s="475"/>
      <c r="K372" s="475"/>
      <c r="L372" s="475"/>
      <c r="M372" s="475"/>
      <c r="N372" s="475"/>
      <c r="O372" s="475"/>
      <c r="P372" s="475"/>
      <c r="Q372" s="475"/>
      <c r="R372" s="475"/>
      <c r="S372" s="475"/>
      <c r="T372" s="475"/>
      <c r="U372" s="475"/>
      <c r="V372" s="475"/>
      <c r="W372" s="475"/>
      <c r="X372" s="475"/>
      <c r="Y372" s="475"/>
      <c r="Z372" s="475"/>
      <c r="AA372" s="475"/>
      <c r="AB372" s="475"/>
      <c r="AC372" s="475"/>
      <c r="AD372" s="475"/>
      <c r="AE372" s="475"/>
      <c r="AF372" s="475"/>
    </row>
    <row r="373" spans="2:32">
      <c r="B373" s="471"/>
      <c r="C373" s="475"/>
      <c r="D373" s="475"/>
      <c r="E373" s="475"/>
      <c r="F373" s="474"/>
      <c r="G373" s="475"/>
      <c r="H373" s="474"/>
      <c r="I373" s="474"/>
      <c r="J373" s="475"/>
      <c r="K373" s="475"/>
      <c r="L373" s="475"/>
      <c r="M373" s="475"/>
      <c r="N373" s="475"/>
      <c r="O373" s="475"/>
      <c r="P373" s="475"/>
      <c r="Q373" s="475"/>
      <c r="R373" s="475"/>
      <c r="S373" s="475"/>
      <c r="T373" s="475"/>
      <c r="U373" s="475"/>
      <c r="V373" s="475"/>
      <c r="W373" s="475"/>
      <c r="X373" s="475"/>
      <c r="Y373" s="475"/>
      <c r="Z373" s="475"/>
      <c r="AA373" s="475"/>
      <c r="AB373" s="475"/>
      <c r="AC373" s="475"/>
      <c r="AD373" s="475"/>
      <c r="AE373" s="475"/>
      <c r="AF373" s="475"/>
    </row>
    <row r="374" spans="2:32">
      <c r="B374" s="471"/>
      <c r="C374" s="475"/>
      <c r="D374" s="475"/>
      <c r="E374" s="475"/>
      <c r="F374" s="474"/>
      <c r="G374" s="475"/>
      <c r="H374" s="474"/>
      <c r="I374" s="474"/>
      <c r="J374" s="475"/>
      <c r="K374" s="475"/>
      <c r="L374" s="475"/>
      <c r="M374" s="475"/>
      <c r="N374" s="475"/>
      <c r="O374" s="475"/>
      <c r="P374" s="475"/>
      <c r="Q374" s="475"/>
      <c r="R374" s="475"/>
      <c r="S374" s="475"/>
      <c r="T374" s="475"/>
      <c r="U374" s="475"/>
      <c r="V374" s="475"/>
      <c r="W374" s="475"/>
      <c r="X374" s="475"/>
      <c r="Y374" s="475"/>
      <c r="Z374" s="475"/>
      <c r="AA374" s="475"/>
      <c r="AB374" s="475"/>
      <c r="AC374" s="475"/>
      <c r="AD374" s="475"/>
      <c r="AE374" s="475"/>
      <c r="AF374" s="475"/>
    </row>
    <row r="375" spans="2:32">
      <c r="B375" s="471"/>
      <c r="C375" s="475"/>
      <c r="D375" s="475"/>
      <c r="E375" s="475"/>
      <c r="F375" s="474"/>
      <c r="G375" s="475"/>
      <c r="H375" s="474"/>
      <c r="I375" s="474"/>
      <c r="J375" s="475"/>
      <c r="K375" s="475"/>
      <c r="L375" s="475"/>
      <c r="M375" s="475"/>
      <c r="N375" s="475"/>
      <c r="O375" s="475"/>
      <c r="P375" s="475"/>
      <c r="Q375" s="475"/>
      <c r="R375" s="475"/>
      <c r="S375" s="475"/>
      <c r="T375" s="475"/>
      <c r="U375" s="475"/>
      <c r="V375" s="475"/>
      <c r="W375" s="475"/>
      <c r="X375" s="475"/>
      <c r="Y375" s="475"/>
      <c r="Z375" s="475"/>
      <c r="AA375" s="475"/>
      <c r="AB375" s="475"/>
      <c r="AC375" s="475"/>
      <c r="AD375" s="475"/>
      <c r="AE375" s="475"/>
      <c r="AF375" s="475"/>
    </row>
    <row r="376" spans="2:32">
      <c r="B376" s="471"/>
      <c r="C376" s="475"/>
      <c r="D376" s="475"/>
      <c r="E376" s="475"/>
      <c r="F376" s="474"/>
      <c r="G376" s="475"/>
      <c r="H376" s="474"/>
      <c r="I376" s="474"/>
      <c r="J376" s="475"/>
      <c r="K376" s="475"/>
      <c r="L376" s="475"/>
      <c r="M376" s="475"/>
      <c r="N376" s="475"/>
      <c r="O376" s="475"/>
      <c r="P376" s="475"/>
      <c r="Q376" s="475"/>
      <c r="R376" s="475"/>
      <c r="S376" s="475"/>
      <c r="T376" s="475"/>
      <c r="U376" s="475"/>
      <c r="V376" s="475"/>
      <c r="W376" s="475"/>
      <c r="X376" s="475"/>
      <c r="Y376" s="475"/>
      <c r="Z376" s="475"/>
      <c r="AA376" s="475"/>
      <c r="AB376" s="475"/>
      <c r="AC376" s="475"/>
      <c r="AD376" s="475"/>
      <c r="AE376" s="475"/>
      <c r="AF376" s="475"/>
    </row>
    <row r="377" spans="2:32">
      <c r="B377" s="471"/>
      <c r="C377" s="475"/>
      <c r="D377" s="475"/>
      <c r="E377" s="475"/>
      <c r="F377" s="474"/>
      <c r="G377" s="475"/>
      <c r="H377" s="474"/>
      <c r="I377" s="474"/>
      <c r="J377" s="475"/>
      <c r="K377" s="475"/>
      <c r="L377" s="475"/>
      <c r="M377" s="475"/>
      <c r="N377" s="475"/>
      <c r="O377" s="475"/>
      <c r="P377" s="475"/>
      <c r="Q377" s="475"/>
      <c r="R377" s="475"/>
      <c r="S377" s="475"/>
      <c r="T377" s="475"/>
      <c r="U377" s="475"/>
      <c r="V377" s="475"/>
      <c r="W377" s="475"/>
      <c r="X377" s="475"/>
      <c r="Y377" s="475"/>
      <c r="Z377" s="475"/>
      <c r="AA377" s="475"/>
      <c r="AB377" s="475"/>
      <c r="AC377" s="475"/>
      <c r="AD377" s="475"/>
      <c r="AE377" s="475"/>
      <c r="AF377" s="475"/>
    </row>
    <row r="378" spans="2:32">
      <c r="B378" s="471"/>
      <c r="C378" s="475"/>
      <c r="D378" s="475"/>
      <c r="E378" s="475"/>
      <c r="F378" s="474"/>
      <c r="G378" s="475"/>
      <c r="H378" s="474"/>
      <c r="I378" s="474"/>
      <c r="J378" s="475"/>
      <c r="K378" s="475"/>
      <c r="L378" s="475"/>
      <c r="M378" s="475"/>
      <c r="N378" s="475"/>
      <c r="O378" s="475"/>
      <c r="P378" s="475"/>
      <c r="Q378" s="475"/>
      <c r="R378" s="475"/>
      <c r="S378" s="475"/>
      <c r="T378" s="475"/>
      <c r="U378" s="475"/>
      <c r="V378" s="475"/>
      <c r="W378" s="475"/>
      <c r="X378" s="475"/>
      <c r="Y378" s="475"/>
      <c r="Z378" s="475"/>
      <c r="AA378" s="475"/>
      <c r="AB378" s="475"/>
      <c r="AC378" s="475"/>
      <c r="AD378" s="475"/>
      <c r="AE378" s="475"/>
      <c r="AF378" s="475"/>
    </row>
    <row r="379" spans="2:32">
      <c r="B379" s="471"/>
      <c r="C379" s="475"/>
      <c r="D379" s="475"/>
      <c r="E379" s="475"/>
      <c r="F379" s="474"/>
      <c r="G379" s="475"/>
      <c r="H379" s="474"/>
      <c r="I379" s="474"/>
      <c r="J379" s="475"/>
      <c r="K379" s="475"/>
      <c r="L379" s="475"/>
      <c r="M379" s="475"/>
      <c r="N379" s="475"/>
      <c r="O379" s="475"/>
      <c r="P379" s="475"/>
      <c r="Q379" s="475"/>
      <c r="R379" s="475"/>
      <c r="S379" s="475"/>
      <c r="T379" s="475"/>
      <c r="U379" s="475"/>
      <c r="V379" s="475"/>
      <c r="W379" s="475"/>
      <c r="X379" s="475"/>
      <c r="Y379" s="475"/>
      <c r="Z379" s="475"/>
      <c r="AA379" s="475"/>
      <c r="AB379" s="475"/>
      <c r="AC379" s="475"/>
      <c r="AD379" s="475"/>
      <c r="AE379" s="475"/>
      <c r="AF379" s="475"/>
    </row>
    <row r="380" spans="2:32">
      <c r="B380" s="471"/>
      <c r="C380" s="475"/>
      <c r="D380" s="475"/>
      <c r="E380" s="475"/>
      <c r="F380" s="474"/>
      <c r="G380" s="475"/>
      <c r="H380" s="474"/>
      <c r="I380" s="474"/>
      <c r="J380" s="475"/>
      <c r="K380" s="475"/>
      <c r="L380" s="475"/>
      <c r="M380" s="475"/>
      <c r="N380" s="475"/>
      <c r="O380" s="475"/>
      <c r="P380" s="475"/>
      <c r="Q380" s="475"/>
      <c r="R380" s="475"/>
      <c r="S380" s="475"/>
      <c r="T380" s="475"/>
      <c r="U380" s="475"/>
      <c r="V380" s="475"/>
      <c r="W380" s="475"/>
      <c r="X380" s="475"/>
      <c r="Y380" s="475"/>
      <c r="Z380" s="475"/>
      <c r="AA380" s="475"/>
      <c r="AB380" s="475"/>
      <c r="AC380" s="475"/>
      <c r="AD380" s="475"/>
      <c r="AE380" s="475"/>
      <c r="AF380" s="475"/>
    </row>
    <row r="381" spans="2:32">
      <c r="B381" s="471"/>
      <c r="C381" s="475"/>
      <c r="D381" s="475"/>
      <c r="E381" s="475"/>
      <c r="F381" s="474"/>
      <c r="G381" s="475"/>
      <c r="H381" s="474"/>
      <c r="I381" s="474"/>
      <c r="J381" s="475"/>
      <c r="K381" s="475"/>
      <c r="L381" s="475"/>
      <c r="M381" s="475"/>
      <c r="N381" s="475"/>
      <c r="O381" s="475"/>
      <c r="P381" s="475"/>
      <c r="Q381" s="475"/>
      <c r="R381" s="475"/>
      <c r="S381" s="475"/>
      <c r="T381" s="475"/>
      <c r="U381" s="475"/>
      <c r="V381" s="475"/>
      <c r="W381" s="475"/>
      <c r="X381" s="475"/>
      <c r="Y381" s="475"/>
      <c r="Z381" s="475"/>
      <c r="AA381" s="475"/>
      <c r="AB381" s="475"/>
      <c r="AC381" s="475"/>
      <c r="AD381" s="475"/>
      <c r="AE381" s="475"/>
      <c r="AF381" s="475"/>
    </row>
    <row r="382" spans="2:32">
      <c r="B382" s="471"/>
      <c r="C382" s="475"/>
      <c r="D382" s="475"/>
      <c r="E382" s="475"/>
      <c r="F382" s="474"/>
      <c r="G382" s="475"/>
      <c r="H382" s="474"/>
      <c r="I382" s="474"/>
      <c r="J382" s="475"/>
      <c r="K382" s="475"/>
      <c r="L382" s="475"/>
      <c r="M382" s="475"/>
      <c r="N382" s="475"/>
      <c r="O382" s="475"/>
      <c r="P382" s="475"/>
      <c r="Q382" s="475"/>
      <c r="R382" s="475"/>
      <c r="S382" s="475"/>
      <c r="T382" s="475"/>
      <c r="U382" s="475"/>
      <c r="V382" s="475"/>
      <c r="W382" s="475"/>
      <c r="X382" s="475"/>
      <c r="Y382" s="475"/>
      <c r="Z382" s="475"/>
      <c r="AA382" s="475"/>
      <c r="AB382" s="475"/>
      <c r="AC382" s="475"/>
      <c r="AD382" s="475"/>
      <c r="AE382" s="475"/>
      <c r="AF382" s="475"/>
    </row>
    <row r="383" spans="2:32">
      <c r="B383" s="471"/>
      <c r="C383" s="475"/>
      <c r="D383" s="475"/>
      <c r="E383" s="475"/>
      <c r="F383" s="474"/>
      <c r="G383" s="475"/>
      <c r="H383" s="474"/>
      <c r="I383" s="474"/>
      <c r="J383" s="475"/>
      <c r="K383" s="475"/>
      <c r="L383" s="475"/>
      <c r="M383" s="475"/>
      <c r="N383" s="475"/>
      <c r="O383" s="475"/>
      <c r="P383" s="475"/>
      <c r="Q383" s="475"/>
      <c r="R383" s="475"/>
      <c r="S383" s="475"/>
      <c r="T383" s="475"/>
      <c r="U383" s="475"/>
      <c r="V383" s="475"/>
      <c r="W383" s="475"/>
      <c r="X383" s="475"/>
      <c r="Y383" s="475"/>
      <c r="Z383" s="475"/>
      <c r="AA383" s="475"/>
      <c r="AB383" s="475"/>
      <c r="AC383" s="475"/>
      <c r="AD383" s="475"/>
      <c r="AE383" s="475"/>
      <c r="AF383" s="475"/>
    </row>
    <row r="384" spans="2:32">
      <c r="B384" s="471"/>
      <c r="C384" s="475"/>
      <c r="D384" s="475"/>
      <c r="E384" s="475"/>
      <c r="F384" s="474"/>
      <c r="G384" s="475"/>
      <c r="H384" s="474"/>
      <c r="I384" s="474"/>
      <c r="J384" s="475"/>
      <c r="K384" s="475"/>
      <c r="L384" s="475"/>
      <c r="M384" s="475"/>
      <c r="N384" s="475"/>
      <c r="O384" s="475"/>
      <c r="P384" s="475"/>
      <c r="Q384" s="475"/>
      <c r="R384" s="475"/>
      <c r="S384" s="475"/>
      <c r="T384" s="475"/>
      <c r="U384" s="475"/>
      <c r="V384" s="475"/>
      <c r="W384" s="475"/>
      <c r="X384" s="475"/>
      <c r="Y384" s="475"/>
      <c r="Z384" s="475"/>
      <c r="AA384" s="475"/>
      <c r="AB384" s="475"/>
      <c r="AC384" s="475"/>
      <c r="AD384" s="475"/>
      <c r="AE384" s="475"/>
      <c r="AF384" s="475"/>
    </row>
    <row r="385" spans="2:32">
      <c r="B385" s="471"/>
      <c r="C385" s="475"/>
      <c r="D385" s="475"/>
      <c r="E385" s="475"/>
      <c r="F385" s="474"/>
      <c r="G385" s="475"/>
      <c r="H385" s="474"/>
      <c r="I385" s="474"/>
      <c r="J385" s="475"/>
      <c r="K385" s="475"/>
      <c r="L385" s="475"/>
      <c r="M385" s="475"/>
      <c r="N385" s="475"/>
      <c r="O385" s="475"/>
      <c r="P385" s="475"/>
      <c r="Q385" s="475"/>
      <c r="R385" s="475"/>
      <c r="S385" s="475"/>
      <c r="T385" s="475"/>
      <c r="U385" s="475"/>
      <c r="V385" s="475"/>
      <c r="W385" s="475"/>
      <c r="X385" s="475"/>
      <c r="Y385" s="475"/>
      <c r="Z385" s="475"/>
      <c r="AA385" s="475"/>
      <c r="AB385" s="475"/>
      <c r="AC385" s="475"/>
      <c r="AD385" s="475"/>
      <c r="AE385" s="475"/>
      <c r="AF385" s="475"/>
    </row>
    <row r="386" spans="2:32">
      <c r="B386" s="471"/>
      <c r="C386" s="475"/>
      <c r="D386" s="475"/>
      <c r="E386" s="475"/>
      <c r="F386" s="474"/>
      <c r="G386" s="475"/>
      <c r="H386" s="474"/>
      <c r="I386" s="474"/>
      <c r="J386" s="475"/>
      <c r="K386" s="475"/>
      <c r="L386" s="475"/>
      <c r="M386" s="475"/>
      <c r="N386" s="475"/>
      <c r="O386" s="475"/>
      <c r="P386" s="475"/>
      <c r="Q386" s="475"/>
      <c r="R386" s="475"/>
      <c r="S386" s="475"/>
      <c r="T386" s="475"/>
      <c r="U386" s="475"/>
      <c r="V386" s="475"/>
      <c r="W386" s="475"/>
      <c r="X386" s="475"/>
      <c r="Y386" s="475"/>
      <c r="Z386" s="475"/>
      <c r="AA386" s="475"/>
      <c r="AB386" s="475"/>
      <c r="AC386" s="475"/>
      <c r="AD386" s="475"/>
      <c r="AE386" s="475"/>
      <c r="AF386" s="475"/>
    </row>
    <row r="387" spans="2:32">
      <c r="B387" s="471"/>
      <c r="C387" s="475"/>
      <c r="D387" s="475"/>
      <c r="E387" s="475"/>
      <c r="F387" s="474"/>
      <c r="G387" s="475"/>
      <c r="H387" s="474"/>
      <c r="I387" s="474"/>
      <c r="J387" s="475"/>
      <c r="K387" s="475"/>
      <c r="L387" s="475"/>
      <c r="M387" s="475"/>
      <c r="N387" s="475"/>
      <c r="O387" s="475"/>
      <c r="P387" s="475"/>
      <c r="Q387" s="475"/>
      <c r="R387" s="475"/>
      <c r="S387" s="475"/>
      <c r="T387" s="475"/>
      <c r="U387" s="475"/>
      <c r="V387" s="475"/>
      <c r="W387" s="475"/>
      <c r="X387" s="475"/>
      <c r="Y387" s="475"/>
      <c r="Z387" s="475"/>
      <c r="AA387" s="475"/>
      <c r="AB387" s="475"/>
      <c r="AC387" s="475"/>
      <c r="AD387" s="475"/>
      <c r="AE387" s="475"/>
      <c r="AF387" s="475"/>
    </row>
    <row r="388" spans="2:32">
      <c r="B388" s="471"/>
      <c r="C388" s="475"/>
      <c r="D388" s="475"/>
      <c r="E388" s="475"/>
      <c r="F388" s="474"/>
      <c r="G388" s="475"/>
      <c r="H388" s="474"/>
      <c r="I388" s="474"/>
      <c r="J388" s="475"/>
      <c r="K388" s="475"/>
      <c r="L388" s="475"/>
      <c r="M388" s="475"/>
      <c r="N388" s="475"/>
      <c r="O388" s="475"/>
      <c r="P388" s="475"/>
      <c r="Q388" s="475"/>
      <c r="R388" s="475"/>
      <c r="S388" s="475"/>
      <c r="T388" s="475"/>
      <c r="U388" s="475"/>
      <c r="V388" s="475"/>
      <c r="W388" s="475"/>
      <c r="X388" s="475"/>
      <c r="Y388" s="475"/>
      <c r="Z388" s="475"/>
      <c r="AA388" s="475"/>
      <c r="AB388" s="475"/>
      <c r="AC388" s="475"/>
      <c r="AD388" s="475"/>
      <c r="AE388" s="475"/>
      <c r="AF388" s="475"/>
    </row>
    <row r="389" spans="2:32">
      <c r="B389" s="471"/>
      <c r="C389" s="475"/>
      <c r="D389" s="475"/>
      <c r="E389" s="475"/>
      <c r="F389" s="474"/>
      <c r="G389" s="475"/>
      <c r="H389" s="474"/>
      <c r="I389" s="474"/>
      <c r="J389" s="475"/>
      <c r="K389" s="475"/>
      <c r="L389" s="475"/>
      <c r="M389" s="475"/>
      <c r="N389" s="475"/>
      <c r="O389" s="475"/>
      <c r="P389" s="475"/>
      <c r="Q389" s="475"/>
      <c r="R389" s="475"/>
      <c r="S389" s="475"/>
      <c r="T389" s="475"/>
      <c r="U389" s="475"/>
      <c r="V389" s="475"/>
      <c r="W389" s="475"/>
      <c r="X389" s="475"/>
      <c r="Y389" s="475"/>
      <c r="Z389" s="475"/>
      <c r="AA389" s="475"/>
      <c r="AB389" s="475"/>
      <c r="AC389" s="475"/>
      <c r="AD389" s="475"/>
      <c r="AE389" s="475"/>
      <c r="AF389" s="475"/>
    </row>
    <row r="390" spans="2:32">
      <c r="B390" s="471"/>
      <c r="C390" s="475"/>
      <c r="D390" s="475"/>
      <c r="E390" s="475"/>
      <c r="F390" s="474"/>
      <c r="G390" s="475"/>
      <c r="H390" s="474"/>
      <c r="I390" s="474"/>
      <c r="J390" s="475"/>
      <c r="K390" s="475"/>
      <c r="L390" s="475"/>
      <c r="M390" s="475"/>
      <c r="N390" s="475"/>
      <c r="O390" s="475"/>
      <c r="P390" s="475"/>
      <c r="Q390" s="475"/>
      <c r="R390" s="475"/>
      <c r="S390" s="475"/>
      <c r="T390" s="475"/>
      <c r="U390" s="475"/>
      <c r="V390" s="475"/>
      <c r="W390" s="475"/>
      <c r="X390" s="475"/>
      <c r="Y390" s="475"/>
      <c r="Z390" s="475"/>
      <c r="AA390" s="475"/>
      <c r="AB390" s="475"/>
      <c r="AC390" s="475"/>
      <c r="AD390" s="475"/>
      <c r="AE390" s="475"/>
      <c r="AF390" s="475"/>
    </row>
    <row r="391" spans="2:32">
      <c r="B391" s="471"/>
      <c r="C391" s="475"/>
      <c r="D391" s="475"/>
      <c r="E391" s="475"/>
      <c r="F391" s="474"/>
      <c r="G391" s="475"/>
      <c r="H391" s="474"/>
      <c r="I391" s="474"/>
      <c r="J391" s="475"/>
      <c r="K391" s="475"/>
      <c r="L391" s="475"/>
      <c r="M391" s="475"/>
      <c r="N391" s="475"/>
      <c r="O391" s="475"/>
      <c r="P391" s="475"/>
      <c r="Q391" s="475"/>
      <c r="R391" s="475"/>
      <c r="S391" s="475"/>
      <c r="T391" s="475"/>
      <c r="U391" s="475"/>
      <c r="V391" s="475"/>
      <c r="W391" s="475"/>
      <c r="X391" s="475"/>
      <c r="Y391" s="475"/>
      <c r="Z391" s="475"/>
      <c r="AA391" s="475"/>
      <c r="AB391" s="475"/>
      <c r="AC391" s="475"/>
      <c r="AD391" s="475"/>
      <c r="AE391" s="475"/>
      <c r="AF391" s="475"/>
    </row>
    <row r="392" spans="2:32">
      <c r="B392" s="471"/>
      <c r="C392" s="475"/>
      <c r="D392" s="475"/>
      <c r="E392" s="475"/>
      <c r="F392" s="474"/>
      <c r="G392" s="475"/>
      <c r="H392" s="474"/>
      <c r="I392" s="474"/>
      <c r="J392" s="475"/>
      <c r="K392" s="475"/>
      <c r="L392" s="475"/>
      <c r="M392" s="475"/>
      <c r="N392" s="475"/>
      <c r="O392" s="475"/>
      <c r="P392" s="475"/>
      <c r="Q392" s="475"/>
      <c r="R392" s="475"/>
      <c r="S392" s="475"/>
      <c r="T392" s="475"/>
      <c r="U392" s="475"/>
      <c r="V392" s="475"/>
      <c r="W392" s="475"/>
      <c r="X392" s="475"/>
      <c r="Y392" s="475"/>
      <c r="Z392" s="475"/>
      <c r="AA392" s="475"/>
      <c r="AB392" s="475"/>
      <c r="AC392" s="475"/>
      <c r="AD392" s="475"/>
      <c r="AE392" s="475"/>
      <c r="AF392" s="475"/>
    </row>
    <row r="393" spans="2:32">
      <c r="B393" s="471"/>
      <c r="C393" s="475"/>
      <c r="D393" s="475"/>
      <c r="E393" s="475"/>
      <c r="F393" s="474"/>
      <c r="G393" s="475"/>
      <c r="H393" s="474"/>
      <c r="I393" s="474"/>
      <c r="J393" s="475"/>
      <c r="K393" s="475"/>
      <c r="L393" s="475"/>
      <c r="M393" s="475"/>
      <c r="N393" s="475"/>
      <c r="O393" s="475"/>
      <c r="P393" s="475"/>
      <c r="Q393" s="475"/>
      <c r="R393" s="475"/>
      <c r="S393" s="475"/>
      <c r="T393" s="475"/>
      <c r="U393" s="475"/>
      <c r="V393" s="475"/>
      <c r="W393" s="475"/>
      <c r="X393" s="475"/>
      <c r="Y393" s="475"/>
      <c r="Z393" s="475"/>
      <c r="AA393" s="475"/>
      <c r="AB393" s="475"/>
      <c r="AC393" s="475"/>
      <c r="AD393" s="475"/>
      <c r="AE393" s="475"/>
      <c r="AF393" s="475"/>
    </row>
    <row r="394" spans="2:32">
      <c r="B394" s="471"/>
      <c r="C394" s="475"/>
      <c r="D394" s="475"/>
      <c r="E394" s="475"/>
      <c r="F394" s="474"/>
      <c r="G394" s="475"/>
      <c r="H394" s="474"/>
      <c r="I394" s="474"/>
      <c r="J394" s="475"/>
      <c r="K394" s="475"/>
      <c r="L394" s="475"/>
      <c r="M394" s="475"/>
      <c r="N394" s="475"/>
      <c r="O394" s="475"/>
      <c r="P394" s="475"/>
      <c r="Q394" s="475"/>
      <c r="R394" s="475"/>
      <c r="S394" s="475"/>
      <c r="T394" s="475"/>
      <c r="U394" s="475"/>
      <c r="V394" s="475"/>
      <c r="W394" s="475"/>
      <c r="X394" s="475"/>
      <c r="Y394" s="475"/>
      <c r="Z394" s="475"/>
      <c r="AA394" s="475"/>
      <c r="AB394" s="475"/>
      <c r="AC394" s="475"/>
      <c r="AD394" s="475"/>
      <c r="AE394" s="475"/>
      <c r="AF394" s="475"/>
    </row>
    <row r="395" spans="2:32">
      <c r="B395" s="471"/>
      <c r="C395" s="475"/>
      <c r="D395" s="475"/>
      <c r="E395" s="475"/>
      <c r="F395" s="474"/>
      <c r="G395" s="475"/>
      <c r="H395" s="474"/>
      <c r="I395" s="474"/>
      <c r="J395" s="475"/>
      <c r="K395" s="475"/>
      <c r="L395" s="475"/>
      <c r="M395" s="475"/>
      <c r="N395" s="475"/>
      <c r="O395" s="475"/>
      <c r="P395" s="475"/>
      <c r="Q395" s="475"/>
      <c r="R395" s="475"/>
      <c r="S395" s="475"/>
      <c r="T395" s="475"/>
      <c r="U395" s="475"/>
      <c r="V395" s="475"/>
      <c r="W395" s="475"/>
      <c r="X395" s="475"/>
      <c r="Y395" s="475"/>
      <c r="Z395" s="475"/>
      <c r="AA395" s="475"/>
      <c r="AB395" s="475"/>
      <c r="AC395" s="475"/>
      <c r="AD395" s="475"/>
      <c r="AE395" s="475"/>
      <c r="AF395" s="475"/>
    </row>
    <row r="396" spans="2:32">
      <c r="B396" s="471"/>
      <c r="C396" s="475"/>
      <c r="D396" s="475"/>
      <c r="E396" s="475"/>
      <c r="F396" s="474"/>
      <c r="G396" s="475"/>
      <c r="H396" s="474"/>
      <c r="I396" s="474"/>
      <c r="J396" s="475"/>
      <c r="K396" s="475"/>
      <c r="L396" s="475"/>
      <c r="M396" s="475"/>
      <c r="N396" s="475"/>
      <c r="O396" s="475"/>
      <c r="P396" s="475"/>
      <c r="Q396" s="475"/>
      <c r="R396" s="475"/>
      <c r="S396" s="475"/>
      <c r="T396" s="475"/>
      <c r="U396" s="475"/>
      <c r="V396" s="475"/>
      <c r="W396" s="475"/>
      <c r="X396" s="475"/>
      <c r="Y396" s="475"/>
      <c r="Z396" s="475"/>
      <c r="AA396" s="475"/>
      <c r="AB396" s="475"/>
      <c r="AC396" s="475"/>
      <c r="AD396" s="475"/>
      <c r="AE396" s="475"/>
      <c r="AF396" s="475"/>
    </row>
    <row r="397" spans="2:32">
      <c r="B397" s="471"/>
      <c r="C397" s="475"/>
      <c r="D397" s="475"/>
      <c r="E397" s="475"/>
      <c r="F397" s="474"/>
      <c r="G397" s="475"/>
      <c r="H397" s="474"/>
      <c r="I397" s="474"/>
      <c r="J397" s="475"/>
      <c r="K397" s="475"/>
      <c r="L397" s="475"/>
      <c r="M397" s="475"/>
      <c r="N397" s="475"/>
      <c r="O397" s="475"/>
      <c r="P397" s="475"/>
      <c r="Q397" s="475"/>
      <c r="R397" s="475"/>
      <c r="S397" s="475"/>
      <c r="T397" s="475"/>
      <c r="U397" s="475"/>
      <c r="V397" s="475"/>
      <c r="W397" s="475"/>
      <c r="X397" s="475"/>
      <c r="Y397" s="475"/>
      <c r="Z397" s="475"/>
      <c r="AA397" s="475"/>
      <c r="AB397" s="475"/>
      <c r="AC397" s="475"/>
      <c r="AD397" s="475"/>
      <c r="AE397" s="475"/>
      <c r="AF397" s="475"/>
    </row>
    <row r="398" spans="2:32">
      <c r="B398" s="471"/>
      <c r="C398" s="475"/>
      <c r="D398" s="475"/>
      <c r="E398" s="475"/>
      <c r="F398" s="474"/>
      <c r="G398" s="475"/>
      <c r="H398" s="474"/>
      <c r="I398" s="474"/>
      <c r="J398" s="475"/>
      <c r="K398" s="475"/>
      <c r="L398" s="475"/>
      <c r="M398" s="475"/>
      <c r="N398" s="475"/>
      <c r="O398" s="475"/>
      <c r="P398" s="475"/>
      <c r="Q398" s="475"/>
      <c r="R398" s="475"/>
      <c r="S398" s="475"/>
      <c r="T398" s="475"/>
      <c r="U398" s="475"/>
      <c r="V398" s="475"/>
      <c r="W398" s="475"/>
      <c r="X398" s="475"/>
      <c r="Y398" s="475"/>
      <c r="Z398" s="475"/>
      <c r="AA398" s="475"/>
      <c r="AB398" s="475"/>
      <c r="AC398" s="475"/>
      <c r="AD398" s="475"/>
      <c r="AE398" s="475"/>
      <c r="AF398" s="475"/>
    </row>
    <row r="399" spans="2:32">
      <c r="B399" s="471"/>
      <c r="C399" s="475"/>
      <c r="D399" s="475"/>
      <c r="E399" s="475"/>
      <c r="F399" s="474"/>
      <c r="G399" s="475"/>
      <c r="H399" s="474"/>
      <c r="I399" s="474"/>
      <c r="J399" s="475"/>
      <c r="K399" s="475"/>
      <c r="L399" s="475"/>
      <c r="M399" s="475"/>
      <c r="N399" s="475"/>
      <c r="O399" s="475"/>
      <c r="P399" s="475"/>
      <c r="Q399" s="475"/>
      <c r="R399" s="475"/>
      <c r="S399" s="475"/>
      <c r="T399" s="475"/>
      <c r="U399" s="475"/>
      <c r="V399" s="475"/>
      <c r="W399" s="475"/>
      <c r="X399" s="475"/>
      <c r="Y399" s="475"/>
      <c r="Z399" s="475"/>
      <c r="AA399" s="475"/>
      <c r="AB399" s="475"/>
      <c r="AC399" s="475"/>
      <c r="AD399" s="475"/>
      <c r="AE399" s="475"/>
      <c r="AF399" s="475"/>
    </row>
    <row r="400" spans="2:32">
      <c r="B400" s="471"/>
      <c r="C400" s="475"/>
      <c r="D400" s="475"/>
      <c r="E400" s="475"/>
      <c r="F400" s="474"/>
      <c r="G400" s="475"/>
      <c r="H400" s="474"/>
      <c r="I400" s="474"/>
      <c r="J400" s="475"/>
      <c r="K400" s="475"/>
      <c r="L400" s="475"/>
      <c r="M400" s="475"/>
      <c r="N400" s="475"/>
      <c r="O400" s="475"/>
      <c r="P400" s="475"/>
      <c r="Q400" s="475"/>
      <c r="R400" s="475"/>
      <c r="S400" s="475"/>
      <c r="T400" s="475"/>
      <c r="U400" s="475"/>
      <c r="V400" s="475"/>
      <c r="W400" s="475"/>
      <c r="X400" s="475"/>
      <c r="Y400" s="475"/>
      <c r="Z400" s="475"/>
      <c r="AA400" s="475"/>
      <c r="AB400" s="475"/>
      <c r="AC400" s="475"/>
      <c r="AD400" s="475"/>
      <c r="AE400" s="475"/>
      <c r="AF400" s="475"/>
    </row>
    <row r="401" spans="2:32">
      <c r="B401" s="471"/>
      <c r="C401" s="475"/>
      <c r="D401" s="475"/>
      <c r="E401" s="475"/>
      <c r="F401" s="474"/>
      <c r="G401" s="475"/>
      <c r="H401" s="474"/>
      <c r="I401" s="474"/>
      <c r="J401" s="475"/>
      <c r="K401" s="475"/>
      <c r="L401" s="475"/>
      <c r="M401" s="475"/>
      <c r="N401" s="475"/>
      <c r="O401" s="475"/>
      <c r="P401" s="475"/>
      <c r="Q401" s="475"/>
      <c r="R401" s="475"/>
      <c r="S401" s="475"/>
      <c r="T401" s="475"/>
      <c r="U401" s="475"/>
      <c r="V401" s="475"/>
      <c r="W401" s="475"/>
      <c r="X401" s="475"/>
      <c r="Y401" s="475"/>
      <c r="Z401" s="475"/>
      <c r="AA401" s="475"/>
      <c r="AB401" s="475"/>
      <c r="AC401" s="475"/>
      <c r="AD401" s="475"/>
      <c r="AE401" s="475"/>
      <c r="AF401" s="475"/>
    </row>
    <row r="402" spans="2:32">
      <c r="B402" s="471"/>
      <c r="C402" s="475"/>
      <c r="D402" s="475"/>
      <c r="E402" s="475"/>
      <c r="F402" s="474"/>
      <c r="G402" s="475"/>
      <c r="H402" s="474"/>
      <c r="I402" s="474"/>
      <c r="J402" s="475"/>
      <c r="K402" s="475"/>
      <c r="L402" s="475"/>
      <c r="M402" s="475"/>
      <c r="N402" s="475"/>
      <c r="O402" s="475"/>
      <c r="P402" s="475"/>
      <c r="Q402" s="475"/>
      <c r="R402" s="475"/>
      <c r="S402" s="475"/>
      <c r="T402" s="475"/>
      <c r="U402" s="475"/>
      <c r="V402" s="475"/>
      <c r="W402" s="475"/>
      <c r="X402" s="475"/>
      <c r="Y402" s="475"/>
      <c r="Z402" s="475"/>
      <c r="AA402" s="475"/>
      <c r="AB402" s="475"/>
      <c r="AC402" s="475"/>
      <c r="AD402" s="475"/>
      <c r="AE402" s="475"/>
      <c r="AF402" s="475"/>
    </row>
    <row r="403" spans="2:32">
      <c r="B403" s="471"/>
      <c r="C403" s="475"/>
      <c r="D403" s="475"/>
      <c r="E403" s="475"/>
      <c r="F403" s="474"/>
      <c r="G403" s="475"/>
      <c r="H403" s="474"/>
      <c r="I403" s="474"/>
      <c r="J403" s="475"/>
      <c r="K403" s="475"/>
      <c r="L403" s="475"/>
      <c r="M403" s="475"/>
      <c r="N403" s="475"/>
      <c r="O403" s="475"/>
      <c r="P403" s="475"/>
      <c r="Q403" s="475"/>
      <c r="R403" s="475"/>
      <c r="S403" s="475"/>
      <c r="T403" s="475"/>
      <c r="U403" s="475"/>
      <c r="V403" s="475"/>
      <c r="W403" s="475"/>
      <c r="X403" s="475"/>
      <c r="Y403" s="475"/>
      <c r="Z403" s="475"/>
      <c r="AA403" s="475"/>
      <c r="AB403" s="475"/>
      <c r="AC403" s="475"/>
      <c r="AD403" s="475"/>
      <c r="AE403" s="475"/>
      <c r="AF403" s="475"/>
    </row>
    <row r="404" spans="2:32">
      <c r="B404" s="471"/>
      <c r="C404" s="475"/>
      <c r="D404" s="475"/>
      <c r="E404" s="475"/>
      <c r="F404" s="474"/>
      <c r="G404" s="475"/>
      <c r="H404" s="474"/>
      <c r="I404" s="474"/>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row>
    <row r="405" spans="2:32">
      <c r="B405" s="471"/>
      <c r="C405" s="475"/>
      <c r="D405" s="475"/>
      <c r="E405" s="475"/>
      <c r="F405" s="474"/>
      <c r="G405" s="475"/>
      <c r="H405" s="474"/>
      <c r="I405" s="474"/>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75"/>
    </row>
    <row r="406" spans="2:32">
      <c r="B406" s="471"/>
      <c r="C406" s="475"/>
      <c r="D406" s="475"/>
      <c r="E406" s="475"/>
      <c r="F406" s="474"/>
      <c r="G406" s="475"/>
      <c r="H406" s="474"/>
      <c r="I406" s="474"/>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row>
    <row r="407" spans="2:32">
      <c r="B407" s="471"/>
      <c r="C407" s="475"/>
      <c r="D407" s="475"/>
      <c r="E407" s="475"/>
      <c r="F407" s="474"/>
      <c r="G407" s="475"/>
      <c r="H407" s="474"/>
      <c r="I407" s="474"/>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75"/>
    </row>
    <row r="408" spans="2:32">
      <c r="B408" s="471"/>
      <c r="C408" s="475"/>
      <c r="D408" s="475"/>
      <c r="E408" s="475"/>
      <c r="F408" s="474"/>
      <c r="G408" s="475"/>
      <c r="H408" s="474"/>
      <c r="I408" s="474"/>
      <c r="J408" s="475"/>
      <c r="K408" s="475"/>
      <c r="L408" s="475"/>
      <c r="M408" s="475"/>
      <c r="N408" s="475"/>
      <c r="O408" s="475"/>
      <c r="P408" s="475"/>
      <c r="Q408" s="475"/>
      <c r="R408" s="475"/>
      <c r="S408" s="475"/>
      <c r="T408" s="475"/>
      <c r="U408" s="475"/>
      <c r="V408" s="475"/>
      <c r="W408" s="475"/>
      <c r="X408" s="475"/>
      <c r="Y408" s="475"/>
      <c r="Z408" s="475"/>
      <c r="AA408" s="475"/>
      <c r="AB408" s="475"/>
      <c r="AC408" s="475"/>
      <c r="AD408" s="475"/>
      <c r="AE408" s="475"/>
      <c r="AF408" s="475"/>
    </row>
    <row r="409" spans="2:32">
      <c r="B409" s="471"/>
      <c r="C409" s="475"/>
      <c r="D409" s="475"/>
      <c r="E409" s="475"/>
      <c r="F409" s="474"/>
      <c r="G409" s="475"/>
      <c r="H409" s="474"/>
      <c r="I409" s="474"/>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row>
    <row r="410" spans="2:32">
      <c r="B410" s="471"/>
      <c r="C410" s="475"/>
      <c r="D410" s="475"/>
      <c r="E410" s="475"/>
      <c r="F410" s="474"/>
      <c r="G410" s="475"/>
      <c r="H410" s="474"/>
      <c r="I410" s="474"/>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75"/>
    </row>
    <row r="411" spans="2:32">
      <c r="B411" s="471"/>
      <c r="C411" s="475"/>
      <c r="D411" s="475"/>
      <c r="E411" s="475"/>
      <c r="F411" s="474"/>
      <c r="G411" s="475"/>
      <c r="H411" s="474"/>
      <c r="I411" s="474"/>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75"/>
    </row>
    <row r="412" spans="2:32">
      <c r="B412" s="471"/>
      <c r="C412" s="475"/>
      <c r="D412" s="475"/>
      <c r="E412" s="475"/>
      <c r="F412" s="474"/>
      <c r="G412" s="475"/>
      <c r="H412" s="474"/>
      <c r="I412" s="474"/>
      <c r="J412" s="475"/>
      <c r="K412" s="475"/>
      <c r="L412" s="475"/>
      <c r="M412" s="475"/>
      <c r="N412" s="475"/>
      <c r="O412" s="475"/>
      <c r="P412" s="475"/>
      <c r="Q412" s="475"/>
      <c r="R412" s="475"/>
      <c r="S412" s="475"/>
      <c r="T412" s="475"/>
      <c r="U412" s="475"/>
      <c r="V412" s="475"/>
      <c r="W412" s="475"/>
      <c r="X412" s="475"/>
      <c r="Y412" s="475"/>
      <c r="Z412" s="475"/>
      <c r="AA412" s="475"/>
      <c r="AB412" s="475"/>
      <c r="AC412" s="475"/>
      <c r="AD412" s="475"/>
      <c r="AE412" s="475"/>
      <c r="AF412" s="475"/>
    </row>
    <row r="413" spans="2:32">
      <c r="B413" s="471"/>
      <c r="C413" s="475"/>
      <c r="D413" s="475"/>
      <c r="E413" s="475"/>
      <c r="F413" s="474"/>
      <c r="G413" s="475"/>
      <c r="H413" s="474"/>
      <c r="I413" s="474"/>
      <c r="J413" s="475"/>
      <c r="K413" s="475"/>
      <c r="L413" s="475"/>
      <c r="M413" s="475"/>
      <c r="N413" s="475"/>
      <c r="O413" s="475"/>
      <c r="P413" s="475"/>
      <c r="Q413" s="475"/>
      <c r="R413" s="475"/>
      <c r="S413" s="475"/>
      <c r="T413" s="475"/>
      <c r="U413" s="475"/>
      <c r="V413" s="475"/>
      <c r="W413" s="475"/>
      <c r="X413" s="475"/>
      <c r="Y413" s="475"/>
      <c r="Z413" s="475"/>
      <c r="AA413" s="475"/>
      <c r="AB413" s="475"/>
      <c r="AC413" s="475"/>
      <c r="AD413" s="475"/>
      <c r="AE413" s="475"/>
      <c r="AF413" s="475"/>
    </row>
    <row r="414" spans="2:32">
      <c r="B414" s="471"/>
      <c r="C414" s="475"/>
      <c r="D414" s="475"/>
      <c r="E414" s="475"/>
      <c r="F414" s="474"/>
      <c r="G414" s="475"/>
      <c r="H414" s="474"/>
      <c r="I414" s="474"/>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75"/>
    </row>
    <row r="415" spans="2:32">
      <c r="B415" s="471"/>
      <c r="C415" s="475"/>
      <c r="D415" s="475"/>
      <c r="E415" s="475"/>
      <c r="F415" s="474"/>
      <c r="G415" s="475"/>
      <c r="H415" s="474"/>
      <c r="I415" s="474"/>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75"/>
    </row>
    <row r="416" spans="2:32">
      <c r="B416" s="471"/>
      <c r="C416" s="475"/>
      <c r="D416" s="475"/>
      <c r="E416" s="475"/>
      <c r="F416" s="474"/>
      <c r="G416" s="475"/>
      <c r="H416" s="474"/>
      <c r="I416" s="474"/>
      <c r="J416" s="475"/>
      <c r="K416" s="475"/>
      <c r="L416" s="475"/>
      <c r="M416" s="475"/>
      <c r="N416" s="475"/>
      <c r="O416" s="475"/>
      <c r="P416" s="475"/>
      <c r="Q416" s="475"/>
      <c r="R416" s="475"/>
      <c r="S416" s="475"/>
      <c r="T416" s="475"/>
      <c r="U416" s="475"/>
      <c r="V416" s="475"/>
      <c r="W416" s="475"/>
      <c r="X416" s="475"/>
      <c r="Y416" s="475"/>
      <c r="Z416" s="475"/>
      <c r="AA416" s="475"/>
      <c r="AB416" s="475"/>
      <c r="AC416" s="475"/>
      <c r="AD416" s="475"/>
      <c r="AE416" s="475"/>
      <c r="AF416" s="475"/>
    </row>
    <row r="417" spans="2:32">
      <c r="B417" s="471"/>
      <c r="C417" s="475"/>
      <c r="D417" s="475"/>
      <c r="E417" s="475"/>
      <c r="F417" s="474"/>
      <c r="G417" s="475"/>
      <c r="H417" s="474"/>
      <c r="I417" s="474"/>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row>
    <row r="418" spans="2:32">
      <c r="B418" s="471"/>
      <c r="C418" s="475"/>
      <c r="D418" s="475"/>
      <c r="E418" s="475"/>
      <c r="F418" s="474"/>
      <c r="G418" s="475"/>
      <c r="H418" s="474"/>
      <c r="I418" s="474"/>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row>
    <row r="419" spans="2:32">
      <c r="B419" s="471"/>
      <c r="C419" s="475"/>
      <c r="D419" s="475"/>
      <c r="E419" s="475"/>
      <c r="F419" s="474"/>
      <c r="G419" s="475"/>
      <c r="H419" s="474"/>
      <c r="I419" s="474"/>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row>
    <row r="420" spans="2:32">
      <c r="B420" s="471"/>
      <c r="C420" s="475"/>
      <c r="D420" s="475"/>
      <c r="E420" s="475"/>
      <c r="F420" s="474"/>
      <c r="G420" s="475"/>
      <c r="H420" s="474"/>
      <c r="I420" s="474"/>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row>
    <row r="421" spans="2:32">
      <c r="B421" s="471"/>
      <c r="C421" s="475"/>
      <c r="D421" s="475"/>
      <c r="E421" s="475"/>
      <c r="F421" s="474"/>
      <c r="G421" s="475"/>
      <c r="H421" s="474"/>
      <c r="I421" s="474"/>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row>
    <row r="422" spans="2:32">
      <c r="B422" s="471"/>
      <c r="C422" s="475"/>
      <c r="D422" s="475"/>
      <c r="E422" s="475"/>
      <c r="F422" s="474"/>
      <c r="G422" s="475"/>
      <c r="H422" s="474"/>
      <c r="I422" s="474"/>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row>
    <row r="423" spans="2:32">
      <c r="B423" s="471"/>
      <c r="C423" s="475"/>
      <c r="D423" s="475"/>
      <c r="E423" s="475"/>
      <c r="F423" s="474"/>
      <c r="G423" s="475"/>
      <c r="H423" s="474"/>
      <c r="I423" s="474"/>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row>
    <row r="424" spans="2:32">
      <c r="B424" s="471"/>
      <c r="C424" s="475"/>
      <c r="D424" s="475"/>
      <c r="E424" s="475"/>
      <c r="F424" s="474"/>
      <c r="G424" s="475"/>
      <c r="H424" s="474"/>
      <c r="I424" s="474"/>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row>
    <row r="425" spans="2:32">
      <c r="B425" s="471"/>
      <c r="C425" s="475"/>
      <c r="D425" s="475"/>
      <c r="E425" s="475"/>
      <c r="F425" s="474"/>
      <c r="G425" s="475"/>
      <c r="H425" s="474"/>
      <c r="I425" s="474"/>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row>
    <row r="426" spans="2:32">
      <c r="B426" s="471"/>
      <c r="C426" s="475"/>
      <c r="D426" s="475"/>
      <c r="E426" s="475"/>
      <c r="F426" s="474"/>
      <c r="G426" s="475"/>
      <c r="H426" s="474"/>
      <c r="I426" s="474"/>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row>
    <row r="427" spans="2:32">
      <c r="B427" s="471"/>
      <c r="C427" s="475"/>
      <c r="D427" s="475"/>
      <c r="E427" s="475"/>
      <c r="F427" s="474"/>
      <c r="G427" s="475"/>
      <c r="H427" s="474"/>
      <c r="I427" s="474"/>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row>
    <row r="428" spans="2:32">
      <c r="B428" s="471"/>
      <c r="C428" s="475"/>
      <c r="D428" s="475"/>
      <c r="E428" s="475"/>
      <c r="F428" s="474"/>
      <c r="G428" s="475"/>
      <c r="H428" s="474"/>
      <c r="I428" s="474"/>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row>
    <row r="429" spans="2:32">
      <c r="B429" s="471"/>
      <c r="C429" s="475"/>
      <c r="D429" s="475"/>
      <c r="E429" s="475"/>
      <c r="F429" s="474"/>
      <c r="G429" s="475"/>
      <c r="H429" s="474"/>
      <c r="I429" s="474"/>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row>
    <row r="430" spans="2:32">
      <c r="B430" s="471"/>
      <c r="C430" s="475"/>
      <c r="D430" s="475"/>
      <c r="E430" s="475"/>
      <c r="F430" s="474"/>
      <c r="G430" s="475"/>
      <c r="H430" s="474"/>
      <c r="I430" s="474"/>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row>
    <row r="431" spans="2:32">
      <c r="B431" s="471"/>
      <c r="C431" s="475"/>
      <c r="D431" s="475"/>
      <c r="E431" s="475"/>
      <c r="F431" s="474"/>
      <c r="G431" s="475"/>
      <c r="H431" s="474"/>
      <c r="I431" s="474"/>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row>
    <row r="432" spans="2:32">
      <c r="B432" s="471"/>
      <c r="C432" s="475"/>
      <c r="D432" s="475"/>
      <c r="E432" s="475"/>
      <c r="F432" s="474"/>
      <c r="G432" s="475"/>
      <c r="H432" s="474"/>
      <c r="I432" s="474"/>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row>
    <row r="433" spans="2:32">
      <c r="B433" s="471"/>
      <c r="C433" s="475"/>
      <c r="D433" s="475"/>
      <c r="E433" s="475"/>
      <c r="F433" s="474"/>
      <c r="G433" s="475"/>
      <c r="H433" s="474"/>
      <c r="I433" s="474"/>
      <c r="J433" s="475"/>
      <c r="K433" s="475"/>
      <c r="L433" s="475"/>
      <c r="M433" s="475"/>
      <c r="N433" s="475"/>
      <c r="O433" s="475"/>
      <c r="P433" s="475"/>
      <c r="Q433" s="475"/>
      <c r="R433" s="475"/>
      <c r="S433" s="475"/>
      <c r="T433" s="475"/>
      <c r="U433" s="475"/>
      <c r="V433" s="475"/>
      <c r="W433" s="475"/>
      <c r="X433" s="475"/>
      <c r="Y433" s="475"/>
      <c r="Z433" s="475"/>
      <c r="AA433" s="475"/>
      <c r="AB433" s="475"/>
      <c r="AC433" s="475"/>
      <c r="AD433" s="475"/>
      <c r="AE433" s="475"/>
      <c r="AF433" s="475"/>
    </row>
    <row r="434" spans="2:32">
      <c r="B434" s="471"/>
      <c r="C434" s="475"/>
      <c r="D434" s="475"/>
      <c r="E434" s="475"/>
      <c r="F434" s="474"/>
      <c r="G434" s="475"/>
      <c r="H434" s="474"/>
      <c r="I434" s="474"/>
      <c r="J434" s="475"/>
      <c r="K434" s="475"/>
      <c r="L434" s="475"/>
      <c r="M434" s="475"/>
      <c r="N434" s="475"/>
      <c r="O434" s="475"/>
      <c r="P434" s="475"/>
      <c r="Q434" s="475"/>
      <c r="R434" s="475"/>
      <c r="S434" s="475"/>
      <c r="T434" s="475"/>
      <c r="U434" s="475"/>
      <c r="V434" s="475"/>
      <c r="W434" s="475"/>
      <c r="X434" s="475"/>
      <c r="Y434" s="475"/>
      <c r="Z434" s="475"/>
      <c r="AA434" s="475"/>
      <c r="AB434" s="475"/>
      <c r="AC434" s="475"/>
      <c r="AD434" s="475"/>
      <c r="AE434" s="475"/>
      <c r="AF434" s="475"/>
    </row>
    <row r="435" spans="2:32">
      <c r="B435" s="471"/>
      <c r="C435" s="475"/>
      <c r="D435" s="475"/>
      <c r="E435" s="475"/>
      <c r="F435" s="474"/>
      <c r="G435" s="475"/>
      <c r="H435" s="474"/>
      <c r="I435" s="474"/>
      <c r="J435" s="475"/>
      <c r="K435" s="475"/>
      <c r="L435" s="475"/>
      <c r="M435" s="475"/>
      <c r="N435" s="475"/>
      <c r="O435" s="475"/>
      <c r="P435" s="475"/>
      <c r="Q435" s="475"/>
      <c r="R435" s="475"/>
      <c r="S435" s="475"/>
      <c r="T435" s="475"/>
      <c r="U435" s="475"/>
      <c r="V435" s="475"/>
      <c r="W435" s="475"/>
      <c r="X435" s="475"/>
      <c r="Y435" s="475"/>
      <c r="Z435" s="475"/>
      <c r="AA435" s="475"/>
      <c r="AB435" s="475"/>
      <c r="AC435" s="475"/>
      <c r="AD435" s="475"/>
      <c r="AE435" s="475"/>
      <c r="AF435" s="475"/>
    </row>
    <row r="436" spans="2:32">
      <c r="B436" s="471"/>
      <c r="C436" s="475"/>
      <c r="D436" s="475"/>
      <c r="E436" s="475"/>
      <c r="F436" s="474"/>
      <c r="G436" s="475"/>
      <c r="H436" s="474"/>
      <c r="I436" s="474"/>
      <c r="J436" s="475"/>
      <c r="K436" s="475"/>
      <c r="L436" s="475"/>
      <c r="M436" s="475"/>
      <c r="N436" s="475"/>
      <c r="O436" s="475"/>
      <c r="P436" s="475"/>
      <c r="Q436" s="475"/>
      <c r="R436" s="475"/>
      <c r="S436" s="475"/>
      <c r="T436" s="475"/>
      <c r="U436" s="475"/>
      <c r="V436" s="475"/>
      <c r="W436" s="475"/>
      <c r="X436" s="475"/>
      <c r="Y436" s="475"/>
      <c r="Z436" s="475"/>
      <c r="AA436" s="475"/>
      <c r="AB436" s="475"/>
      <c r="AC436" s="475"/>
      <c r="AD436" s="475"/>
      <c r="AE436" s="475"/>
      <c r="AF436" s="475"/>
    </row>
    <row r="437" spans="2:32">
      <c r="B437" s="471"/>
      <c r="C437" s="475"/>
      <c r="D437" s="475"/>
      <c r="E437" s="475"/>
      <c r="F437" s="474"/>
      <c r="G437" s="475"/>
      <c r="H437" s="474"/>
      <c r="I437" s="474"/>
      <c r="J437" s="475"/>
      <c r="K437" s="475"/>
      <c r="L437" s="475"/>
      <c r="M437" s="475"/>
      <c r="N437" s="475"/>
      <c r="O437" s="475"/>
      <c r="P437" s="475"/>
      <c r="Q437" s="475"/>
      <c r="R437" s="475"/>
      <c r="S437" s="475"/>
      <c r="T437" s="475"/>
      <c r="U437" s="475"/>
      <c r="V437" s="475"/>
      <c r="W437" s="475"/>
      <c r="X437" s="475"/>
      <c r="Y437" s="475"/>
      <c r="Z437" s="475"/>
      <c r="AA437" s="475"/>
      <c r="AB437" s="475"/>
      <c r="AC437" s="475"/>
      <c r="AD437" s="475"/>
      <c r="AE437" s="475"/>
      <c r="AF437" s="475"/>
    </row>
    <row r="438" spans="2:32">
      <c r="B438" s="471"/>
      <c r="C438" s="475"/>
      <c r="D438" s="475"/>
      <c r="E438" s="475"/>
      <c r="F438" s="474"/>
      <c r="G438" s="475"/>
      <c r="H438" s="474"/>
      <c r="I438" s="474"/>
      <c r="J438" s="475"/>
      <c r="K438" s="475"/>
      <c r="L438" s="475"/>
      <c r="M438" s="475"/>
      <c r="N438" s="475"/>
      <c r="O438" s="475"/>
      <c r="P438" s="475"/>
      <c r="Q438" s="475"/>
      <c r="R438" s="475"/>
      <c r="S438" s="475"/>
      <c r="T438" s="475"/>
      <c r="U438" s="475"/>
      <c r="V438" s="475"/>
      <c r="W438" s="475"/>
      <c r="X438" s="475"/>
      <c r="Y438" s="475"/>
      <c r="Z438" s="475"/>
      <c r="AA438" s="475"/>
      <c r="AB438" s="475"/>
      <c r="AC438" s="475"/>
      <c r="AD438" s="475"/>
      <c r="AE438" s="475"/>
      <c r="AF438" s="475"/>
    </row>
    <row r="439" spans="2:32">
      <c r="B439" s="471"/>
      <c r="C439" s="475"/>
      <c r="D439" s="475"/>
      <c r="E439" s="475"/>
      <c r="F439" s="474"/>
      <c r="G439" s="475"/>
      <c r="H439" s="474"/>
      <c r="I439" s="474"/>
      <c r="J439" s="475"/>
      <c r="K439" s="475"/>
      <c r="L439" s="475"/>
      <c r="M439" s="475"/>
      <c r="N439" s="475"/>
      <c r="O439" s="475"/>
      <c r="P439" s="475"/>
      <c r="Q439" s="475"/>
      <c r="R439" s="475"/>
      <c r="S439" s="475"/>
      <c r="T439" s="475"/>
      <c r="U439" s="475"/>
      <c r="V439" s="475"/>
      <c r="W439" s="475"/>
      <c r="X439" s="475"/>
      <c r="Y439" s="475"/>
      <c r="Z439" s="475"/>
      <c r="AA439" s="475"/>
      <c r="AB439" s="475"/>
      <c r="AC439" s="475"/>
      <c r="AD439" s="475"/>
      <c r="AE439" s="475"/>
      <c r="AF439" s="475"/>
    </row>
    <row r="440" spans="2:32">
      <c r="B440" s="471"/>
      <c r="C440" s="475"/>
      <c r="D440" s="475"/>
      <c r="E440" s="475"/>
      <c r="F440" s="474"/>
      <c r="G440" s="475"/>
      <c r="H440" s="474"/>
      <c r="I440" s="474"/>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row>
    <row r="441" spans="2:32">
      <c r="B441" s="471"/>
      <c r="C441" s="475"/>
      <c r="D441" s="475"/>
      <c r="E441" s="475"/>
      <c r="F441" s="474"/>
      <c r="G441" s="475"/>
      <c r="H441" s="474"/>
      <c r="I441" s="474"/>
      <c r="J441" s="475"/>
      <c r="K441" s="475"/>
      <c r="L441" s="475"/>
      <c r="M441" s="475"/>
      <c r="N441" s="475"/>
      <c r="O441" s="475"/>
      <c r="P441" s="475"/>
      <c r="Q441" s="475"/>
      <c r="R441" s="475"/>
      <c r="S441" s="475"/>
      <c r="T441" s="475"/>
      <c r="U441" s="475"/>
      <c r="V441" s="475"/>
      <c r="W441" s="475"/>
      <c r="X441" s="475"/>
      <c r="Y441" s="475"/>
      <c r="Z441" s="475"/>
      <c r="AA441" s="475"/>
      <c r="AB441" s="475"/>
      <c r="AC441" s="475"/>
      <c r="AD441" s="475"/>
      <c r="AE441" s="475"/>
      <c r="AF441" s="475"/>
    </row>
    <row r="442" spans="2:32">
      <c r="B442" s="471"/>
      <c r="C442" s="475"/>
      <c r="D442" s="475"/>
      <c r="E442" s="475"/>
      <c r="F442" s="474"/>
      <c r="G442" s="475"/>
      <c r="H442" s="474"/>
      <c r="I442" s="474"/>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row>
    <row r="443" spans="2:32">
      <c r="B443" s="471"/>
      <c r="C443" s="475"/>
      <c r="D443" s="475"/>
      <c r="E443" s="475"/>
      <c r="F443" s="474"/>
      <c r="G443" s="475"/>
      <c r="H443" s="474"/>
      <c r="I443" s="474"/>
      <c r="J443" s="475"/>
      <c r="K443" s="475"/>
      <c r="L443" s="475"/>
      <c r="M443" s="475"/>
      <c r="N443" s="475"/>
      <c r="O443" s="475"/>
      <c r="P443" s="475"/>
      <c r="Q443" s="475"/>
      <c r="R443" s="475"/>
      <c r="S443" s="475"/>
      <c r="T443" s="475"/>
      <c r="U443" s="475"/>
      <c r="V443" s="475"/>
      <c r="W443" s="475"/>
      <c r="X443" s="475"/>
      <c r="Y443" s="475"/>
      <c r="Z443" s="475"/>
      <c r="AA443" s="475"/>
      <c r="AB443" s="475"/>
      <c r="AC443" s="475"/>
      <c r="AD443" s="475"/>
      <c r="AE443" s="475"/>
      <c r="AF443" s="475"/>
    </row>
    <row r="444" spans="2:32">
      <c r="B444" s="471"/>
      <c r="C444" s="475"/>
      <c r="D444" s="475"/>
      <c r="E444" s="475"/>
      <c r="F444" s="474"/>
      <c r="G444" s="475"/>
      <c r="H444" s="474"/>
      <c r="I444" s="474"/>
      <c r="J444" s="475"/>
      <c r="K444" s="475"/>
      <c r="L444" s="475"/>
      <c r="M444" s="475"/>
      <c r="N444" s="475"/>
      <c r="O444" s="475"/>
      <c r="P444" s="475"/>
      <c r="Q444" s="475"/>
      <c r="R444" s="475"/>
      <c r="S444" s="475"/>
      <c r="T444" s="475"/>
      <c r="U444" s="475"/>
      <c r="V444" s="475"/>
      <c r="W444" s="475"/>
      <c r="X444" s="475"/>
      <c r="Y444" s="475"/>
      <c r="Z444" s="475"/>
      <c r="AA444" s="475"/>
      <c r="AB444" s="475"/>
      <c r="AC444" s="475"/>
      <c r="AD444" s="475"/>
      <c r="AE444" s="475"/>
      <c r="AF444" s="475"/>
    </row>
    <row r="445" spans="2:32">
      <c r="B445" s="471"/>
      <c r="C445" s="475"/>
      <c r="D445" s="475"/>
      <c r="E445" s="475"/>
      <c r="F445" s="474"/>
      <c r="G445" s="475"/>
      <c r="H445" s="474"/>
      <c r="I445" s="474"/>
      <c r="J445" s="475"/>
      <c r="K445" s="475"/>
      <c r="L445" s="475"/>
      <c r="M445" s="475"/>
      <c r="N445" s="475"/>
      <c r="O445" s="475"/>
      <c r="P445" s="475"/>
      <c r="Q445" s="475"/>
      <c r="R445" s="475"/>
      <c r="S445" s="475"/>
      <c r="T445" s="475"/>
      <c r="U445" s="475"/>
      <c r="V445" s="475"/>
      <c r="W445" s="475"/>
      <c r="X445" s="475"/>
      <c r="Y445" s="475"/>
      <c r="Z445" s="475"/>
      <c r="AA445" s="475"/>
      <c r="AB445" s="475"/>
      <c r="AC445" s="475"/>
      <c r="AD445" s="475"/>
      <c r="AE445" s="475"/>
      <c r="AF445" s="475"/>
    </row>
    <row r="446" spans="2:32">
      <c r="B446" s="471"/>
      <c r="C446" s="475"/>
      <c r="D446" s="475"/>
      <c r="E446" s="475"/>
      <c r="F446" s="474"/>
      <c r="G446" s="475"/>
      <c r="H446" s="474"/>
      <c r="I446" s="474"/>
      <c r="J446" s="475"/>
      <c r="K446" s="475"/>
      <c r="L446" s="475"/>
      <c r="M446" s="475"/>
      <c r="N446" s="475"/>
      <c r="O446" s="475"/>
      <c r="P446" s="475"/>
      <c r="Q446" s="475"/>
      <c r="R446" s="475"/>
      <c r="S446" s="475"/>
      <c r="T446" s="475"/>
      <c r="U446" s="475"/>
      <c r="V446" s="475"/>
      <c r="W446" s="475"/>
      <c r="X446" s="475"/>
      <c r="Y446" s="475"/>
      <c r="Z446" s="475"/>
      <c r="AA446" s="475"/>
      <c r="AB446" s="475"/>
      <c r="AC446" s="475"/>
      <c r="AD446" s="475"/>
      <c r="AE446" s="475"/>
      <c r="AF446" s="475"/>
    </row>
    <row r="447" spans="2:32">
      <c r="B447" s="471"/>
      <c r="C447" s="475"/>
      <c r="D447" s="475"/>
      <c r="E447" s="475"/>
      <c r="F447" s="474"/>
      <c r="G447" s="475"/>
      <c r="H447" s="474"/>
      <c r="I447" s="474"/>
      <c r="J447" s="475"/>
      <c r="K447" s="475"/>
      <c r="L447" s="475"/>
      <c r="M447" s="475"/>
      <c r="N447" s="475"/>
      <c r="O447" s="475"/>
      <c r="P447" s="475"/>
      <c r="Q447" s="475"/>
      <c r="R447" s="475"/>
      <c r="S447" s="475"/>
      <c r="T447" s="475"/>
      <c r="U447" s="475"/>
      <c r="V447" s="475"/>
      <c r="W447" s="475"/>
      <c r="X447" s="475"/>
      <c r="Y447" s="475"/>
      <c r="Z447" s="475"/>
      <c r="AA447" s="475"/>
      <c r="AB447" s="475"/>
      <c r="AC447" s="475"/>
      <c r="AD447" s="475"/>
      <c r="AE447" s="475"/>
      <c r="AF447" s="475"/>
    </row>
    <row r="448" spans="2:32">
      <c r="B448" s="471"/>
      <c r="C448" s="475"/>
      <c r="D448" s="475"/>
      <c r="E448" s="475"/>
      <c r="F448" s="474"/>
      <c r="G448" s="475"/>
      <c r="H448" s="474"/>
      <c r="I448" s="474"/>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row>
    <row r="449" spans="2:32">
      <c r="B449" s="471"/>
      <c r="C449" s="475"/>
      <c r="D449" s="475"/>
      <c r="E449" s="475"/>
      <c r="F449" s="474"/>
      <c r="G449" s="475"/>
      <c r="H449" s="474"/>
      <c r="I449" s="474"/>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75"/>
    </row>
    <row r="450" spans="2:32">
      <c r="B450" s="471"/>
      <c r="C450" s="475"/>
      <c r="D450" s="475"/>
      <c r="E450" s="475"/>
      <c r="F450" s="474"/>
      <c r="G450" s="475"/>
      <c r="H450" s="474"/>
      <c r="I450" s="474"/>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75"/>
    </row>
    <row r="451" spans="2:32">
      <c r="B451" s="471"/>
      <c r="C451" s="475"/>
      <c r="D451" s="475"/>
      <c r="E451" s="475"/>
      <c r="F451" s="474"/>
      <c r="G451" s="475"/>
      <c r="H451" s="474"/>
      <c r="I451" s="474"/>
      <c r="J451" s="475"/>
      <c r="K451" s="475"/>
      <c r="L451" s="475"/>
      <c r="M451" s="475"/>
      <c r="N451" s="475"/>
      <c r="O451" s="475"/>
      <c r="P451" s="475"/>
      <c r="Q451" s="475"/>
      <c r="R451" s="475"/>
      <c r="S451" s="475"/>
      <c r="T451" s="475"/>
      <c r="U451" s="475"/>
      <c r="V451" s="475"/>
      <c r="W451" s="475"/>
      <c r="X451" s="475"/>
      <c r="Y451" s="475"/>
      <c r="Z451" s="475"/>
      <c r="AA451" s="475"/>
      <c r="AB451" s="475"/>
      <c r="AC451" s="475"/>
      <c r="AD451" s="475"/>
      <c r="AE451" s="475"/>
      <c r="AF451" s="475"/>
    </row>
    <row r="452" spans="2:32">
      <c r="B452" s="471"/>
      <c r="C452" s="475"/>
      <c r="D452" s="475"/>
      <c r="E452" s="475"/>
      <c r="F452" s="474"/>
      <c r="G452" s="475"/>
      <c r="H452" s="474"/>
      <c r="I452" s="474"/>
      <c r="J452" s="475"/>
      <c r="K452" s="475"/>
      <c r="L452" s="475"/>
      <c r="M452" s="475"/>
      <c r="N452" s="475"/>
      <c r="O452" s="475"/>
      <c r="P452" s="475"/>
      <c r="Q452" s="475"/>
      <c r="R452" s="475"/>
      <c r="S452" s="475"/>
      <c r="T452" s="475"/>
      <c r="U452" s="475"/>
      <c r="V452" s="475"/>
      <c r="W452" s="475"/>
      <c r="X452" s="475"/>
      <c r="Y452" s="475"/>
      <c r="Z452" s="475"/>
      <c r="AA452" s="475"/>
      <c r="AB452" s="475"/>
      <c r="AC452" s="475"/>
      <c r="AD452" s="475"/>
      <c r="AE452" s="475"/>
      <c r="AF452" s="475"/>
    </row>
    <row r="453" spans="2:32">
      <c r="B453" s="471"/>
      <c r="C453" s="475"/>
      <c r="D453" s="475"/>
      <c r="E453" s="475"/>
      <c r="F453" s="474"/>
      <c r="G453" s="475"/>
      <c r="H453" s="474"/>
      <c r="I453" s="474"/>
      <c r="J453" s="475"/>
      <c r="K453" s="475"/>
      <c r="L453" s="475"/>
      <c r="M453" s="475"/>
      <c r="N453" s="475"/>
      <c r="O453" s="475"/>
      <c r="P453" s="475"/>
      <c r="Q453" s="475"/>
      <c r="R453" s="475"/>
      <c r="S453" s="475"/>
      <c r="T453" s="475"/>
      <c r="U453" s="475"/>
      <c r="V453" s="475"/>
      <c r="W453" s="475"/>
      <c r="X453" s="475"/>
      <c r="Y453" s="475"/>
      <c r="Z453" s="475"/>
      <c r="AA453" s="475"/>
      <c r="AB453" s="475"/>
      <c r="AC453" s="475"/>
      <c r="AD453" s="475"/>
      <c r="AE453" s="475"/>
      <c r="AF453" s="475"/>
    </row>
    <row r="454" spans="2:32">
      <c r="B454" s="471"/>
      <c r="C454" s="475"/>
      <c r="D454" s="475"/>
      <c r="E454" s="475"/>
      <c r="F454" s="474"/>
      <c r="G454" s="475"/>
      <c r="H454" s="474"/>
      <c r="I454" s="474"/>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5"/>
      <c r="AF454" s="475"/>
    </row>
    <row r="455" spans="2:32">
      <c r="B455" s="471"/>
      <c r="C455" s="475"/>
      <c r="D455" s="475"/>
      <c r="E455" s="475"/>
      <c r="F455" s="474"/>
      <c r="G455" s="475"/>
      <c r="H455" s="474"/>
      <c r="I455" s="474"/>
      <c r="J455" s="475"/>
      <c r="K455" s="475"/>
      <c r="L455" s="475"/>
      <c r="M455" s="475"/>
      <c r="N455" s="475"/>
      <c r="O455" s="475"/>
      <c r="P455" s="475"/>
      <c r="Q455" s="475"/>
      <c r="R455" s="475"/>
      <c r="S455" s="475"/>
      <c r="T455" s="475"/>
      <c r="U455" s="475"/>
      <c r="V455" s="475"/>
      <c r="W455" s="475"/>
      <c r="X455" s="475"/>
      <c r="Y455" s="475"/>
      <c r="Z455" s="475"/>
      <c r="AA455" s="475"/>
      <c r="AB455" s="475"/>
      <c r="AC455" s="475"/>
      <c r="AD455" s="475"/>
      <c r="AE455" s="475"/>
      <c r="AF455" s="475"/>
    </row>
    <row r="456" spans="2:32">
      <c r="B456" s="471"/>
      <c r="C456" s="475"/>
      <c r="D456" s="475"/>
      <c r="E456" s="475"/>
      <c r="F456" s="474"/>
      <c r="G456" s="475"/>
      <c r="H456" s="474"/>
      <c r="I456" s="474"/>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row>
    <row r="457" spans="2:32">
      <c r="B457" s="471"/>
      <c r="C457" s="475"/>
      <c r="D457" s="475"/>
      <c r="E457" s="475"/>
      <c r="F457" s="474"/>
      <c r="G457" s="475"/>
      <c r="H457" s="474"/>
      <c r="I457" s="474"/>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row>
    <row r="458" spans="2:32">
      <c r="B458" s="471"/>
      <c r="C458" s="475"/>
      <c r="D458" s="475"/>
      <c r="E458" s="475"/>
      <c r="F458" s="474"/>
      <c r="G458" s="475"/>
      <c r="H458" s="474"/>
      <c r="I458" s="474"/>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475"/>
      <c r="AF458" s="475"/>
    </row>
    <row r="459" spans="2:32">
      <c r="B459" s="471"/>
      <c r="C459" s="475"/>
      <c r="D459" s="475"/>
      <c r="E459" s="475"/>
      <c r="F459" s="474"/>
      <c r="G459" s="475"/>
      <c r="H459" s="474"/>
      <c r="I459" s="474"/>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475"/>
      <c r="AF459" s="475"/>
    </row>
    <row r="460" spans="2:32">
      <c r="B460" s="471"/>
      <c r="C460" s="475"/>
      <c r="D460" s="475"/>
      <c r="E460" s="475"/>
      <c r="F460" s="474"/>
      <c r="G460" s="475"/>
      <c r="H460" s="474"/>
      <c r="I460" s="474"/>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row>
    <row r="461" spans="2:32">
      <c r="B461" s="471"/>
      <c r="C461" s="475"/>
      <c r="D461" s="475"/>
      <c r="E461" s="475"/>
      <c r="F461" s="474"/>
      <c r="G461" s="475"/>
      <c r="H461" s="474"/>
      <c r="I461" s="474"/>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row>
    <row r="462" spans="2:32">
      <c r="B462" s="471"/>
      <c r="C462" s="475"/>
      <c r="D462" s="475"/>
      <c r="E462" s="475"/>
      <c r="F462" s="474"/>
      <c r="G462" s="475"/>
      <c r="H462" s="474"/>
      <c r="I462" s="474"/>
      <c r="J462" s="475"/>
      <c r="K462" s="475"/>
      <c r="L462" s="475"/>
      <c r="M462" s="475"/>
      <c r="N462" s="475"/>
      <c r="O462" s="475"/>
      <c r="P462" s="475"/>
      <c r="Q462" s="475"/>
      <c r="R462" s="475"/>
      <c r="S462" s="475"/>
      <c r="T462" s="475"/>
      <c r="U462" s="475"/>
      <c r="V462" s="475"/>
      <c r="W462" s="475"/>
      <c r="X462" s="475"/>
      <c r="Y462" s="475"/>
      <c r="Z462" s="475"/>
      <c r="AA462" s="475"/>
      <c r="AB462" s="475"/>
      <c r="AC462" s="475"/>
      <c r="AD462" s="475"/>
      <c r="AE462" s="475"/>
      <c r="AF462" s="475"/>
    </row>
    <row r="463" spans="2:32">
      <c r="B463" s="471"/>
      <c r="C463" s="475"/>
      <c r="D463" s="475"/>
      <c r="E463" s="475"/>
      <c r="F463" s="474"/>
      <c r="G463" s="475"/>
      <c r="H463" s="474"/>
      <c r="I463" s="474"/>
      <c r="J463" s="475"/>
      <c r="K463" s="475"/>
      <c r="L463" s="475"/>
      <c r="M463" s="475"/>
      <c r="N463" s="475"/>
      <c r="O463" s="475"/>
      <c r="P463" s="475"/>
      <c r="Q463" s="475"/>
      <c r="R463" s="475"/>
      <c r="S463" s="475"/>
      <c r="T463" s="475"/>
      <c r="U463" s="475"/>
      <c r="V463" s="475"/>
      <c r="W463" s="475"/>
      <c r="X463" s="475"/>
      <c r="Y463" s="475"/>
      <c r="Z463" s="475"/>
      <c r="AA463" s="475"/>
      <c r="AB463" s="475"/>
      <c r="AC463" s="475"/>
      <c r="AD463" s="475"/>
      <c r="AE463" s="475"/>
      <c r="AF463" s="475"/>
    </row>
    <row r="464" spans="2:32">
      <c r="B464" s="471"/>
      <c r="C464" s="475"/>
      <c r="D464" s="475"/>
      <c r="E464" s="475"/>
      <c r="F464" s="474"/>
      <c r="G464" s="475"/>
      <c r="H464" s="474"/>
      <c r="I464" s="474"/>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row>
    <row r="465" spans="2:32">
      <c r="B465" s="471"/>
      <c r="C465" s="475"/>
      <c r="D465" s="475"/>
      <c r="E465" s="475"/>
      <c r="F465" s="474"/>
      <c r="G465" s="475"/>
      <c r="H465" s="474"/>
      <c r="I465" s="474"/>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row>
    <row r="466" spans="2:32">
      <c r="B466" s="471"/>
      <c r="C466" s="475"/>
      <c r="D466" s="475"/>
      <c r="E466" s="475"/>
      <c r="F466" s="474"/>
      <c r="G466" s="475"/>
      <c r="H466" s="474"/>
      <c r="I466" s="474"/>
      <c r="J466" s="475"/>
      <c r="K466" s="475"/>
      <c r="L466" s="475"/>
      <c r="M466" s="475"/>
      <c r="N466" s="475"/>
      <c r="O466" s="475"/>
      <c r="P466" s="475"/>
      <c r="Q466" s="475"/>
      <c r="R466" s="475"/>
      <c r="S466" s="475"/>
      <c r="T466" s="475"/>
      <c r="U466" s="475"/>
      <c r="V466" s="475"/>
      <c r="W466" s="475"/>
      <c r="X466" s="475"/>
      <c r="Y466" s="475"/>
      <c r="Z466" s="475"/>
      <c r="AA466" s="475"/>
      <c r="AB466" s="475"/>
      <c r="AC466" s="475"/>
      <c r="AD466" s="475"/>
      <c r="AE466" s="475"/>
      <c r="AF466" s="475"/>
    </row>
    <row r="467" spans="2:32">
      <c r="B467" s="471"/>
      <c r="C467" s="475"/>
      <c r="D467" s="475"/>
      <c r="E467" s="475"/>
      <c r="F467" s="474"/>
      <c r="G467" s="475"/>
      <c r="H467" s="474"/>
      <c r="I467" s="474"/>
      <c r="J467" s="475"/>
      <c r="K467" s="475"/>
      <c r="L467" s="475"/>
      <c r="M467" s="475"/>
      <c r="N467" s="475"/>
      <c r="O467" s="475"/>
      <c r="P467" s="475"/>
      <c r="Q467" s="475"/>
      <c r="R467" s="475"/>
      <c r="S467" s="475"/>
      <c r="T467" s="475"/>
      <c r="U467" s="475"/>
      <c r="V467" s="475"/>
      <c r="W467" s="475"/>
      <c r="X467" s="475"/>
      <c r="Y467" s="475"/>
      <c r="Z467" s="475"/>
      <c r="AA467" s="475"/>
      <c r="AB467" s="475"/>
      <c r="AC467" s="475"/>
      <c r="AD467" s="475"/>
      <c r="AE467" s="475"/>
      <c r="AF467" s="475"/>
    </row>
    <row r="468" spans="2:32">
      <c r="B468" s="471"/>
      <c r="C468" s="475"/>
      <c r="D468" s="475"/>
      <c r="E468" s="475"/>
      <c r="F468" s="474"/>
      <c r="G468" s="475"/>
      <c r="H468" s="474"/>
      <c r="I468" s="474"/>
      <c r="J468" s="475"/>
      <c r="K468" s="475"/>
      <c r="L468" s="475"/>
      <c r="M468" s="475"/>
      <c r="N468" s="475"/>
      <c r="O468" s="475"/>
      <c r="P468" s="475"/>
      <c r="Q468" s="475"/>
      <c r="R468" s="475"/>
      <c r="S468" s="475"/>
      <c r="T468" s="475"/>
      <c r="U468" s="475"/>
      <c r="V468" s="475"/>
      <c r="W468" s="475"/>
      <c r="X468" s="475"/>
      <c r="Y468" s="475"/>
      <c r="Z468" s="475"/>
      <c r="AA468" s="475"/>
      <c r="AB468" s="475"/>
      <c r="AC468" s="475"/>
      <c r="AD468" s="475"/>
      <c r="AE468" s="475"/>
      <c r="AF468" s="475"/>
    </row>
    <row r="469" spans="2:32">
      <c r="B469" s="471"/>
      <c r="C469" s="475"/>
      <c r="D469" s="475"/>
      <c r="E469" s="475"/>
      <c r="F469" s="474"/>
      <c r="G469" s="475"/>
      <c r="H469" s="474"/>
      <c r="I469" s="474"/>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row>
    <row r="470" spans="2:32">
      <c r="B470" s="471"/>
      <c r="C470" s="475"/>
      <c r="D470" s="475"/>
      <c r="E470" s="475"/>
      <c r="F470" s="474"/>
      <c r="G470" s="475"/>
      <c r="H470" s="474"/>
      <c r="I470" s="474"/>
      <c r="J470" s="475"/>
      <c r="K470" s="475"/>
      <c r="L470" s="475"/>
      <c r="M470" s="475"/>
      <c r="N470" s="475"/>
      <c r="O470" s="475"/>
      <c r="P470" s="475"/>
      <c r="Q470" s="475"/>
      <c r="R470" s="475"/>
      <c r="S470" s="475"/>
      <c r="T470" s="475"/>
      <c r="U470" s="475"/>
      <c r="V470" s="475"/>
      <c r="W470" s="475"/>
      <c r="X470" s="475"/>
      <c r="Y470" s="475"/>
      <c r="Z470" s="475"/>
      <c r="AA470" s="475"/>
      <c r="AB470" s="475"/>
      <c r="AC470" s="475"/>
      <c r="AD470" s="475"/>
      <c r="AE470" s="475"/>
      <c r="AF470" s="475"/>
    </row>
    <row r="471" spans="2:32">
      <c r="B471" s="471"/>
      <c r="C471" s="475"/>
      <c r="D471" s="475"/>
      <c r="E471" s="475"/>
      <c r="F471" s="474"/>
      <c r="G471" s="475"/>
      <c r="H471" s="474"/>
      <c r="I471" s="474"/>
      <c r="J471" s="475"/>
      <c r="K471" s="475"/>
      <c r="L471" s="475"/>
      <c r="M471" s="475"/>
      <c r="N471" s="475"/>
      <c r="O471" s="475"/>
      <c r="P471" s="475"/>
      <c r="Q471" s="475"/>
      <c r="R471" s="475"/>
      <c r="S471" s="475"/>
      <c r="T471" s="475"/>
      <c r="U471" s="475"/>
      <c r="V471" s="475"/>
      <c r="W471" s="475"/>
      <c r="X471" s="475"/>
      <c r="Y471" s="475"/>
      <c r="Z471" s="475"/>
      <c r="AA471" s="475"/>
      <c r="AB471" s="475"/>
      <c r="AC471" s="475"/>
      <c r="AD471" s="475"/>
      <c r="AE471" s="475"/>
      <c r="AF471" s="475"/>
    </row>
    <row r="472" spans="2:32">
      <c r="B472" s="471"/>
      <c r="C472" s="475"/>
      <c r="D472" s="475"/>
      <c r="E472" s="475"/>
      <c r="F472" s="474"/>
      <c r="G472" s="475"/>
      <c r="H472" s="474"/>
      <c r="I472" s="474"/>
      <c r="J472" s="475"/>
      <c r="K472" s="475"/>
      <c r="L472" s="475"/>
      <c r="M472" s="475"/>
      <c r="N472" s="475"/>
      <c r="O472" s="475"/>
      <c r="P472" s="475"/>
      <c r="Q472" s="475"/>
      <c r="R472" s="475"/>
      <c r="S472" s="475"/>
      <c r="T472" s="475"/>
      <c r="U472" s="475"/>
      <c r="V472" s="475"/>
      <c r="W472" s="475"/>
      <c r="X472" s="475"/>
      <c r="Y472" s="475"/>
      <c r="Z472" s="475"/>
      <c r="AA472" s="475"/>
      <c r="AB472" s="475"/>
      <c r="AC472" s="475"/>
      <c r="AD472" s="475"/>
      <c r="AE472" s="475"/>
      <c r="AF472" s="475"/>
    </row>
    <row r="473" spans="2:32">
      <c r="B473" s="471"/>
      <c r="C473" s="475"/>
      <c r="D473" s="475"/>
      <c r="E473" s="475"/>
      <c r="F473" s="474"/>
      <c r="G473" s="475"/>
      <c r="H473" s="474"/>
      <c r="I473" s="474"/>
      <c r="J473" s="475"/>
      <c r="K473" s="475"/>
      <c r="L473" s="475"/>
      <c r="M473" s="475"/>
      <c r="N473" s="475"/>
      <c r="O473" s="475"/>
      <c r="P473" s="475"/>
      <c r="Q473" s="475"/>
      <c r="R473" s="475"/>
      <c r="S473" s="475"/>
      <c r="T473" s="475"/>
      <c r="U473" s="475"/>
      <c r="V473" s="475"/>
      <c r="W473" s="475"/>
      <c r="X473" s="475"/>
      <c r="Y473" s="475"/>
      <c r="Z473" s="475"/>
      <c r="AA473" s="475"/>
      <c r="AB473" s="475"/>
      <c r="AC473" s="475"/>
      <c r="AD473" s="475"/>
      <c r="AE473" s="475"/>
      <c r="AF473" s="475"/>
    </row>
    <row r="474" spans="2:32">
      <c r="B474" s="471"/>
      <c r="C474" s="475"/>
      <c r="D474" s="475"/>
      <c r="E474" s="475"/>
      <c r="F474" s="474"/>
      <c r="G474" s="475"/>
      <c r="H474" s="474"/>
      <c r="I474" s="474"/>
      <c r="J474" s="475"/>
      <c r="K474" s="475"/>
      <c r="L474" s="475"/>
      <c r="M474" s="475"/>
      <c r="N474" s="475"/>
      <c r="O474" s="475"/>
      <c r="P474" s="475"/>
      <c r="Q474" s="475"/>
      <c r="R474" s="475"/>
      <c r="S474" s="475"/>
      <c r="T474" s="475"/>
      <c r="U474" s="475"/>
      <c r="V474" s="475"/>
      <c r="W474" s="475"/>
      <c r="X474" s="475"/>
      <c r="Y474" s="475"/>
      <c r="Z474" s="475"/>
      <c r="AA474" s="475"/>
      <c r="AB474" s="475"/>
      <c r="AC474" s="475"/>
      <c r="AD474" s="475"/>
      <c r="AE474" s="475"/>
      <c r="AF474" s="475"/>
    </row>
    <row r="475" spans="2:32">
      <c r="B475" s="471"/>
      <c r="C475" s="475"/>
      <c r="D475" s="475"/>
      <c r="E475" s="475"/>
      <c r="F475" s="474"/>
      <c r="G475" s="475"/>
      <c r="H475" s="474"/>
      <c r="I475" s="474"/>
      <c r="J475" s="475"/>
      <c r="K475" s="475"/>
      <c r="L475" s="475"/>
      <c r="M475" s="475"/>
      <c r="N475" s="475"/>
      <c r="O475" s="475"/>
      <c r="P475" s="475"/>
      <c r="Q475" s="475"/>
      <c r="R475" s="475"/>
      <c r="S475" s="475"/>
      <c r="T475" s="475"/>
      <c r="U475" s="475"/>
      <c r="V475" s="475"/>
      <c r="W475" s="475"/>
      <c r="X475" s="475"/>
      <c r="Y475" s="475"/>
      <c r="Z475" s="475"/>
      <c r="AA475" s="475"/>
      <c r="AB475" s="475"/>
      <c r="AC475" s="475"/>
      <c r="AD475" s="475"/>
      <c r="AE475" s="475"/>
      <c r="AF475" s="475"/>
    </row>
    <row r="476" spans="2:32">
      <c r="B476" s="471"/>
      <c r="C476" s="475"/>
      <c r="D476" s="475"/>
      <c r="E476" s="475"/>
      <c r="F476" s="474"/>
      <c r="G476" s="475"/>
      <c r="H476" s="474"/>
      <c r="I476" s="474"/>
      <c r="J476" s="475"/>
      <c r="K476" s="475"/>
      <c r="L476" s="475"/>
      <c r="M476" s="475"/>
      <c r="N476" s="475"/>
      <c r="O476" s="475"/>
      <c r="P476" s="475"/>
      <c r="Q476" s="475"/>
      <c r="R476" s="475"/>
      <c r="S476" s="475"/>
      <c r="T476" s="475"/>
      <c r="U476" s="475"/>
      <c r="V476" s="475"/>
      <c r="W476" s="475"/>
      <c r="X476" s="475"/>
      <c r="Y476" s="475"/>
      <c r="Z476" s="475"/>
      <c r="AA476" s="475"/>
      <c r="AB476" s="475"/>
      <c r="AC476" s="475"/>
      <c r="AD476" s="475"/>
      <c r="AE476" s="475"/>
      <c r="AF476" s="475"/>
    </row>
    <row r="477" spans="2:32">
      <c r="B477" s="471"/>
      <c r="C477" s="475"/>
      <c r="D477" s="475"/>
      <c r="E477" s="475"/>
      <c r="F477" s="474"/>
      <c r="G477" s="475"/>
      <c r="H477" s="474"/>
      <c r="I477" s="474"/>
      <c r="J477" s="475"/>
      <c r="K477" s="475"/>
      <c r="L477" s="475"/>
      <c r="M477" s="475"/>
      <c r="N477" s="475"/>
      <c r="O477" s="475"/>
      <c r="P477" s="475"/>
      <c r="Q477" s="475"/>
      <c r="R477" s="475"/>
      <c r="S477" s="475"/>
      <c r="T477" s="475"/>
      <c r="U477" s="475"/>
      <c r="V477" s="475"/>
      <c r="W477" s="475"/>
      <c r="X477" s="475"/>
      <c r="Y477" s="475"/>
      <c r="Z477" s="475"/>
      <c r="AA477" s="475"/>
      <c r="AB477" s="475"/>
      <c r="AC477" s="475"/>
      <c r="AD477" s="475"/>
      <c r="AE477" s="475"/>
      <c r="AF477" s="475"/>
    </row>
    <row r="478" spans="2:32">
      <c r="B478" s="471"/>
      <c r="C478" s="475"/>
      <c r="D478" s="475"/>
      <c r="E478" s="475"/>
      <c r="F478" s="474"/>
      <c r="G478" s="475"/>
      <c r="H478" s="474"/>
      <c r="I478" s="474"/>
      <c r="J478" s="475"/>
      <c r="K478" s="475"/>
      <c r="L478" s="475"/>
      <c r="M478" s="475"/>
      <c r="N478" s="475"/>
      <c r="O478" s="475"/>
      <c r="P478" s="475"/>
      <c r="Q478" s="475"/>
      <c r="R478" s="475"/>
      <c r="S478" s="475"/>
      <c r="T478" s="475"/>
      <c r="U478" s="475"/>
      <c r="V478" s="475"/>
      <c r="W478" s="475"/>
      <c r="X478" s="475"/>
      <c r="Y478" s="475"/>
      <c r="Z478" s="475"/>
      <c r="AA478" s="475"/>
      <c r="AB478" s="475"/>
      <c r="AC478" s="475"/>
      <c r="AD478" s="475"/>
      <c r="AE478" s="475"/>
      <c r="AF478" s="475"/>
    </row>
    <row r="479" spans="2:32">
      <c r="B479" s="471"/>
      <c r="C479" s="475"/>
      <c r="D479" s="475"/>
      <c r="E479" s="475"/>
      <c r="F479" s="474"/>
      <c r="G479" s="475"/>
      <c r="H479" s="474"/>
      <c r="I479" s="474"/>
      <c r="J479" s="475"/>
      <c r="K479" s="475"/>
      <c r="L479" s="475"/>
      <c r="M479" s="475"/>
      <c r="N479" s="475"/>
      <c r="O479" s="475"/>
      <c r="P479" s="475"/>
      <c r="Q479" s="475"/>
      <c r="R479" s="475"/>
      <c r="S479" s="475"/>
      <c r="T479" s="475"/>
      <c r="U479" s="475"/>
      <c r="V479" s="475"/>
      <c r="W479" s="475"/>
      <c r="X479" s="475"/>
      <c r="Y479" s="475"/>
      <c r="Z479" s="475"/>
      <c r="AA479" s="475"/>
      <c r="AB479" s="475"/>
      <c r="AC479" s="475"/>
      <c r="AD479" s="475"/>
      <c r="AE479" s="475"/>
      <c r="AF479" s="475"/>
    </row>
    <row r="480" spans="2:32">
      <c r="B480" s="471"/>
      <c r="C480" s="475"/>
      <c r="D480" s="475"/>
      <c r="E480" s="475"/>
      <c r="F480" s="474"/>
      <c r="G480" s="475"/>
      <c r="H480" s="474"/>
      <c r="I480" s="474"/>
      <c r="J480" s="475"/>
      <c r="K480" s="475"/>
      <c r="L480" s="475"/>
      <c r="M480" s="475"/>
      <c r="N480" s="475"/>
      <c r="O480" s="475"/>
      <c r="P480" s="475"/>
      <c r="Q480" s="475"/>
      <c r="R480" s="475"/>
      <c r="S480" s="475"/>
      <c r="T480" s="475"/>
      <c r="U480" s="475"/>
      <c r="V480" s="475"/>
      <c r="W480" s="475"/>
      <c r="X480" s="475"/>
      <c r="Y480" s="475"/>
      <c r="Z480" s="475"/>
      <c r="AA480" s="475"/>
      <c r="AB480" s="475"/>
      <c r="AC480" s="475"/>
      <c r="AD480" s="475"/>
      <c r="AE480" s="475"/>
      <c r="AF480" s="475"/>
    </row>
    <row r="481" spans="2:32">
      <c r="B481" s="471"/>
      <c r="C481" s="475"/>
      <c r="D481" s="475"/>
      <c r="E481" s="475"/>
      <c r="F481" s="474"/>
      <c r="G481" s="475"/>
      <c r="H481" s="474"/>
      <c r="I481" s="474"/>
      <c r="J481" s="475"/>
      <c r="K481" s="475"/>
      <c r="L481" s="475"/>
      <c r="M481" s="475"/>
      <c r="N481" s="475"/>
      <c r="O481" s="475"/>
      <c r="P481" s="475"/>
      <c r="Q481" s="475"/>
      <c r="R481" s="475"/>
      <c r="S481" s="475"/>
      <c r="T481" s="475"/>
      <c r="U481" s="475"/>
      <c r="V481" s="475"/>
      <c r="W481" s="475"/>
      <c r="X481" s="475"/>
      <c r="Y481" s="475"/>
      <c r="Z481" s="475"/>
      <c r="AA481" s="475"/>
      <c r="AB481" s="475"/>
      <c r="AC481" s="475"/>
      <c r="AD481" s="475"/>
      <c r="AE481" s="475"/>
      <c r="AF481" s="475"/>
    </row>
    <row r="482" spans="2:32">
      <c r="B482" s="471"/>
      <c r="C482" s="475"/>
      <c r="D482" s="475"/>
      <c r="E482" s="475"/>
      <c r="F482" s="474"/>
      <c r="G482" s="475"/>
      <c r="H482" s="474"/>
      <c r="I482" s="474"/>
      <c r="J482" s="475"/>
      <c r="K482" s="475"/>
      <c r="L482" s="475"/>
      <c r="M482" s="475"/>
      <c r="N482" s="475"/>
      <c r="O482" s="475"/>
      <c r="P482" s="475"/>
      <c r="Q482" s="475"/>
      <c r="R482" s="475"/>
      <c r="S482" s="475"/>
      <c r="T482" s="475"/>
      <c r="U482" s="475"/>
      <c r="V482" s="475"/>
      <c r="W482" s="475"/>
      <c r="X482" s="475"/>
      <c r="Y482" s="475"/>
      <c r="Z482" s="475"/>
      <c r="AA482" s="475"/>
      <c r="AB482" s="475"/>
      <c r="AC482" s="475"/>
      <c r="AD482" s="475"/>
      <c r="AE482" s="475"/>
      <c r="AF482" s="475"/>
    </row>
    <row r="483" spans="2:32">
      <c r="B483" s="471"/>
      <c r="C483" s="475"/>
      <c r="D483" s="475"/>
      <c r="E483" s="475"/>
      <c r="F483" s="474"/>
      <c r="G483" s="475"/>
      <c r="H483" s="474"/>
      <c r="I483" s="474"/>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row>
    <row r="484" spans="2:32">
      <c r="B484" s="471"/>
      <c r="C484" s="475"/>
      <c r="D484" s="475"/>
      <c r="E484" s="475"/>
      <c r="F484" s="474"/>
      <c r="G484" s="475"/>
      <c r="H484" s="474"/>
      <c r="I484" s="474"/>
      <c r="J484" s="475"/>
      <c r="K484" s="475"/>
      <c r="L484" s="475"/>
      <c r="M484" s="475"/>
      <c r="N484" s="475"/>
      <c r="O484" s="475"/>
      <c r="P484" s="475"/>
      <c r="Q484" s="475"/>
      <c r="R484" s="475"/>
      <c r="S484" s="475"/>
      <c r="T484" s="475"/>
      <c r="U484" s="475"/>
      <c r="V484" s="475"/>
      <c r="W484" s="475"/>
      <c r="X484" s="475"/>
      <c r="Y484" s="475"/>
      <c r="Z484" s="475"/>
      <c r="AA484" s="475"/>
      <c r="AB484" s="475"/>
      <c r="AC484" s="475"/>
      <c r="AD484" s="475"/>
      <c r="AE484" s="475"/>
      <c r="AF484" s="475"/>
    </row>
    <row r="485" spans="2:32">
      <c r="B485" s="471"/>
      <c r="C485" s="475"/>
      <c r="D485" s="475"/>
      <c r="E485" s="475"/>
      <c r="F485" s="474"/>
      <c r="G485" s="475"/>
      <c r="H485" s="474"/>
      <c r="I485" s="474"/>
      <c r="J485" s="475"/>
      <c r="K485" s="475"/>
      <c r="L485" s="475"/>
      <c r="M485" s="475"/>
      <c r="N485" s="475"/>
      <c r="O485" s="475"/>
      <c r="P485" s="475"/>
      <c r="Q485" s="475"/>
      <c r="R485" s="475"/>
      <c r="S485" s="475"/>
      <c r="T485" s="475"/>
      <c r="U485" s="475"/>
      <c r="V485" s="475"/>
      <c r="W485" s="475"/>
      <c r="X485" s="475"/>
      <c r="Y485" s="475"/>
      <c r="Z485" s="475"/>
      <c r="AA485" s="475"/>
      <c r="AB485" s="475"/>
      <c r="AC485" s="475"/>
      <c r="AD485" s="475"/>
      <c r="AE485" s="475"/>
      <c r="AF485" s="475"/>
    </row>
    <row r="486" spans="2:32">
      <c r="B486" s="471"/>
      <c r="C486" s="475"/>
      <c r="D486" s="475"/>
      <c r="E486" s="475"/>
      <c r="F486" s="474"/>
      <c r="G486" s="475"/>
      <c r="H486" s="474"/>
      <c r="I486" s="474"/>
      <c r="J486" s="475"/>
      <c r="K486" s="475"/>
      <c r="L486" s="475"/>
      <c r="M486" s="475"/>
      <c r="N486" s="475"/>
      <c r="O486" s="475"/>
      <c r="P486" s="475"/>
      <c r="Q486" s="475"/>
      <c r="R486" s="475"/>
      <c r="S486" s="475"/>
      <c r="T486" s="475"/>
      <c r="U486" s="475"/>
      <c r="V486" s="475"/>
      <c r="W486" s="475"/>
      <c r="X486" s="475"/>
      <c r="Y486" s="475"/>
      <c r="Z486" s="475"/>
      <c r="AA486" s="475"/>
      <c r="AB486" s="475"/>
      <c r="AC486" s="475"/>
      <c r="AD486" s="475"/>
      <c r="AE486" s="475"/>
      <c r="AF486" s="475"/>
    </row>
    <row r="487" spans="2:32">
      <c r="B487" s="471"/>
      <c r="C487" s="475"/>
      <c r="D487" s="475"/>
      <c r="E487" s="475"/>
      <c r="F487" s="474"/>
      <c r="G487" s="475"/>
      <c r="H487" s="474"/>
      <c r="I487" s="474"/>
      <c r="J487" s="475"/>
      <c r="K487" s="475"/>
      <c r="L487" s="475"/>
      <c r="M487" s="475"/>
      <c r="N487" s="475"/>
      <c r="O487" s="475"/>
      <c r="P487" s="475"/>
      <c r="Q487" s="475"/>
      <c r="R487" s="475"/>
      <c r="S487" s="475"/>
      <c r="T487" s="475"/>
      <c r="U487" s="475"/>
      <c r="V487" s="475"/>
      <c r="W487" s="475"/>
      <c r="X487" s="475"/>
      <c r="Y487" s="475"/>
      <c r="Z487" s="475"/>
      <c r="AA487" s="475"/>
      <c r="AB487" s="475"/>
      <c r="AC487" s="475"/>
      <c r="AD487" s="475"/>
      <c r="AE487" s="475"/>
      <c r="AF487" s="475"/>
    </row>
    <row r="488" spans="2:32">
      <c r="B488" s="471"/>
      <c r="C488" s="475"/>
      <c r="D488" s="475"/>
      <c r="E488" s="475"/>
      <c r="F488" s="474"/>
      <c r="G488" s="475"/>
      <c r="H488" s="474"/>
      <c r="I488" s="474"/>
      <c r="J488" s="475"/>
      <c r="K488" s="475"/>
      <c r="L488" s="475"/>
      <c r="M488" s="475"/>
      <c r="N488" s="475"/>
      <c r="O488" s="475"/>
      <c r="P488" s="475"/>
      <c r="Q488" s="475"/>
      <c r="R488" s="475"/>
      <c r="S488" s="475"/>
      <c r="T488" s="475"/>
      <c r="U488" s="475"/>
      <c r="V488" s="475"/>
      <c r="W488" s="475"/>
      <c r="X488" s="475"/>
      <c r="Y488" s="475"/>
      <c r="Z488" s="475"/>
      <c r="AA488" s="475"/>
      <c r="AB488" s="475"/>
      <c r="AC488" s="475"/>
      <c r="AD488" s="475"/>
      <c r="AE488" s="475"/>
      <c r="AF488" s="475"/>
    </row>
    <row r="489" spans="2:32">
      <c r="B489" s="471"/>
      <c r="C489" s="475"/>
      <c r="D489" s="475"/>
      <c r="E489" s="475"/>
      <c r="F489" s="474"/>
      <c r="G489" s="475"/>
      <c r="H489" s="474"/>
      <c r="I489" s="474"/>
      <c r="J489" s="475"/>
      <c r="K489" s="475"/>
      <c r="L489" s="475"/>
      <c r="M489" s="475"/>
      <c r="N489" s="475"/>
      <c r="O489" s="475"/>
      <c r="P489" s="475"/>
      <c r="Q489" s="475"/>
      <c r="R489" s="475"/>
      <c r="S489" s="475"/>
      <c r="T489" s="475"/>
      <c r="U489" s="475"/>
      <c r="V489" s="475"/>
      <c r="W489" s="475"/>
      <c r="X489" s="475"/>
      <c r="Y489" s="475"/>
      <c r="Z489" s="475"/>
      <c r="AA489" s="475"/>
      <c r="AB489" s="475"/>
      <c r="AC489" s="475"/>
      <c r="AD489" s="475"/>
      <c r="AE489" s="475"/>
      <c r="AF489" s="475"/>
    </row>
    <row r="490" spans="2:32">
      <c r="B490" s="471"/>
      <c r="C490" s="475"/>
      <c r="D490" s="475"/>
      <c r="E490" s="475"/>
      <c r="F490" s="474"/>
      <c r="G490" s="475"/>
      <c r="H490" s="474"/>
      <c r="I490" s="474"/>
      <c r="J490" s="475"/>
      <c r="K490" s="475"/>
      <c r="L490" s="475"/>
      <c r="M490" s="475"/>
      <c r="N490" s="475"/>
      <c r="O490" s="475"/>
      <c r="P490" s="475"/>
      <c r="Q490" s="475"/>
      <c r="R490" s="475"/>
      <c r="S490" s="475"/>
      <c r="T490" s="475"/>
      <c r="U490" s="475"/>
      <c r="V490" s="475"/>
      <c r="W490" s="475"/>
      <c r="X490" s="475"/>
      <c r="Y490" s="475"/>
      <c r="Z490" s="475"/>
      <c r="AA490" s="475"/>
      <c r="AB490" s="475"/>
      <c r="AC490" s="475"/>
      <c r="AD490" s="475"/>
      <c r="AE490" s="475"/>
      <c r="AF490" s="475"/>
    </row>
    <row r="491" spans="2:32">
      <c r="B491" s="471"/>
      <c r="C491" s="475"/>
      <c r="D491" s="475"/>
      <c r="E491" s="475"/>
      <c r="F491" s="474"/>
      <c r="G491" s="475"/>
      <c r="H491" s="474"/>
      <c r="I491" s="474"/>
      <c r="J491" s="475"/>
      <c r="K491" s="475"/>
      <c r="L491" s="475"/>
      <c r="M491" s="475"/>
      <c r="N491" s="475"/>
      <c r="O491" s="475"/>
      <c r="P491" s="475"/>
      <c r="Q491" s="475"/>
      <c r="R491" s="475"/>
      <c r="S491" s="475"/>
      <c r="T491" s="475"/>
      <c r="U491" s="475"/>
      <c r="V491" s="475"/>
      <c r="W491" s="475"/>
      <c r="X491" s="475"/>
      <c r="Y491" s="475"/>
      <c r="Z491" s="475"/>
      <c r="AA491" s="475"/>
      <c r="AB491" s="475"/>
      <c r="AC491" s="475"/>
      <c r="AD491" s="475"/>
      <c r="AE491" s="475"/>
      <c r="AF491" s="475"/>
    </row>
    <row r="492" spans="2:32">
      <c r="B492" s="471"/>
      <c r="C492" s="475"/>
      <c r="D492" s="475"/>
      <c r="E492" s="475"/>
      <c r="F492" s="474"/>
      <c r="G492" s="475"/>
      <c r="H492" s="474"/>
      <c r="I492" s="474"/>
      <c r="J492" s="475"/>
      <c r="K492" s="475"/>
      <c r="L492" s="475"/>
      <c r="M492" s="475"/>
      <c r="N492" s="475"/>
      <c r="O492" s="475"/>
      <c r="P492" s="475"/>
      <c r="Q492" s="475"/>
      <c r="R492" s="475"/>
      <c r="S492" s="475"/>
      <c r="T492" s="475"/>
      <c r="U492" s="475"/>
      <c r="V492" s="475"/>
      <c r="W492" s="475"/>
      <c r="X492" s="475"/>
      <c r="Y492" s="475"/>
      <c r="Z492" s="475"/>
      <c r="AA492" s="475"/>
      <c r="AB492" s="475"/>
      <c r="AC492" s="475"/>
      <c r="AD492" s="475"/>
      <c r="AE492" s="475"/>
      <c r="AF492" s="475"/>
    </row>
    <row r="493" spans="2:32">
      <c r="B493" s="471"/>
      <c r="C493" s="475"/>
      <c r="D493" s="475"/>
      <c r="E493" s="475"/>
      <c r="F493" s="474"/>
      <c r="G493" s="475"/>
      <c r="H493" s="474"/>
      <c r="I493" s="474"/>
      <c r="J493" s="475"/>
      <c r="K493" s="475"/>
      <c r="L493" s="475"/>
      <c r="M493" s="475"/>
      <c r="N493" s="475"/>
      <c r="O493" s="475"/>
      <c r="P493" s="475"/>
      <c r="Q493" s="475"/>
      <c r="R493" s="475"/>
      <c r="S493" s="475"/>
      <c r="T493" s="475"/>
      <c r="U493" s="475"/>
      <c r="V493" s="475"/>
      <c r="W493" s="475"/>
      <c r="X493" s="475"/>
      <c r="Y493" s="475"/>
      <c r="Z493" s="475"/>
      <c r="AA493" s="475"/>
      <c r="AB493" s="475"/>
      <c r="AC493" s="475"/>
      <c r="AD493" s="475"/>
      <c r="AE493" s="475"/>
      <c r="AF493" s="475"/>
    </row>
    <row r="494" spans="2:32">
      <c r="B494" s="471"/>
      <c r="C494" s="475"/>
      <c r="D494" s="475"/>
      <c r="E494" s="475"/>
      <c r="F494" s="474"/>
      <c r="G494" s="475"/>
      <c r="H494" s="474"/>
      <c r="I494" s="474"/>
      <c r="J494" s="475"/>
      <c r="K494" s="475"/>
      <c r="L494" s="475"/>
      <c r="M494" s="475"/>
      <c r="N494" s="475"/>
      <c r="O494" s="475"/>
      <c r="P494" s="475"/>
      <c r="Q494" s="475"/>
      <c r="R494" s="475"/>
      <c r="S494" s="475"/>
      <c r="T494" s="475"/>
      <c r="U494" s="475"/>
      <c r="V494" s="475"/>
      <c r="W494" s="475"/>
      <c r="X494" s="475"/>
      <c r="Y494" s="475"/>
      <c r="Z494" s="475"/>
      <c r="AA494" s="475"/>
      <c r="AB494" s="475"/>
      <c r="AC494" s="475"/>
      <c r="AD494" s="475"/>
      <c r="AE494" s="475"/>
      <c r="AF494" s="475"/>
    </row>
    <row r="495" spans="2:32">
      <c r="B495" s="471"/>
      <c r="C495" s="475"/>
      <c r="D495" s="475"/>
      <c r="E495" s="475"/>
      <c r="F495" s="474"/>
      <c r="G495" s="475"/>
      <c r="H495" s="474"/>
      <c r="I495" s="474"/>
      <c r="J495" s="475"/>
      <c r="K495" s="475"/>
      <c r="L495" s="475"/>
      <c r="M495" s="475"/>
      <c r="N495" s="475"/>
      <c r="O495" s="475"/>
      <c r="P495" s="475"/>
      <c r="Q495" s="475"/>
      <c r="R495" s="475"/>
      <c r="S495" s="475"/>
      <c r="T495" s="475"/>
      <c r="U495" s="475"/>
      <c r="V495" s="475"/>
      <c r="W495" s="475"/>
      <c r="X495" s="475"/>
      <c r="Y495" s="475"/>
      <c r="Z495" s="475"/>
      <c r="AA495" s="475"/>
      <c r="AB495" s="475"/>
      <c r="AC495" s="475"/>
      <c r="AD495" s="475"/>
      <c r="AE495" s="475"/>
      <c r="AF495" s="475"/>
    </row>
    <row r="496" spans="2:32">
      <c r="B496" s="471"/>
      <c r="C496" s="475"/>
      <c r="D496" s="475"/>
      <c r="E496" s="475"/>
      <c r="F496" s="474"/>
      <c r="G496" s="475"/>
      <c r="H496" s="474"/>
      <c r="I496" s="474"/>
      <c r="J496" s="475"/>
      <c r="K496" s="475"/>
      <c r="L496" s="475"/>
      <c r="M496" s="475"/>
      <c r="N496" s="475"/>
      <c r="O496" s="475"/>
      <c r="P496" s="475"/>
      <c r="Q496" s="475"/>
      <c r="R496" s="475"/>
      <c r="S496" s="475"/>
      <c r="T496" s="475"/>
      <c r="U496" s="475"/>
      <c r="V496" s="475"/>
      <c r="W496" s="475"/>
      <c r="X496" s="475"/>
      <c r="Y496" s="475"/>
      <c r="Z496" s="475"/>
      <c r="AA496" s="475"/>
      <c r="AB496" s="475"/>
      <c r="AC496" s="475"/>
      <c r="AD496" s="475"/>
      <c r="AE496" s="475"/>
      <c r="AF496" s="475"/>
    </row>
    <row r="497" spans="2:32">
      <c r="B497" s="471"/>
      <c r="C497" s="475"/>
      <c r="D497" s="475"/>
      <c r="E497" s="475"/>
      <c r="F497" s="474"/>
      <c r="G497" s="475"/>
      <c r="H497" s="474"/>
      <c r="I497" s="474"/>
      <c r="J497" s="475"/>
      <c r="K497" s="475"/>
      <c r="L497" s="475"/>
      <c r="M497" s="475"/>
      <c r="N497" s="475"/>
      <c r="O497" s="475"/>
      <c r="P497" s="475"/>
      <c r="Q497" s="475"/>
      <c r="R497" s="475"/>
      <c r="S497" s="475"/>
      <c r="T497" s="475"/>
      <c r="U497" s="475"/>
      <c r="V497" s="475"/>
      <c r="W497" s="475"/>
      <c r="X497" s="475"/>
      <c r="Y497" s="475"/>
      <c r="Z497" s="475"/>
      <c r="AA497" s="475"/>
      <c r="AB497" s="475"/>
      <c r="AC497" s="475"/>
      <c r="AD497" s="475"/>
      <c r="AE497" s="475"/>
      <c r="AF497" s="475"/>
    </row>
    <row r="498" spans="2:32">
      <c r="B498" s="471"/>
      <c r="C498" s="475"/>
      <c r="D498" s="475"/>
      <c r="E498" s="475"/>
      <c r="F498" s="474"/>
      <c r="G498" s="475"/>
      <c r="H498" s="474"/>
      <c r="I498" s="474"/>
      <c r="J498" s="475"/>
      <c r="K498" s="475"/>
      <c r="L498" s="475"/>
      <c r="M498" s="475"/>
      <c r="N498" s="475"/>
      <c r="O498" s="475"/>
      <c r="P498" s="475"/>
      <c r="Q498" s="475"/>
      <c r="R498" s="475"/>
      <c r="S498" s="475"/>
      <c r="T498" s="475"/>
      <c r="U498" s="475"/>
      <c r="V498" s="475"/>
      <c r="W498" s="475"/>
      <c r="X498" s="475"/>
      <c r="Y498" s="475"/>
      <c r="Z498" s="475"/>
      <c r="AA498" s="475"/>
      <c r="AB498" s="475"/>
      <c r="AC498" s="475"/>
      <c r="AD498" s="475"/>
      <c r="AE498" s="475"/>
      <c r="AF498" s="475"/>
    </row>
    <row r="499" spans="2:32">
      <c r="B499" s="471"/>
      <c r="C499" s="475"/>
      <c r="D499" s="475"/>
      <c r="E499" s="475"/>
      <c r="F499" s="474"/>
      <c r="G499" s="475"/>
      <c r="H499" s="474"/>
      <c r="I499" s="474"/>
      <c r="J499" s="475"/>
      <c r="K499" s="475"/>
      <c r="L499" s="475"/>
      <c r="M499" s="475"/>
      <c r="N499" s="475"/>
      <c r="O499" s="475"/>
      <c r="P499" s="475"/>
      <c r="Q499" s="475"/>
      <c r="R499" s="475"/>
      <c r="S499" s="475"/>
      <c r="T499" s="475"/>
      <c r="U499" s="475"/>
      <c r="V499" s="475"/>
      <c r="W499" s="475"/>
      <c r="X499" s="475"/>
      <c r="Y499" s="475"/>
      <c r="Z499" s="475"/>
      <c r="AA499" s="475"/>
      <c r="AB499" s="475"/>
      <c r="AC499" s="475"/>
      <c r="AD499" s="475"/>
      <c r="AE499" s="475"/>
      <c r="AF499" s="475"/>
    </row>
    <row r="500" spans="2:32">
      <c r="B500" s="471"/>
      <c r="C500" s="475"/>
      <c r="D500" s="475"/>
      <c r="E500" s="475"/>
      <c r="F500" s="474"/>
      <c r="G500" s="475"/>
      <c r="H500" s="474"/>
      <c r="I500" s="474"/>
      <c r="J500" s="475"/>
      <c r="K500" s="475"/>
      <c r="L500" s="475"/>
      <c r="M500" s="475"/>
      <c r="N500" s="475"/>
      <c r="O500" s="475"/>
      <c r="P500" s="475"/>
      <c r="Q500" s="475"/>
      <c r="R500" s="475"/>
      <c r="S500" s="475"/>
      <c r="T500" s="475"/>
      <c r="U500" s="475"/>
      <c r="V500" s="475"/>
      <c r="W500" s="475"/>
      <c r="X500" s="475"/>
      <c r="Y500" s="475"/>
      <c r="Z500" s="475"/>
      <c r="AA500" s="475"/>
      <c r="AB500" s="475"/>
      <c r="AC500" s="475"/>
      <c r="AD500" s="475"/>
      <c r="AE500" s="475"/>
      <c r="AF500" s="475"/>
    </row>
    <row r="501" spans="2:32">
      <c r="B501" s="471"/>
      <c r="C501" s="475"/>
      <c r="D501" s="475"/>
      <c r="E501" s="475"/>
      <c r="F501" s="474"/>
      <c r="G501" s="475"/>
      <c r="H501" s="474"/>
      <c r="I501" s="474"/>
      <c r="J501" s="475"/>
      <c r="K501" s="475"/>
      <c r="L501" s="475"/>
      <c r="M501" s="475"/>
      <c r="N501" s="475"/>
      <c r="O501" s="475"/>
      <c r="P501" s="475"/>
      <c r="Q501" s="475"/>
      <c r="R501" s="475"/>
      <c r="S501" s="475"/>
      <c r="T501" s="475"/>
      <c r="U501" s="475"/>
      <c r="V501" s="475"/>
      <c r="W501" s="475"/>
      <c r="X501" s="475"/>
      <c r="Y501" s="475"/>
      <c r="Z501" s="475"/>
      <c r="AA501" s="475"/>
      <c r="AB501" s="475"/>
      <c r="AC501" s="475"/>
      <c r="AD501" s="475"/>
      <c r="AE501" s="475"/>
      <c r="AF501" s="475"/>
    </row>
    <row r="502" spans="2:32">
      <c r="B502" s="471"/>
      <c r="C502" s="475"/>
      <c r="D502" s="475"/>
      <c r="E502" s="475"/>
      <c r="F502" s="474"/>
      <c r="G502" s="475"/>
      <c r="H502" s="474"/>
      <c r="I502" s="474"/>
      <c r="J502" s="475"/>
      <c r="K502" s="475"/>
      <c r="L502" s="475"/>
      <c r="M502" s="475"/>
      <c r="N502" s="475"/>
      <c r="O502" s="475"/>
      <c r="P502" s="475"/>
      <c r="Q502" s="475"/>
      <c r="R502" s="475"/>
      <c r="S502" s="475"/>
      <c r="T502" s="475"/>
      <c r="U502" s="475"/>
      <c r="V502" s="475"/>
      <c r="W502" s="475"/>
      <c r="X502" s="475"/>
      <c r="Y502" s="475"/>
      <c r="Z502" s="475"/>
      <c r="AA502" s="475"/>
      <c r="AB502" s="475"/>
      <c r="AC502" s="475"/>
      <c r="AD502" s="475"/>
      <c r="AE502" s="475"/>
      <c r="AF502" s="475"/>
    </row>
    <row r="503" spans="2:32">
      <c r="B503" s="471"/>
      <c r="C503" s="475"/>
      <c r="D503" s="475"/>
      <c r="E503" s="475"/>
      <c r="F503" s="474"/>
      <c r="G503" s="475"/>
      <c r="H503" s="474"/>
      <c r="I503" s="474"/>
      <c r="J503" s="475"/>
      <c r="K503" s="475"/>
      <c r="L503" s="475"/>
      <c r="M503" s="475"/>
      <c r="N503" s="475"/>
      <c r="O503" s="475"/>
      <c r="P503" s="475"/>
      <c r="Q503" s="475"/>
      <c r="R503" s="475"/>
      <c r="S503" s="475"/>
      <c r="T503" s="475"/>
      <c r="U503" s="475"/>
      <c r="V503" s="475"/>
      <c r="W503" s="475"/>
      <c r="X503" s="475"/>
      <c r="Y503" s="475"/>
      <c r="Z503" s="475"/>
      <c r="AA503" s="475"/>
      <c r="AB503" s="475"/>
      <c r="AC503" s="475"/>
      <c r="AD503" s="475"/>
      <c r="AE503" s="475"/>
      <c r="AF503" s="475"/>
    </row>
    <row r="504" spans="2:32">
      <c r="B504" s="471"/>
      <c r="C504" s="475"/>
      <c r="D504" s="475"/>
      <c r="E504" s="475"/>
      <c r="F504" s="474"/>
      <c r="G504" s="475"/>
      <c r="H504" s="474"/>
      <c r="I504" s="474"/>
      <c r="J504" s="475"/>
      <c r="K504" s="475"/>
      <c r="L504" s="475"/>
      <c r="M504" s="475"/>
      <c r="N504" s="475"/>
      <c r="O504" s="475"/>
      <c r="P504" s="475"/>
      <c r="Q504" s="475"/>
      <c r="R504" s="475"/>
      <c r="S504" s="475"/>
      <c r="T504" s="475"/>
      <c r="U504" s="475"/>
      <c r="V504" s="475"/>
      <c r="W504" s="475"/>
      <c r="X504" s="475"/>
      <c r="Y504" s="475"/>
      <c r="Z504" s="475"/>
      <c r="AA504" s="475"/>
      <c r="AB504" s="475"/>
      <c r="AC504" s="475"/>
      <c r="AD504" s="475"/>
      <c r="AE504" s="475"/>
      <c r="AF504" s="475"/>
    </row>
    <row r="505" spans="2:32">
      <c r="B505" s="471"/>
      <c r="C505" s="475"/>
      <c r="D505" s="475"/>
      <c r="E505" s="475"/>
      <c r="F505" s="474"/>
      <c r="G505" s="475"/>
      <c r="H505" s="474"/>
      <c r="I505" s="474"/>
      <c r="J505" s="475"/>
      <c r="K505" s="475"/>
      <c r="L505" s="475"/>
      <c r="M505" s="475"/>
      <c r="N505" s="475"/>
      <c r="O505" s="475"/>
      <c r="P505" s="475"/>
      <c r="Q505" s="475"/>
      <c r="R505" s="475"/>
      <c r="S505" s="475"/>
      <c r="T505" s="475"/>
      <c r="U505" s="475"/>
      <c r="V505" s="475"/>
      <c r="W505" s="475"/>
      <c r="X505" s="475"/>
      <c r="Y505" s="475"/>
      <c r="Z505" s="475"/>
      <c r="AA505" s="475"/>
      <c r="AB505" s="475"/>
      <c r="AC505" s="475"/>
      <c r="AD505" s="475"/>
      <c r="AE505" s="475"/>
      <c r="AF505" s="475"/>
    </row>
    <row r="506" spans="2:32">
      <c r="B506" s="471"/>
      <c r="C506" s="475"/>
      <c r="D506" s="475"/>
      <c r="E506" s="475"/>
      <c r="F506" s="474"/>
      <c r="G506" s="475"/>
      <c r="H506" s="474"/>
      <c r="I506" s="474"/>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475"/>
      <c r="AF506" s="475"/>
    </row>
    <row r="507" spans="2:32">
      <c r="B507" s="471"/>
      <c r="C507" s="475"/>
      <c r="D507" s="475"/>
      <c r="E507" s="475"/>
      <c r="F507" s="474"/>
      <c r="G507" s="475"/>
      <c r="H507" s="474"/>
      <c r="I507" s="474"/>
      <c r="J507" s="475"/>
      <c r="K507" s="475"/>
      <c r="L507" s="475"/>
      <c r="M507" s="475"/>
      <c r="N507" s="475"/>
      <c r="O507" s="475"/>
      <c r="P507" s="475"/>
      <c r="Q507" s="475"/>
      <c r="R507" s="475"/>
      <c r="S507" s="475"/>
      <c r="T507" s="475"/>
      <c r="U507" s="475"/>
      <c r="V507" s="475"/>
      <c r="W507" s="475"/>
      <c r="X507" s="475"/>
      <c r="Y507" s="475"/>
      <c r="Z507" s="475"/>
      <c r="AA507" s="475"/>
      <c r="AB507" s="475"/>
      <c r="AC507" s="475"/>
      <c r="AD507" s="475"/>
      <c r="AE507" s="475"/>
      <c r="AF507" s="475"/>
    </row>
    <row r="508" spans="2:32">
      <c r="B508" s="471"/>
      <c r="C508" s="475"/>
      <c r="D508" s="475"/>
      <c r="E508" s="475"/>
      <c r="F508" s="474"/>
      <c r="G508" s="475"/>
      <c r="H508" s="474"/>
      <c r="I508" s="474"/>
      <c r="J508" s="475"/>
      <c r="K508" s="475"/>
      <c r="L508" s="475"/>
      <c r="M508" s="475"/>
      <c r="N508" s="475"/>
      <c r="O508" s="475"/>
      <c r="P508" s="475"/>
      <c r="Q508" s="475"/>
      <c r="R508" s="475"/>
      <c r="S508" s="475"/>
      <c r="T508" s="475"/>
      <c r="U508" s="475"/>
      <c r="V508" s="475"/>
      <c r="W508" s="475"/>
      <c r="X508" s="475"/>
      <c r="Y508" s="475"/>
      <c r="Z508" s="475"/>
      <c r="AA508" s="475"/>
      <c r="AB508" s="475"/>
      <c r="AC508" s="475"/>
      <c r="AD508" s="475"/>
      <c r="AE508" s="475"/>
      <c r="AF508" s="475"/>
    </row>
    <row r="509" spans="2:32">
      <c r="B509" s="471"/>
      <c r="C509" s="475"/>
      <c r="D509" s="475"/>
      <c r="E509" s="475"/>
      <c r="F509" s="474"/>
      <c r="G509" s="475"/>
      <c r="H509" s="474"/>
      <c r="I509" s="474"/>
      <c r="J509" s="475"/>
      <c r="K509" s="475"/>
      <c r="L509" s="475"/>
      <c r="M509" s="475"/>
      <c r="N509" s="475"/>
      <c r="O509" s="475"/>
      <c r="P509" s="475"/>
      <c r="Q509" s="475"/>
      <c r="R509" s="475"/>
      <c r="S509" s="475"/>
      <c r="T509" s="475"/>
      <c r="U509" s="475"/>
      <c r="V509" s="475"/>
      <c r="W509" s="475"/>
      <c r="X509" s="475"/>
      <c r="Y509" s="475"/>
      <c r="Z509" s="475"/>
      <c r="AA509" s="475"/>
      <c r="AB509" s="475"/>
      <c r="AC509" s="475"/>
      <c r="AD509" s="475"/>
      <c r="AE509" s="475"/>
      <c r="AF509" s="475"/>
    </row>
    <row r="510" spans="2:32">
      <c r="B510" s="471"/>
      <c r="C510" s="475"/>
      <c r="D510" s="475"/>
      <c r="E510" s="475"/>
      <c r="F510" s="474"/>
      <c r="G510" s="475"/>
      <c r="H510" s="474"/>
      <c r="I510" s="474"/>
      <c r="J510" s="475"/>
      <c r="K510" s="475"/>
      <c r="L510" s="475"/>
      <c r="M510" s="475"/>
      <c r="N510" s="475"/>
      <c r="O510" s="475"/>
      <c r="P510" s="475"/>
      <c r="Q510" s="475"/>
      <c r="R510" s="475"/>
      <c r="S510" s="475"/>
      <c r="T510" s="475"/>
      <c r="U510" s="475"/>
      <c r="V510" s="475"/>
      <c r="W510" s="475"/>
      <c r="X510" s="475"/>
      <c r="Y510" s="475"/>
      <c r="Z510" s="475"/>
      <c r="AA510" s="475"/>
      <c r="AB510" s="475"/>
      <c r="AC510" s="475"/>
      <c r="AD510" s="475"/>
      <c r="AE510" s="475"/>
      <c r="AF510" s="475"/>
    </row>
    <row r="511" spans="2:32">
      <c r="B511" s="471"/>
      <c r="C511" s="475"/>
      <c r="D511" s="475"/>
      <c r="E511" s="475"/>
      <c r="F511" s="474"/>
      <c r="G511" s="475"/>
      <c r="H511" s="474"/>
      <c r="I511" s="474"/>
      <c r="J511" s="475"/>
      <c r="K511" s="475"/>
      <c r="L511" s="475"/>
      <c r="M511" s="475"/>
      <c r="N511" s="475"/>
      <c r="O511" s="475"/>
      <c r="P511" s="475"/>
      <c r="Q511" s="475"/>
      <c r="R511" s="475"/>
      <c r="S511" s="475"/>
      <c r="T511" s="475"/>
      <c r="U511" s="475"/>
      <c r="V511" s="475"/>
      <c r="W511" s="475"/>
      <c r="X511" s="475"/>
      <c r="Y511" s="475"/>
      <c r="Z511" s="475"/>
      <c r="AA511" s="475"/>
      <c r="AB511" s="475"/>
      <c r="AC511" s="475"/>
      <c r="AD511" s="475"/>
      <c r="AE511" s="475"/>
      <c r="AF511" s="475"/>
    </row>
    <row r="512" spans="2:32">
      <c r="B512" s="471"/>
      <c r="C512" s="475"/>
      <c r="D512" s="475"/>
      <c r="E512" s="475"/>
      <c r="F512" s="474"/>
      <c r="G512" s="475"/>
      <c r="H512" s="474"/>
      <c r="I512" s="474"/>
      <c r="J512" s="475"/>
      <c r="K512" s="475"/>
      <c r="L512" s="475"/>
      <c r="M512" s="475"/>
      <c r="N512" s="475"/>
      <c r="O512" s="475"/>
      <c r="P512" s="475"/>
      <c r="Q512" s="475"/>
      <c r="R512" s="475"/>
      <c r="S512" s="475"/>
      <c r="T512" s="475"/>
      <c r="U512" s="475"/>
      <c r="V512" s="475"/>
      <c r="W512" s="475"/>
      <c r="X512" s="475"/>
      <c r="Y512" s="475"/>
      <c r="Z512" s="475"/>
      <c r="AA512" s="475"/>
      <c r="AB512" s="475"/>
      <c r="AC512" s="475"/>
      <c r="AD512" s="475"/>
      <c r="AE512" s="475"/>
      <c r="AF512" s="475"/>
    </row>
    <row r="513" spans="2:32">
      <c r="B513" s="471"/>
      <c r="C513" s="475"/>
      <c r="D513" s="475"/>
      <c r="E513" s="475"/>
      <c r="F513" s="474"/>
      <c r="G513" s="475"/>
      <c r="H513" s="474"/>
      <c r="I513" s="474"/>
      <c r="J513" s="475"/>
      <c r="K513" s="475"/>
      <c r="L513" s="475"/>
      <c r="M513" s="475"/>
      <c r="N513" s="475"/>
      <c r="O513" s="475"/>
      <c r="P513" s="475"/>
      <c r="Q513" s="475"/>
      <c r="R513" s="475"/>
      <c r="S513" s="475"/>
      <c r="T513" s="475"/>
      <c r="U513" s="475"/>
      <c r="V513" s="475"/>
      <c r="W513" s="475"/>
      <c r="X513" s="475"/>
      <c r="Y513" s="475"/>
      <c r="Z513" s="475"/>
      <c r="AA513" s="475"/>
      <c r="AB513" s="475"/>
      <c r="AC513" s="475"/>
      <c r="AD513" s="475"/>
      <c r="AE513" s="475"/>
      <c r="AF513" s="475"/>
    </row>
    <row r="514" spans="2:32">
      <c r="B514" s="471"/>
      <c r="C514" s="475"/>
      <c r="D514" s="475"/>
      <c r="E514" s="475"/>
      <c r="F514" s="474"/>
      <c r="G514" s="475"/>
      <c r="H514" s="474"/>
      <c r="I514" s="474"/>
      <c r="J514" s="475"/>
      <c r="K514" s="475"/>
      <c r="L514" s="475"/>
      <c r="M514" s="475"/>
      <c r="N514" s="475"/>
      <c r="O514" s="475"/>
      <c r="P514" s="475"/>
      <c r="Q514" s="475"/>
      <c r="R514" s="475"/>
      <c r="S514" s="475"/>
      <c r="T514" s="475"/>
      <c r="U514" s="475"/>
      <c r="V514" s="475"/>
      <c r="W514" s="475"/>
      <c r="X514" s="475"/>
      <c r="Y514" s="475"/>
      <c r="Z514" s="475"/>
      <c r="AA514" s="475"/>
      <c r="AB514" s="475"/>
      <c r="AC514" s="475"/>
      <c r="AD514" s="475"/>
      <c r="AE514" s="475"/>
      <c r="AF514" s="475"/>
    </row>
    <row r="515" spans="2:32">
      <c r="B515" s="471"/>
      <c r="C515" s="475"/>
      <c r="D515" s="475"/>
      <c r="E515" s="475"/>
      <c r="F515" s="474"/>
      <c r="G515" s="475"/>
      <c r="H515" s="474"/>
      <c r="I515" s="474"/>
      <c r="J515" s="475"/>
      <c r="K515" s="475"/>
      <c r="L515" s="475"/>
      <c r="M515" s="475"/>
      <c r="N515" s="475"/>
      <c r="O515" s="475"/>
      <c r="P515" s="475"/>
      <c r="Q515" s="475"/>
      <c r="R515" s="475"/>
      <c r="S515" s="475"/>
      <c r="T515" s="475"/>
      <c r="U515" s="475"/>
      <c r="V515" s="475"/>
      <c r="W515" s="475"/>
      <c r="X515" s="475"/>
      <c r="Y515" s="475"/>
      <c r="Z515" s="475"/>
      <c r="AA515" s="475"/>
      <c r="AB515" s="475"/>
      <c r="AC515" s="475"/>
      <c r="AD515" s="475"/>
      <c r="AE515" s="475"/>
      <c r="AF515" s="475"/>
    </row>
    <row r="516" spans="2:32">
      <c r="B516" s="471"/>
      <c r="C516" s="475"/>
      <c r="D516" s="475"/>
      <c r="E516" s="475"/>
      <c r="F516" s="474"/>
      <c r="G516" s="475"/>
      <c r="H516" s="474"/>
      <c r="I516" s="474"/>
      <c r="J516" s="475"/>
      <c r="K516" s="475"/>
      <c r="L516" s="475"/>
      <c r="M516" s="475"/>
      <c r="N516" s="475"/>
      <c r="O516" s="475"/>
      <c r="P516" s="475"/>
      <c r="Q516" s="475"/>
      <c r="R516" s="475"/>
      <c r="S516" s="475"/>
      <c r="T516" s="475"/>
      <c r="U516" s="475"/>
      <c r="V516" s="475"/>
      <c r="W516" s="475"/>
      <c r="X516" s="475"/>
      <c r="Y516" s="475"/>
      <c r="Z516" s="475"/>
      <c r="AA516" s="475"/>
      <c r="AB516" s="475"/>
      <c r="AC516" s="475"/>
      <c r="AD516" s="475"/>
      <c r="AE516" s="475"/>
      <c r="AF516" s="475"/>
    </row>
    <row r="517" spans="2:32">
      <c r="B517" s="471"/>
      <c r="C517" s="475"/>
      <c r="D517" s="475"/>
      <c r="E517" s="475"/>
      <c r="F517" s="474"/>
      <c r="G517" s="475"/>
      <c r="H517" s="474"/>
      <c r="I517" s="474"/>
      <c r="J517" s="475"/>
      <c r="K517" s="475"/>
      <c r="L517" s="475"/>
      <c r="M517" s="475"/>
      <c r="N517" s="475"/>
      <c r="O517" s="475"/>
      <c r="P517" s="475"/>
      <c r="Q517" s="475"/>
      <c r="R517" s="475"/>
      <c r="S517" s="475"/>
      <c r="T517" s="475"/>
      <c r="U517" s="475"/>
      <c r="V517" s="475"/>
      <c r="W517" s="475"/>
      <c r="X517" s="475"/>
      <c r="Y517" s="475"/>
      <c r="Z517" s="475"/>
      <c r="AA517" s="475"/>
      <c r="AB517" s="475"/>
      <c r="AC517" s="475"/>
      <c r="AD517" s="475"/>
      <c r="AE517" s="475"/>
      <c r="AF517" s="475"/>
    </row>
    <row r="518" spans="2:32">
      <c r="B518" s="471"/>
      <c r="C518" s="475"/>
      <c r="D518" s="475"/>
      <c r="E518" s="475"/>
      <c r="F518" s="474"/>
      <c r="G518" s="475"/>
      <c r="H518" s="474"/>
      <c r="I518" s="474"/>
      <c r="J518" s="475"/>
      <c r="K518" s="475"/>
      <c r="L518" s="475"/>
      <c r="M518" s="475"/>
      <c r="N518" s="475"/>
      <c r="O518" s="475"/>
      <c r="P518" s="475"/>
      <c r="Q518" s="475"/>
      <c r="R518" s="475"/>
      <c r="S518" s="475"/>
      <c r="T518" s="475"/>
      <c r="U518" s="475"/>
      <c r="V518" s="475"/>
      <c r="W518" s="475"/>
      <c r="X518" s="475"/>
      <c r="Y518" s="475"/>
      <c r="Z518" s="475"/>
      <c r="AA518" s="475"/>
      <c r="AB518" s="475"/>
      <c r="AC518" s="475"/>
      <c r="AD518" s="475"/>
      <c r="AE518" s="475"/>
      <c r="AF518" s="475"/>
    </row>
    <row r="519" spans="2:32">
      <c r="B519" s="471"/>
      <c r="C519" s="475"/>
      <c r="D519" s="475"/>
      <c r="E519" s="475"/>
      <c r="F519" s="474"/>
      <c r="G519" s="475"/>
      <c r="H519" s="474"/>
      <c r="I519" s="474"/>
      <c r="J519" s="475"/>
      <c r="K519" s="475"/>
      <c r="L519" s="475"/>
      <c r="M519" s="475"/>
      <c r="N519" s="475"/>
      <c r="O519" s="475"/>
      <c r="P519" s="475"/>
      <c r="Q519" s="475"/>
      <c r="R519" s="475"/>
      <c r="S519" s="475"/>
      <c r="T519" s="475"/>
      <c r="U519" s="475"/>
      <c r="V519" s="475"/>
      <c r="W519" s="475"/>
      <c r="X519" s="475"/>
      <c r="Y519" s="475"/>
      <c r="Z519" s="475"/>
      <c r="AA519" s="475"/>
      <c r="AB519" s="475"/>
      <c r="AC519" s="475"/>
      <c r="AD519" s="475"/>
      <c r="AE519" s="475"/>
      <c r="AF519" s="475"/>
    </row>
    <row r="520" spans="2:32">
      <c r="B520" s="471"/>
      <c r="C520" s="475"/>
      <c r="D520" s="475"/>
      <c r="E520" s="475"/>
      <c r="F520" s="474"/>
      <c r="G520" s="475"/>
      <c r="H520" s="474"/>
      <c r="I520" s="474"/>
      <c r="J520" s="475"/>
      <c r="K520" s="475"/>
      <c r="L520" s="475"/>
      <c r="M520" s="475"/>
      <c r="N520" s="475"/>
      <c r="O520" s="475"/>
      <c r="P520" s="475"/>
      <c r="Q520" s="475"/>
      <c r="R520" s="475"/>
      <c r="S520" s="475"/>
      <c r="T520" s="475"/>
      <c r="U520" s="475"/>
      <c r="V520" s="475"/>
      <c r="W520" s="475"/>
      <c r="X520" s="475"/>
      <c r="Y520" s="475"/>
      <c r="Z520" s="475"/>
      <c r="AA520" s="475"/>
      <c r="AB520" s="475"/>
      <c r="AC520" s="475"/>
      <c r="AD520" s="475"/>
      <c r="AE520" s="475"/>
      <c r="AF520" s="475"/>
    </row>
    <row r="521" spans="2:32">
      <c r="B521" s="471"/>
      <c r="C521" s="475"/>
      <c r="D521" s="475"/>
      <c r="E521" s="475"/>
      <c r="F521" s="474"/>
      <c r="G521" s="475"/>
      <c r="H521" s="474"/>
      <c r="I521" s="474"/>
      <c r="J521" s="475"/>
      <c r="K521" s="475"/>
      <c r="L521" s="475"/>
      <c r="M521" s="475"/>
      <c r="N521" s="475"/>
      <c r="O521" s="475"/>
      <c r="P521" s="475"/>
      <c r="Q521" s="475"/>
      <c r="R521" s="475"/>
      <c r="S521" s="475"/>
      <c r="T521" s="475"/>
      <c r="U521" s="475"/>
      <c r="V521" s="475"/>
      <c r="W521" s="475"/>
      <c r="X521" s="475"/>
      <c r="Y521" s="475"/>
      <c r="Z521" s="475"/>
      <c r="AA521" s="475"/>
      <c r="AB521" s="475"/>
      <c r="AC521" s="475"/>
      <c r="AD521" s="475"/>
      <c r="AE521" s="475"/>
      <c r="AF521" s="475"/>
    </row>
    <row r="522" spans="2:32">
      <c r="B522" s="471"/>
      <c r="C522" s="475"/>
      <c r="D522" s="475"/>
      <c r="E522" s="475"/>
      <c r="F522" s="474"/>
      <c r="G522" s="475"/>
      <c r="H522" s="474"/>
      <c r="I522" s="474"/>
      <c r="J522" s="475"/>
      <c r="K522" s="475"/>
      <c r="L522" s="475"/>
      <c r="M522" s="475"/>
      <c r="N522" s="475"/>
      <c r="O522" s="475"/>
      <c r="P522" s="475"/>
      <c r="Q522" s="475"/>
      <c r="R522" s="475"/>
      <c r="S522" s="475"/>
      <c r="T522" s="475"/>
      <c r="U522" s="475"/>
      <c r="V522" s="475"/>
      <c r="W522" s="475"/>
      <c r="X522" s="475"/>
      <c r="Y522" s="475"/>
      <c r="Z522" s="475"/>
      <c r="AA522" s="475"/>
      <c r="AB522" s="475"/>
      <c r="AC522" s="475"/>
      <c r="AD522" s="475"/>
      <c r="AE522" s="475"/>
      <c r="AF522" s="475"/>
    </row>
    <row r="523" spans="2:32">
      <c r="B523" s="471"/>
      <c r="C523" s="475"/>
      <c r="D523" s="475"/>
      <c r="E523" s="475"/>
      <c r="F523" s="474"/>
      <c r="G523" s="475"/>
      <c r="H523" s="474"/>
      <c r="I523" s="474"/>
      <c r="J523" s="475"/>
      <c r="K523" s="475"/>
      <c r="L523" s="475"/>
      <c r="M523" s="475"/>
      <c r="N523" s="475"/>
      <c r="O523" s="475"/>
      <c r="P523" s="475"/>
      <c r="Q523" s="475"/>
      <c r="R523" s="475"/>
      <c r="S523" s="475"/>
      <c r="T523" s="475"/>
      <c r="U523" s="475"/>
      <c r="V523" s="475"/>
      <c r="W523" s="475"/>
      <c r="X523" s="475"/>
      <c r="Y523" s="475"/>
      <c r="Z523" s="475"/>
      <c r="AA523" s="475"/>
      <c r="AB523" s="475"/>
      <c r="AC523" s="475"/>
      <c r="AD523" s="475"/>
      <c r="AE523" s="475"/>
      <c r="AF523" s="475"/>
    </row>
    <row r="524" spans="2:32">
      <c r="B524" s="471"/>
      <c r="C524" s="475"/>
      <c r="D524" s="475"/>
      <c r="E524" s="475"/>
      <c r="F524" s="474"/>
      <c r="G524" s="475"/>
      <c r="H524" s="474"/>
      <c r="I524" s="474"/>
      <c r="J524" s="475"/>
      <c r="K524" s="475"/>
      <c r="L524" s="475"/>
      <c r="M524" s="475"/>
      <c r="N524" s="475"/>
      <c r="O524" s="475"/>
      <c r="P524" s="475"/>
      <c r="Q524" s="475"/>
      <c r="R524" s="475"/>
      <c r="S524" s="475"/>
      <c r="T524" s="475"/>
      <c r="U524" s="475"/>
      <c r="V524" s="475"/>
      <c r="W524" s="475"/>
      <c r="X524" s="475"/>
      <c r="Y524" s="475"/>
      <c r="Z524" s="475"/>
      <c r="AA524" s="475"/>
      <c r="AB524" s="475"/>
      <c r="AC524" s="475"/>
      <c r="AD524" s="475"/>
      <c r="AE524" s="475"/>
      <c r="AF524" s="475"/>
    </row>
    <row r="525" spans="2:32">
      <c r="B525" s="471"/>
      <c r="C525" s="475"/>
      <c r="D525" s="475"/>
      <c r="E525" s="475"/>
      <c r="F525" s="474"/>
      <c r="G525" s="475"/>
      <c r="H525" s="474"/>
      <c r="I525" s="474"/>
      <c r="J525" s="475"/>
      <c r="K525" s="475"/>
      <c r="L525" s="475"/>
      <c r="M525" s="475"/>
      <c r="N525" s="475"/>
      <c r="O525" s="475"/>
      <c r="P525" s="475"/>
      <c r="Q525" s="475"/>
      <c r="R525" s="475"/>
      <c r="S525" s="475"/>
      <c r="T525" s="475"/>
      <c r="U525" s="475"/>
      <c r="V525" s="475"/>
      <c r="W525" s="475"/>
      <c r="X525" s="475"/>
      <c r="Y525" s="475"/>
      <c r="Z525" s="475"/>
      <c r="AA525" s="475"/>
      <c r="AB525" s="475"/>
      <c r="AC525" s="475"/>
      <c r="AD525" s="475"/>
      <c r="AE525" s="475"/>
      <c r="AF525" s="475"/>
    </row>
    <row r="526" spans="2:32">
      <c r="B526" s="471"/>
      <c r="C526" s="475"/>
      <c r="D526" s="475"/>
      <c r="E526" s="475"/>
      <c r="F526" s="474"/>
      <c r="G526" s="475"/>
      <c r="H526" s="474"/>
      <c r="I526" s="474"/>
      <c r="J526" s="475"/>
      <c r="K526" s="475"/>
      <c r="L526" s="475"/>
      <c r="M526" s="475"/>
      <c r="N526" s="475"/>
      <c r="O526" s="475"/>
      <c r="P526" s="475"/>
      <c r="Q526" s="475"/>
      <c r="R526" s="475"/>
      <c r="S526" s="475"/>
      <c r="T526" s="475"/>
      <c r="U526" s="475"/>
      <c r="V526" s="475"/>
      <c r="W526" s="475"/>
      <c r="X526" s="475"/>
      <c r="Y526" s="475"/>
      <c r="Z526" s="475"/>
      <c r="AA526" s="475"/>
      <c r="AB526" s="475"/>
      <c r="AC526" s="475"/>
      <c r="AD526" s="475"/>
      <c r="AE526" s="475"/>
      <c r="AF526" s="475"/>
    </row>
    <row r="527" spans="2:32">
      <c r="B527" s="471"/>
      <c r="C527" s="475"/>
      <c r="D527" s="475"/>
      <c r="E527" s="475"/>
      <c r="F527" s="474"/>
      <c r="G527" s="475"/>
      <c r="H527" s="474"/>
      <c r="I527" s="474"/>
      <c r="J527" s="475"/>
      <c r="K527" s="475"/>
      <c r="L527" s="475"/>
      <c r="M527" s="475"/>
      <c r="N527" s="475"/>
      <c r="O527" s="475"/>
      <c r="P527" s="475"/>
      <c r="Q527" s="475"/>
      <c r="R527" s="475"/>
      <c r="S527" s="475"/>
      <c r="T527" s="475"/>
      <c r="U527" s="475"/>
      <c r="V527" s="475"/>
      <c r="W527" s="475"/>
      <c r="X527" s="475"/>
      <c r="Y527" s="475"/>
      <c r="Z527" s="475"/>
      <c r="AA527" s="475"/>
      <c r="AB527" s="475"/>
      <c r="AC527" s="475"/>
      <c r="AD527" s="475"/>
      <c r="AE527" s="475"/>
      <c r="AF527" s="475"/>
    </row>
    <row r="528" spans="2:32">
      <c r="B528" s="471"/>
      <c r="C528" s="475"/>
      <c r="D528" s="475"/>
      <c r="E528" s="475"/>
      <c r="F528" s="474"/>
      <c r="G528" s="475"/>
      <c r="H528" s="474"/>
      <c r="I528" s="474"/>
      <c r="J528" s="475"/>
      <c r="K528" s="475"/>
      <c r="L528" s="475"/>
      <c r="M528" s="475"/>
      <c r="N528" s="475"/>
      <c r="O528" s="475"/>
      <c r="P528" s="475"/>
      <c r="Q528" s="475"/>
      <c r="R528" s="475"/>
      <c r="S528" s="475"/>
      <c r="T528" s="475"/>
      <c r="U528" s="475"/>
      <c r="V528" s="475"/>
      <c r="W528" s="475"/>
      <c r="X528" s="475"/>
      <c r="Y528" s="475"/>
      <c r="Z528" s="475"/>
      <c r="AA528" s="475"/>
      <c r="AB528" s="475"/>
      <c r="AC528" s="475"/>
      <c r="AD528" s="475"/>
      <c r="AE528" s="475"/>
      <c r="AF528" s="475"/>
    </row>
    <row r="529" spans="2:32">
      <c r="B529" s="471"/>
      <c r="C529" s="475"/>
      <c r="D529" s="475"/>
      <c r="E529" s="475"/>
      <c r="F529" s="474"/>
      <c r="G529" s="475"/>
      <c r="H529" s="474"/>
      <c r="I529" s="474"/>
      <c r="J529" s="475"/>
      <c r="K529" s="475"/>
      <c r="L529" s="475"/>
      <c r="M529" s="475"/>
      <c r="N529" s="475"/>
      <c r="O529" s="475"/>
      <c r="P529" s="475"/>
      <c r="Q529" s="475"/>
      <c r="R529" s="475"/>
      <c r="S529" s="475"/>
      <c r="T529" s="475"/>
      <c r="U529" s="475"/>
      <c r="V529" s="475"/>
      <c r="W529" s="475"/>
      <c r="X529" s="475"/>
      <c r="Y529" s="475"/>
      <c r="Z529" s="475"/>
      <c r="AA529" s="475"/>
      <c r="AB529" s="475"/>
      <c r="AC529" s="475"/>
      <c r="AD529" s="475"/>
      <c r="AE529" s="475"/>
      <c r="AF529" s="475"/>
    </row>
    <row r="530" spans="2:32">
      <c r="B530" s="471"/>
      <c r="C530" s="475"/>
      <c r="D530" s="475"/>
      <c r="E530" s="475"/>
      <c r="F530" s="474"/>
      <c r="G530" s="475"/>
      <c r="H530" s="474"/>
      <c r="I530" s="474"/>
      <c r="J530" s="475"/>
      <c r="K530" s="475"/>
      <c r="L530" s="475"/>
      <c r="M530" s="475"/>
      <c r="N530" s="475"/>
      <c r="O530" s="475"/>
      <c r="P530" s="475"/>
      <c r="Q530" s="475"/>
      <c r="R530" s="475"/>
      <c r="S530" s="475"/>
      <c r="T530" s="475"/>
      <c r="U530" s="475"/>
      <c r="V530" s="475"/>
      <c r="W530" s="475"/>
      <c r="X530" s="475"/>
      <c r="Y530" s="475"/>
      <c r="Z530" s="475"/>
      <c r="AA530" s="475"/>
      <c r="AB530" s="475"/>
      <c r="AC530" s="475"/>
      <c r="AD530" s="475"/>
      <c r="AE530" s="475"/>
      <c r="AF530" s="475"/>
    </row>
    <row r="531" spans="2:32">
      <c r="B531" s="471"/>
      <c r="C531" s="475"/>
      <c r="D531" s="475"/>
      <c r="E531" s="475"/>
      <c r="F531" s="474"/>
      <c r="G531" s="475"/>
      <c r="H531" s="474"/>
      <c r="I531" s="474"/>
      <c r="J531" s="475"/>
      <c r="K531" s="475"/>
      <c r="L531" s="475"/>
      <c r="M531" s="475"/>
      <c r="N531" s="475"/>
      <c r="O531" s="475"/>
      <c r="P531" s="475"/>
      <c r="Q531" s="475"/>
      <c r="R531" s="475"/>
      <c r="S531" s="475"/>
      <c r="T531" s="475"/>
      <c r="U531" s="475"/>
      <c r="V531" s="475"/>
      <c r="W531" s="475"/>
      <c r="X531" s="475"/>
      <c r="Y531" s="475"/>
      <c r="Z531" s="475"/>
      <c r="AA531" s="475"/>
      <c r="AB531" s="475"/>
      <c r="AC531" s="475"/>
      <c r="AD531" s="475"/>
      <c r="AE531" s="475"/>
      <c r="AF531" s="475"/>
    </row>
    <row r="532" spans="2:32">
      <c r="B532" s="471"/>
      <c r="C532" s="475"/>
      <c r="D532" s="475"/>
      <c r="E532" s="475"/>
      <c r="F532" s="474"/>
      <c r="G532" s="475"/>
      <c r="H532" s="474"/>
      <c r="I532" s="474"/>
      <c r="J532" s="475"/>
      <c r="K532" s="475"/>
      <c r="L532" s="475"/>
      <c r="M532" s="475"/>
      <c r="N532" s="475"/>
      <c r="O532" s="475"/>
      <c r="P532" s="475"/>
      <c r="Q532" s="475"/>
      <c r="R532" s="475"/>
      <c r="S532" s="475"/>
      <c r="T532" s="475"/>
      <c r="U532" s="475"/>
      <c r="V532" s="475"/>
      <c r="W532" s="475"/>
      <c r="X532" s="475"/>
      <c r="Y532" s="475"/>
      <c r="Z532" s="475"/>
      <c r="AA532" s="475"/>
      <c r="AB532" s="475"/>
      <c r="AC532" s="475"/>
      <c r="AD532" s="475"/>
      <c r="AE532" s="475"/>
      <c r="AF532" s="475"/>
    </row>
    <row r="533" spans="2:32">
      <c r="B533" s="471"/>
      <c r="C533" s="475"/>
      <c r="D533" s="475"/>
      <c r="E533" s="475"/>
      <c r="F533" s="474"/>
      <c r="G533" s="475"/>
      <c r="H533" s="474"/>
      <c r="I533" s="474"/>
      <c r="J533" s="475"/>
      <c r="K533" s="475"/>
      <c r="L533" s="475"/>
      <c r="M533" s="475"/>
      <c r="N533" s="475"/>
      <c r="O533" s="475"/>
      <c r="P533" s="475"/>
      <c r="Q533" s="475"/>
      <c r="R533" s="475"/>
      <c r="S533" s="475"/>
      <c r="T533" s="475"/>
      <c r="U533" s="475"/>
      <c r="V533" s="475"/>
      <c r="W533" s="475"/>
      <c r="X533" s="475"/>
      <c r="Y533" s="475"/>
      <c r="Z533" s="475"/>
      <c r="AA533" s="475"/>
      <c r="AB533" s="475"/>
      <c r="AC533" s="475"/>
      <c r="AD533" s="475"/>
      <c r="AE533" s="475"/>
      <c r="AF533" s="475"/>
    </row>
    <row r="534" spans="2:32">
      <c r="B534" s="471"/>
      <c r="C534" s="475"/>
      <c r="D534" s="475"/>
      <c r="E534" s="475"/>
      <c r="F534" s="474"/>
      <c r="G534" s="475"/>
      <c r="H534" s="474"/>
      <c r="I534" s="474"/>
      <c r="J534" s="475"/>
      <c r="K534" s="475"/>
      <c r="L534" s="475"/>
      <c r="M534" s="475"/>
      <c r="N534" s="475"/>
      <c r="O534" s="475"/>
      <c r="P534" s="475"/>
      <c r="Q534" s="475"/>
      <c r="R534" s="475"/>
      <c r="S534" s="475"/>
      <c r="T534" s="475"/>
      <c r="U534" s="475"/>
      <c r="V534" s="475"/>
      <c r="W534" s="475"/>
      <c r="X534" s="475"/>
      <c r="Y534" s="475"/>
      <c r="Z534" s="475"/>
      <c r="AA534" s="475"/>
      <c r="AB534" s="475"/>
      <c r="AC534" s="475"/>
      <c r="AD534" s="475"/>
      <c r="AE534" s="475"/>
      <c r="AF534" s="475"/>
    </row>
    <row r="535" spans="2:32">
      <c r="B535" s="471"/>
      <c r="C535" s="475"/>
      <c r="D535" s="475"/>
      <c r="E535" s="475"/>
      <c r="F535" s="474"/>
      <c r="G535" s="475"/>
      <c r="H535" s="474"/>
      <c r="I535" s="474"/>
      <c r="J535" s="475"/>
      <c r="K535" s="475"/>
      <c r="L535" s="475"/>
      <c r="M535" s="475"/>
      <c r="N535" s="475"/>
      <c r="O535" s="475"/>
      <c r="P535" s="475"/>
      <c r="Q535" s="475"/>
      <c r="R535" s="475"/>
      <c r="S535" s="475"/>
      <c r="T535" s="475"/>
      <c r="U535" s="475"/>
      <c r="V535" s="475"/>
      <c r="W535" s="475"/>
      <c r="X535" s="475"/>
      <c r="Y535" s="475"/>
      <c r="Z535" s="475"/>
      <c r="AA535" s="475"/>
      <c r="AB535" s="475"/>
      <c r="AC535" s="475"/>
      <c r="AD535" s="475"/>
      <c r="AE535" s="475"/>
      <c r="AF535" s="475"/>
    </row>
    <row r="536" spans="2:32">
      <c r="B536" s="471"/>
      <c r="C536" s="475"/>
      <c r="D536" s="475"/>
      <c r="E536" s="475"/>
      <c r="F536" s="474"/>
      <c r="G536" s="475"/>
      <c r="H536" s="474"/>
      <c r="I536" s="474"/>
      <c r="J536" s="475"/>
      <c r="K536" s="475"/>
      <c r="L536" s="475"/>
      <c r="M536" s="475"/>
      <c r="N536" s="475"/>
      <c r="O536" s="475"/>
      <c r="P536" s="475"/>
      <c r="Q536" s="475"/>
      <c r="R536" s="475"/>
      <c r="S536" s="475"/>
      <c r="T536" s="475"/>
      <c r="U536" s="475"/>
      <c r="V536" s="475"/>
      <c r="W536" s="475"/>
      <c r="X536" s="475"/>
      <c r="Y536" s="475"/>
      <c r="Z536" s="475"/>
      <c r="AA536" s="475"/>
      <c r="AB536" s="475"/>
      <c r="AC536" s="475"/>
      <c r="AD536" s="475"/>
      <c r="AE536" s="475"/>
      <c r="AF536" s="475"/>
    </row>
    <row r="537" spans="2:32">
      <c r="B537" s="471"/>
      <c r="C537" s="475"/>
      <c r="D537" s="475"/>
      <c r="E537" s="475"/>
      <c r="F537" s="474"/>
      <c r="G537" s="475"/>
      <c r="H537" s="474"/>
      <c r="I537" s="474"/>
      <c r="J537" s="475"/>
      <c r="K537" s="475"/>
      <c r="L537" s="475"/>
      <c r="M537" s="475"/>
      <c r="N537" s="475"/>
      <c r="O537" s="475"/>
      <c r="P537" s="475"/>
      <c r="Q537" s="475"/>
      <c r="R537" s="475"/>
      <c r="S537" s="475"/>
      <c r="T537" s="475"/>
      <c r="U537" s="475"/>
      <c r="V537" s="475"/>
      <c r="W537" s="475"/>
      <c r="X537" s="475"/>
      <c r="Y537" s="475"/>
      <c r="Z537" s="475"/>
      <c r="AA537" s="475"/>
      <c r="AB537" s="475"/>
      <c r="AC537" s="475"/>
      <c r="AD537" s="475"/>
      <c r="AE537" s="475"/>
      <c r="AF537" s="475"/>
    </row>
    <row r="538" spans="2:32">
      <c r="B538" s="471"/>
      <c r="C538" s="475"/>
      <c r="D538" s="475"/>
      <c r="E538" s="475"/>
      <c r="F538" s="474"/>
      <c r="G538" s="475"/>
      <c r="H538" s="474"/>
      <c r="I538" s="474"/>
      <c r="J538" s="475"/>
      <c r="K538" s="475"/>
      <c r="L538" s="475"/>
      <c r="M538" s="475"/>
      <c r="N538" s="475"/>
      <c r="O538" s="475"/>
      <c r="P538" s="475"/>
      <c r="Q538" s="475"/>
      <c r="R538" s="475"/>
      <c r="S538" s="475"/>
      <c r="T538" s="475"/>
      <c r="U538" s="475"/>
      <c r="V538" s="475"/>
      <c r="W538" s="475"/>
      <c r="X538" s="475"/>
      <c r="Y538" s="475"/>
      <c r="Z538" s="475"/>
      <c r="AA538" s="475"/>
      <c r="AB538" s="475"/>
      <c r="AC538" s="475"/>
      <c r="AD538" s="475"/>
      <c r="AE538" s="475"/>
      <c r="AF538" s="475"/>
    </row>
    <row r="539" spans="2:32">
      <c r="B539" s="471"/>
      <c r="C539" s="475"/>
      <c r="D539" s="475"/>
      <c r="E539" s="475"/>
      <c r="F539" s="474"/>
      <c r="G539" s="475"/>
      <c r="H539" s="474"/>
      <c r="I539" s="474"/>
      <c r="J539" s="475"/>
      <c r="K539" s="475"/>
      <c r="L539" s="475"/>
      <c r="M539" s="475"/>
      <c r="N539" s="475"/>
      <c r="O539" s="475"/>
      <c r="P539" s="475"/>
      <c r="Q539" s="475"/>
      <c r="R539" s="475"/>
      <c r="S539" s="475"/>
      <c r="T539" s="475"/>
      <c r="U539" s="475"/>
      <c r="V539" s="475"/>
      <c r="W539" s="475"/>
      <c r="X539" s="475"/>
      <c r="Y539" s="475"/>
      <c r="Z539" s="475"/>
      <c r="AA539" s="475"/>
      <c r="AB539" s="475"/>
      <c r="AC539" s="475"/>
      <c r="AD539" s="475"/>
      <c r="AE539" s="475"/>
      <c r="AF539" s="475"/>
    </row>
    <row r="540" spans="2:32">
      <c r="B540" s="471"/>
      <c r="C540" s="475"/>
      <c r="D540" s="475"/>
      <c r="E540" s="475"/>
      <c r="F540" s="474"/>
      <c r="G540" s="475"/>
      <c r="H540" s="474"/>
      <c r="I540" s="474"/>
      <c r="J540" s="475"/>
      <c r="K540" s="475"/>
      <c r="L540" s="475"/>
      <c r="M540" s="475"/>
      <c r="N540" s="475"/>
      <c r="O540" s="475"/>
      <c r="P540" s="475"/>
      <c r="Q540" s="475"/>
      <c r="R540" s="475"/>
      <c r="S540" s="475"/>
      <c r="T540" s="475"/>
      <c r="U540" s="475"/>
      <c r="V540" s="475"/>
      <c r="W540" s="475"/>
      <c r="X540" s="475"/>
      <c r="Y540" s="475"/>
      <c r="Z540" s="475"/>
      <c r="AA540" s="475"/>
      <c r="AB540" s="475"/>
      <c r="AC540" s="475"/>
      <c r="AD540" s="475"/>
      <c r="AE540" s="475"/>
      <c r="AF540" s="475"/>
    </row>
    <row r="541" spans="2:32">
      <c r="B541" s="471"/>
      <c r="C541" s="475"/>
      <c r="D541" s="475"/>
      <c r="E541" s="475"/>
      <c r="F541" s="474"/>
      <c r="G541" s="475"/>
      <c r="H541" s="474"/>
      <c r="I541" s="474"/>
      <c r="J541" s="475"/>
      <c r="K541" s="475"/>
      <c r="L541" s="475"/>
      <c r="M541" s="475"/>
      <c r="N541" s="475"/>
      <c r="O541" s="475"/>
      <c r="P541" s="475"/>
      <c r="Q541" s="475"/>
      <c r="R541" s="475"/>
      <c r="S541" s="475"/>
      <c r="T541" s="475"/>
      <c r="U541" s="475"/>
      <c r="V541" s="475"/>
      <c r="W541" s="475"/>
      <c r="X541" s="475"/>
      <c r="Y541" s="475"/>
      <c r="Z541" s="475"/>
      <c r="AA541" s="475"/>
      <c r="AB541" s="475"/>
      <c r="AC541" s="475"/>
      <c r="AD541" s="475"/>
      <c r="AE541" s="475"/>
      <c r="AF541" s="475"/>
    </row>
    <row r="542" spans="2:32">
      <c r="B542" s="471"/>
      <c r="C542" s="475"/>
      <c r="D542" s="475"/>
      <c r="E542" s="475"/>
      <c r="F542" s="474"/>
      <c r="G542" s="475"/>
      <c r="H542" s="474"/>
      <c r="I542" s="474"/>
      <c r="J542" s="475"/>
      <c r="K542" s="475"/>
      <c r="L542" s="475"/>
      <c r="M542" s="475"/>
      <c r="N542" s="475"/>
      <c r="O542" s="475"/>
      <c r="P542" s="475"/>
      <c r="Q542" s="475"/>
      <c r="R542" s="475"/>
      <c r="S542" s="475"/>
      <c r="T542" s="475"/>
      <c r="U542" s="475"/>
      <c r="V542" s="475"/>
      <c r="W542" s="475"/>
      <c r="X542" s="475"/>
      <c r="Y542" s="475"/>
      <c r="Z542" s="475"/>
      <c r="AA542" s="475"/>
      <c r="AB542" s="475"/>
      <c r="AC542" s="475"/>
      <c r="AD542" s="475"/>
      <c r="AE542" s="475"/>
      <c r="AF542" s="475"/>
    </row>
    <row r="543" spans="2:32">
      <c r="B543" s="471"/>
      <c r="C543" s="475"/>
      <c r="D543" s="475"/>
      <c r="E543" s="475"/>
      <c r="F543" s="474"/>
      <c r="G543" s="475"/>
      <c r="H543" s="474"/>
      <c r="I543" s="474"/>
      <c r="J543" s="475"/>
      <c r="K543" s="475"/>
      <c r="L543" s="475"/>
      <c r="M543" s="475"/>
      <c r="N543" s="475"/>
      <c r="O543" s="475"/>
      <c r="P543" s="475"/>
      <c r="Q543" s="475"/>
      <c r="R543" s="475"/>
      <c r="S543" s="475"/>
      <c r="T543" s="475"/>
      <c r="U543" s="475"/>
      <c r="V543" s="475"/>
      <c r="W543" s="475"/>
      <c r="X543" s="475"/>
      <c r="Y543" s="475"/>
      <c r="Z543" s="475"/>
      <c r="AA543" s="475"/>
      <c r="AB543" s="475"/>
      <c r="AC543" s="475"/>
      <c r="AD543" s="475"/>
      <c r="AE543" s="475"/>
      <c r="AF543" s="475"/>
    </row>
    <row r="544" spans="2:32">
      <c r="B544" s="471"/>
      <c r="C544" s="475"/>
      <c r="D544" s="475"/>
      <c r="E544" s="475"/>
      <c r="F544" s="474"/>
      <c r="G544" s="475"/>
      <c r="H544" s="474"/>
      <c r="I544" s="474"/>
      <c r="J544" s="475"/>
      <c r="K544" s="475"/>
      <c r="L544" s="475"/>
      <c r="M544" s="475"/>
      <c r="N544" s="475"/>
      <c r="O544" s="475"/>
      <c r="P544" s="475"/>
      <c r="Q544" s="475"/>
      <c r="R544" s="475"/>
      <c r="S544" s="475"/>
      <c r="T544" s="475"/>
      <c r="U544" s="475"/>
      <c r="V544" s="475"/>
      <c r="W544" s="475"/>
      <c r="X544" s="475"/>
      <c r="Y544" s="475"/>
      <c r="Z544" s="475"/>
      <c r="AA544" s="475"/>
      <c r="AB544" s="475"/>
      <c r="AC544" s="475"/>
      <c r="AD544" s="475"/>
      <c r="AE544" s="475"/>
      <c r="AF544" s="475"/>
    </row>
    <row r="545" spans="2:32">
      <c r="B545" s="471"/>
      <c r="C545" s="475"/>
      <c r="D545" s="475"/>
      <c r="E545" s="475"/>
      <c r="F545" s="474"/>
      <c r="G545" s="475"/>
      <c r="H545" s="474"/>
      <c r="I545" s="474"/>
      <c r="J545" s="475"/>
      <c r="K545" s="475"/>
      <c r="L545" s="475"/>
      <c r="M545" s="475"/>
      <c r="N545" s="475"/>
      <c r="O545" s="475"/>
      <c r="P545" s="475"/>
      <c r="Q545" s="475"/>
      <c r="R545" s="475"/>
      <c r="S545" s="475"/>
      <c r="T545" s="475"/>
      <c r="U545" s="475"/>
      <c r="V545" s="475"/>
      <c r="W545" s="475"/>
      <c r="X545" s="475"/>
      <c r="Y545" s="475"/>
      <c r="Z545" s="475"/>
      <c r="AA545" s="475"/>
      <c r="AB545" s="475"/>
      <c r="AC545" s="475"/>
      <c r="AD545" s="475"/>
      <c r="AE545" s="475"/>
      <c r="AF545" s="475"/>
    </row>
    <row r="546" spans="2:32">
      <c r="B546" s="471"/>
      <c r="C546" s="475"/>
      <c r="D546" s="475"/>
      <c r="E546" s="475"/>
      <c r="F546" s="474"/>
      <c r="G546" s="475"/>
      <c r="H546" s="474"/>
      <c r="I546" s="474"/>
      <c r="J546" s="475"/>
      <c r="K546" s="475"/>
      <c r="L546" s="475"/>
      <c r="M546" s="475"/>
      <c r="N546" s="475"/>
      <c r="O546" s="475"/>
      <c r="P546" s="475"/>
      <c r="Q546" s="475"/>
      <c r="R546" s="475"/>
      <c r="S546" s="475"/>
      <c r="T546" s="475"/>
      <c r="U546" s="475"/>
      <c r="V546" s="475"/>
      <c r="W546" s="475"/>
      <c r="X546" s="475"/>
      <c r="Y546" s="475"/>
      <c r="Z546" s="475"/>
      <c r="AA546" s="475"/>
      <c r="AB546" s="475"/>
      <c r="AC546" s="475"/>
      <c r="AD546" s="475"/>
      <c r="AE546" s="475"/>
      <c r="AF546" s="475"/>
    </row>
    <row r="547" spans="2:32">
      <c r="B547" s="471"/>
      <c r="C547" s="475"/>
      <c r="D547" s="475"/>
      <c r="E547" s="475"/>
      <c r="F547" s="474"/>
      <c r="G547" s="475"/>
      <c r="H547" s="474"/>
      <c r="I547" s="474"/>
      <c r="J547" s="475"/>
      <c r="K547" s="475"/>
      <c r="L547" s="475"/>
      <c r="M547" s="475"/>
      <c r="N547" s="475"/>
      <c r="O547" s="475"/>
      <c r="P547" s="475"/>
      <c r="Q547" s="475"/>
      <c r="R547" s="475"/>
      <c r="S547" s="475"/>
      <c r="T547" s="475"/>
      <c r="U547" s="475"/>
      <c r="V547" s="475"/>
      <c r="W547" s="475"/>
      <c r="X547" s="475"/>
      <c r="Y547" s="475"/>
      <c r="Z547" s="475"/>
      <c r="AA547" s="475"/>
      <c r="AB547" s="475"/>
      <c r="AC547" s="475"/>
      <c r="AD547" s="475"/>
      <c r="AE547" s="475"/>
      <c r="AF547" s="475"/>
    </row>
    <row r="548" spans="2:32">
      <c r="B548" s="471"/>
      <c r="C548" s="475"/>
      <c r="D548" s="475"/>
      <c r="E548" s="475"/>
      <c r="F548" s="474"/>
      <c r="G548" s="475"/>
      <c r="H548" s="474"/>
      <c r="I548" s="474"/>
      <c r="J548" s="475"/>
      <c r="K548" s="475"/>
      <c r="L548" s="475"/>
      <c r="M548" s="475"/>
      <c r="N548" s="475"/>
      <c r="O548" s="475"/>
      <c r="P548" s="475"/>
      <c r="Q548" s="475"/>
      <c r="R548" s="475"/>
      <c r="S548" s="475"/>
      <c r="T548" s="475"/>
      <c r="U548" s="475"/>
      <c r="V548" s="475"/>
      <c r="W548" s="475"/>
      <c r="X548" s="475"/>
      <c r="Y548" s="475"/>
      <c r="Z548" s="475"/>
      <c r="AA548" s="475"/>
      <c r="AB548" s="475"/>
      <c r="AC548" s="475"/>
      <c r="AD548" s="475"/>
      <c r="AE548" s="475"/>
      <c r="AF548" s="475"/>
    </row>
    <row r="549" spans="2:32">
      <c r="B549" s="471"/>
      <c r="C549" s="475"/>
      <c r="D549" s="475"/>
      <c r="E549" s="475"/>
      <c r="F549" s="474"/>
      <c r="G549" s="475"/>
      <c r="H549" s="474"/>
      <c r="I549" s="474"/>
      <c r="J549" s="475"/>
      <c r="K549" s="475"/>
      <c r="L549" s="475"/>
      <c r="M549" s="475"/>
      <c r="N549" s="475"/>
      <c r="O549" s="475"/>
      <c r="P549" s="475"/>
      <c r="Q549" s="475"/>
      <c r="R549" s="475"/>
      <c r="S549" s="475"/>
      <c r="T549" s="475"/>
      <c r="U549" s="475"/>
      <c r="V549" s="475"/>
      <c r="W549" s="475"/>
      <c r="X549" s="475"/>
      <c r="Y549" s="475"/>
      <c r="Z549" s="475"/>
      <c r="AA549" s="475"/>
      <c r="AB549" s="475"/>
      <c r="AC549" s="475"/>
      <c r="AD549" s="475"/>
      <c r="AE549" s="475"/>
      <c r="AF549" s="475"/>
    </row>
    <row r="550" spans="2:32">
      <c r="B550" s="471"/>
      <c r="C550" s="475"/>
      <c r="D550" s="475"/>
      <c r="E550" s="475"/>
      <c r="F550" s="474"/>
      <c r="G550" s="475"/>
      <c r="H550" s="474"/>
      <c r="I550" s="474"/>
      <c r="J550" s="475"/>
      <c r="K550" s="475"/>
      <c r="L550" s="475"/>
      <c r="M550" s="475"/>
      <c r="N550" s="475"/>
      <c r="O550" s="475"/>
      <c r="P550" s="475"/>
      <c r="Q550" s="475"/>
      <c r="R550" s="475"/>
      <c r="S550" s="475"/>
      <c r="T550" s="475"/>
      <c r="U550" s="475"/>
      <c r="V550" s="475"/>
      <c r="W550" s="475"/>
      <c r="X550" s="475"/>
      <c r="Y550" s="475"/>
      <c r="Z550" s="475"/>
      <c r="AA550" s="475"/>
      <c r="AB550" s="475"/>
      <c r="AC550" s="475"/>
      <c r="AD550" s="475"/>
      <c r="AE550" s="475"/>
      <c r="AF550" s="475"/>
    </row>
    <row r="551" spans="2:32">
      <c r="B551" s="471"/>
      <c r="C551" s="475"/>
      <c r="D551" s="475"/>
      <c r="E551" s="475"/>
      <c r="F551" s="474"/>
      <c r="G551" s="475"/>
      <c r="H551" s="474"/>
      <c r="I551" s="474"/>
      <c r="J551" s="475"/>
      <c r="K551" s="475"/>
      <c r="L551" s="475"/>
      <c r="M551" s="475"/>
      <c r="N551" s="475"/>
      <c r="O551" s="475"/>
      <c r="P551" s="475"/>
      <c r="Q551" s="475"/>
      <c r="R551" s="475"/>
      <c r="S551" s="475"/>
      <c r="T551" s="475"/>
      <c r="U551" s="475"/>
      <c r="V551" s="475"/>
      <c r="W551" s="475"/>
      <c r="X551" s="475"/>
      <c r="Y551" s="475"/>
      <c r="Z551" s="475"/>
      <c r="AA551" s="475"/>
      <c r="AB551" s="475"/>
      <c r="AC551" s="475"/>
      <c r="AD551" s="475"/>
      <c r="AE551" s="475"/>
      <c r="AF551" s="475"/>
    </row>
    <row r="552" spans="2:32">
      <c r="B552" s="471"/>
      <c r="C552" s="475"/>
      <c r="D552" s="475"/>
      <c r="E552" s="475"/>
      <c r="F552" s="474"/>
      <c r="G552" s="475"/>
      <c r="H552" s="474"/>
      <c r="I552" s="474"/>
      <c r="J552" s="475"/>
      <c r="K552" s="475"/>
      <c r="L552" s="475"/>
      <c r="M552" s="475"/>
      <c r="N552" s="475"/>
      <c r="O552" s="475"/>
      <c r="P552" s="475"/>
      <c r="Q552" s="475"/>
      <c r="R552" s="475"/>
      <c r="S552" s="475"/>
      <c r="T552" s="475"/>
      <c r="U552" s="475"/>
      <c r="V552" s="475"/>
      <c r="W552" s="475"/>
      <c r="X552" s="475"/>
      <c r="Y552" s="475"/>
      <c r="Z552" s="475"/>
      <c r="AA552" s="475"/>
      <c r="AB552" s="475"/>
      <c r="AC552" s="475"/>
      <c r="AD552" s="475"/>
      <c r="AE552" s="475"/>
      <c r="AF552" s="475"/>
    </row>
    <row r="553" spans="2:32">
      <c r="B553" s="471"/>
      <c r="C553" s="475"/>
      <c r="D553" s="475"/>
      <c r="E553" s="475"/>
      <c r="F553" s="474"/>
      <c r="G553" s="475"/>
      <c r="H553" s="474"/>
      <c r="I553" s="474"/>
      <c r="J553" s="475"/>
      <c r="K553" s="475"/>
      <c r="L553" s="475"/>
      <c r="M553" s="475"/>
      <c r="N553" s="475"/>
      <c r="O553" s="475"/>
      <c r="P553" s="475"/>
      <c r="Q553" s="475"/>
      <c r="R553" s="475"/>
      <c r="S553" s="475"/>
      <c r="T553" s="475"/>
      <c r="U553" s="475"/>
      <c r="V553" s="475"/>
      <c r="W553" s="475"/>
      <c r="X553" s="475"/>
      <c r="Y553" s="475"/>
      <c r="Z553" s="475"/>
      <c r="AA553" s="475"/>
      <c r="AB553" s="475"/>
      <c r="AC553" s="475"/>
      <c r="AD553" s="475"/>
      <c r="AE553" s="475"/>
      <c r="AF553" s="475"/>
    </row>
    <row r="554" spans="2:32">
      <c r="B554" s="471"/>
      <c r="C554" s="475"/>
      <c r="D554" s="475"/>
      <c r="E554" s="475"/>
      <c r="F554" s="474"/>
      <c r="G554" s="475"/>
      <c r="H554" s="474"/>
      <c r="I554" s="474"/>
      <c r="J554" s="475"/>
      <c r="K554" s="475"/>
      <c r="L554" s="475"/>
      <c r="M554" s="475"/>
      <c r="N554" s="475"/>
      <c r="O554" s="475"/>
      <c r="P554" s="475"/>
      <c r="Q554" s="475"/>
      <c r="R554" s="475"/>
      <c r="S554" s="475"/>
      <c r="T554" s="475"/>
      <c r="U554" s="475"/>
      <c r="V554" s="475"/>
      <c r="W554" s="475"/>
      <c r="X554" s="475"/>
      <c r="Y554" s="475"/>
      <c r="Z554" s="475"/>
      <c r="AA554" s="475"/>
      <c r="AB554" s="475"/>
      <c r="AC554" s="475"/>
      <c r="AD554" s="475"/>
      <c r="AE554" s="475"/>
      <c r="AF554" s="475"/>
    </row>
    <row r="555" spans="2:32">
      <c r="B555" s="471"/>
      <c r="C555" s="475"/>
      <c r="D555" s="475"/>
      <c r="E555" s="475"/>
      <c r="F555" s="474"/>
      <c r="G555" s="475"/>
      <c r="H555" s="474"/>
      <c r="I555" s="474"/>
      <c r="J555" s="475"/>
      <c r="K555" s="475"/>
      <c r="L555" s="475"/>
      <c r="M555" s="475"/>
      <c r="N555" s="475"/>
      <c r="O555" s="475"/>
      <c r="P555" s="475"/>
      <c r="Q555" s="475"/>
      <c r="R555" s="475"/>
      <c r="S555" s="475"/>
      <c r="T555" s="475"/>
      <c r="U555" s="475"/>
      <c r="V555" s="475"/>
      <c r="W555" s="475"/>
      <c r="X555" s="475"/>
      <c r="Y555" s="475"/>
      <c r="Z555" s="475"/>
      <c r="AA555" s="475"/>
      <c r="AB555" s="475"/>
      <c r="AC555" s="475"/>
      <c r="AD555" s="475"/>
      <c r="AE555" s="475"/>
      <c r="AF555" s="475"/>
    </row>
    <row r="556" spans="2:32">
      <c r="B556" s="471"/>
      <c r="C556" s="475"/>
      <c r="D556" s="475"/>
      <c r="E556" s="475"/>
      <c r="F556" s="474"/>
      <c r="G556" s="475"/>
      <c r="H556" s="474"/>
      <c r="I556" s="474"/>
      <c r="J556" s="475"/>
      <c r="K556" s="475"/>
      <c r="L556" s="475"/>
      <c r="M556" s="475"/>
      <c r="N556" s="475"/>
      <c r="O556" s="475"/>
      <c r="P556" s="475"/>
      <c r="Q556" s="475"/>
      <c r="R556" s="475"/>
      <c r="S556" s="475"/>
      <c r="T556" s="475"/>
      <c r="U556" s="475"/>
      <c r="V556" s="475"/>
      <c r="W556" s="475"/>
      <c r="X556" s="475"/>
      <c r="Y556" s="475"/>
      <c r="Z556" s="475"/>
      <c r="AA556" s="475"/>
      <c r="AB556" s="475"/>
      <c r="AC556" s="475"/>
      <c r="AD556" s="475"/>
      <c r="AE556" s="475"/>
      <c r="AF556" s="475"/>
    </row>
    <row r="557" spans="2:32">
      <c r="B557" s="471"/>
      <c r="C557" s="475"/>
      <c r="D557" s="475"/>
      <c r="E557" s="475"/>
      <c r="F557" s="474"/>
      <c r="G557" s="475"/>
      <c r="H557" s="474"/>
      <c r="I557" s="474"/>
      <c r="J557" s="475"/>
      <c r="K557" s="475"/>
      <c r="L557" s="475"/>
      <c r="M557" s="475"/>
      <c r="N557" s="475"/>
      <c r="O557" s="475"/>
      <c r="P557" s="475"/>
      <c r="Q557" s="475"/>
      <c r="R557" s="475"/>
      <c r="S557" s="475"/>
      <c r="T557" s="475"/>
      <c r="U557" s="475"/>
      <c r="V557" s="475"/>
      <c r="W557" s="475"/>
      <c r="X557" s="475"/>
      <c r="Y557" s="475"/>
      <c r="Z557" s="475"/>
      <c r="AA557" s="475"/>
      <c r="AB557" s="475"/>
      <c r="AC557" s="475"/>
      <c r="AD557" s="475"/>
      <c r="AE557" s="475"/>
      <c r="AF557" s="475"/>
    </row>
    <row r="558" spans="2:32">
      <c r="B558" s="471"/>
      <c r="C558" s="475"/>
      <c r="D558" s="475"/>
      <c r="E558" s="475"/>
      <c r="F558" s="474"/>
      <c r="G558" s="475"/>
      <c r="H558" s="474"/>
      <c r="I558" s="474"/>
      <c r="J558" s="475"/>
      <c r="K558" s="475"/>
      <c r="L558" s="475"/>
      <c r="M558" s="475"/>
      <c r="N558" s="475"/>
      <c r="O558" s="475"/>
      <c r="P558" s="475"/>
      <c r="Q558" s="475"/>
      <c r="R558" s="475"/>
      <c r="S558" s="475"/>
      <c r="T558" s="475"/>
      <c r="U558" s="475"/>
      <c r="V558" s="475"/>
      <c r="W558" s="475"/>
      <c r="X558" s="475"/>
      <c r="Y558" s="475"/>
      <c r="Z558" s="475"/>
      <c r="AA558" s="475"/>
      <c r="AB558" s="475"/>
      <c r="AC558" s="475"/>
      <c r="AD558" s="475"/>
      <c r="AE558" s="475"/>
      <c r="AF558" s="475"/>
    </row>
    <row r="559" spans="2:32">
      <c r="B559" s="471"/>
      <c r="C559" s="475"/>
      <c r="D559" s="475"/>
      <c r="E559" s="475"/>
      <c r="F559" s="474"/>
      <c r="G559" s="475"/>
      <c r="H559" s="474"/>
      <c r="I559" s="474"/>
      <c r="J559" s="475"/>
      <c r="K559" s="475"/>
      <c r="L559" s="475"/>
      <c r="M559" s="475"/>
      <c r="N559" s="475"/>
      <c r="O559" s="475"/>
      <c r="P559" s="475"/>
      <c r="Q559" s="475"/>
      <c r="R559" s="475"/>
      <c r="S559" s="475"/>
      <c r="T559" s="475"/>
      <c r="U559" s="475"/>
      <c r="V559" s="475"/>
      <c r="W559" s="475"/>
      <c r="X559" s="475"/>
      <c r="Y559" s="475"/>
      <c r="Z559" s="475"/>
      <c r="AA559" s="475"/>
      <c r="AB559" s="475"/>
      <c r="AC559" s="475"/>
      <c r="AD559" s="475"/>
      <c r="AE559" s="475"/>
      <c r="AF559" s="475"/>
    </row>
    <row r="560" spans="2:32">
      <c r="B560" s="471"/>
      <c r="C560" s="475"/>
      <c r="D560" s="475"/>
      <c r="E560" s="475"/>
      <c r="F560" s="474"/>
      <c r="G560" s="475"/>
      <c r="H560" s="474"/>
      <c r="I560" s="474"/>
      <c r="J560" s="475"/>
      <c r="K560" s="475"/>
      <c r="L560" s="475"/>
      <c r="M560" s="475"/>
      <c r="N560" s="475"/>
      <c r="O560" s="475"/>
      <c r="P560" s="475"/>
      <c r="Q560" s="475"/>
      <c r="R560" s="475"/>
      <c r="S560" s="475"/>
      <c r="T560" s="475"/>
      <c r="U560" s="475"/>
      <c r="V560" s="475"/>
      <c r="W560" s="475"/>
      <c r="X560" s="475"/>
      <c r="Y560" s="475"/>
      <c r="Z560" s="475"/>
      <c r="AA560" s="475"/>
      <c r="AB560" s="475"/>
      <c r="AC560" s="475"/>
      <c r="AD560" s="475"/>
      <c r="AE560" s="475"/>
      <c r="AF560" s="475"/>
    </row>
    <row r="561" spans="2:32">
      <c r="B561" s="471"/>
      <c r="C561" s="475"/>
      <c r="D561" s="475"/>
      <c r="E561" s="475"/>
      <c r="F561" s="474"/>
      <c r="G561" s="475"/>
      <c r="H561" s="474"/>
      <c r="I561" s="474"/>
      <c r="J561" s="475"/>
      <c r="K561" s="475"/>
      <c r="L561" s="475"/>
      <c r="M561" s="475"/>
      <c r="N561" s="475"/>
      <c r="O561" s="475"/>
      <c r="P561" s="475"/>
      <c r="Q561" s="475"/>
      <c r="R561" s="475"/>
      <c r="S561" s="475"/>
      <c r="T561" s="475"/>
      <c r="U561" s="475"/>
      <c r="V561" s="475"/>
      <c r="W561" s="475"/>
      <c r="X561" s="475"/>
      <c r="Y561" s="475"/>
      <c r="Z561" s="475"/>
      <c r="AA561" s="475"/>
      <c r="AB561" s="475"/>
      <c r="AC561" s="475"/>
      <c r="AD561" s="475"/>
      <c r="AE561" s="475"/>
      <c r="AF561" s="475"/>
    </row>
    <row r="562" spans="2:32">
      <c r="B562" s="471"/>
      <c r="C562" s="475"/>
      <c r="D562" s="475"/>
      <c r="E562" s="475"/>
      <c r="F562" s="474"/>
      <c r="G562" s="475"/>
      <c r="H562" s="474"/>
      <c r="I562" s="474"/>
      <c r="J562" s="475"/>
      <c r="K562" s="475"/>
      <c r="L562" s="475"/>
      <c r="M562" s="475"/>
      <c r="N562" s="475"/>
      <c r="O562" s="475"/>
      <c r="P562" s="475"/>
      <c r="Q562" s="475"/>
      <c r="R562" s="475"/>
      <c r="S562" s="475"/>
      <c r="T562" s="475"/>
      <c r="U562" s="475"/>
      <c r="V562" s="475"/>
      <c r="W562" s="475"/>
      <c r="X562" s="475"/>
      <c r="Y562" s="475"/>
      <c r="Z562" s="475"/>
      <c r="AA562" s="475"/>
      <c r="AB562" s="475"/>
      <c r="AC562" s="475"/>
      <c r="AD562" s="475"/>
      <c r="AE562" s="475"/>
      <c r="AF562" s="475"/>
    </row>
    <row r="563" spans="2:32">
      <c r="B563" s="471"/>
      <c r="C563" s="475"/>
      <c r="D563" s="475"/>
      <c r="E563" s="475"/>
      <c r="F563" s="474"/>
      <c r="G563" s="475"/>
      <c r="H563" s="474"/>
      <c r="I563" s="474"/>
      <c r="J563" s="475"/>
      <c r="K563" s="475"/>
      <c r="L563" s="475"/>
      <c r="M563" s="475"/>
      <c r="N563" s="475"/>
      <c r="O563" s="475"/>
      <c r="P563" s="475"/>
      <c r="Q563" s="475"/>
      <c r="R563" s="475"/>
      <c r="S563" s="475"/>
      <c r="T563" s="475"/>
      <c r="U563" s="475"/>
      <c r="V563" s="475"/>
      <c r="W563" s="475"/>
      <c r="X563" s="475"/>
      <c r="Y563" s="475"/>
      <c r="Z563" s="475"/>
      <c r="AA563" s="475"/>
      <c r="AB563" s="475"/>
      <c r="AC563" s="475"/>
      <c r="AD563" s="475"/>
      <c r="AE563" s="475"/>
      <c r="AF563" s="475"/>
    </row>
    <row r="564" spans="2:32">
      <c r="B564" s="471"/>
      <c r="C564" s="475"/>
      <c r="D564" s="475"/>
      <c r="E564" s="475"/>
      <c r="F564" s="474"/>
      <c r="G564" s="475"/>
      <c r="H564" s="474"/>
      <c r="I564" s="474"/>
      <c r="J564" s="475"/>
      <c r="K564" s="475"/>
      <c r="L564" s="475"/>
      <c r="M564" s="475"/>
      <c r="N564" s="475"/>
      <c r="O564" s="475"/>
      <c r="P564" s="475"/>
      <c r="Q564" s="475"/>
      <c r="R564" s="475"/>
      <c r="S564" s="475"/>
      <c r="T564" s="475"/>
      <c r="U564" s="475"/>
      <c r="V564" s="475"/>
      <c r="W564" s="475"/>
      <c r="X564" s="475"/>
      <c r="Y564" s="475"/>
      <c r="Z564" s="475"/>
      <c r="AA564" s="475"/>
      <c r="AB564" s="475"/>
      <c r="AC564" s="475"/>
      <c r="AD564" s="475"/>
      <c r="AE564" s="475"/>
      <c r="AF564" s="475"/>
    </row>
    <row r="565" spans="2:32">
      <c r="B565" s="471"/>
      <c r="C565" s="475"/>
      <c r="D565" s="475"/>
      <c r="E565" s="475"/>
      <c r="F565" s="474"/>
      <c r="G565" s="475"/>
      <c r="H565" s="474"/>
      <c r="I565" s="474"/>
      <c r="J565" s="475"/>
      <c r="K565" s="475"/>
      <c r="L565" s="475"/>
      <c r="M565" s="475"/>
      <c r="N565" s="475"/>
      <c r="O565" s="475"/>
      <c r="P565" s="475"/>
      <c r="Q565" s="475"/>
      <c r="R565" s="475"/>
      <c r="S565" s="475"/>
      <c r="T565" s="475"/>
      <c r="U565" s="475"/>
      <c r="V565" s="475"/>
      <c r="W565" s="475"/>
      <c r="X565" s="475"/>
      <c r="Y565" s="475"/>
      <c r="Z565" s="475"/>
      <c r="AA565" s="475"/>
      <c r="AB565" s="475"/>
      <c r="AC565" s="475"/>
      <c r="AD565" s="475"/>
      <c r="AE565" s="475"/>
      <c r="AF565" s="475"/>
    </row>
    <row r="566" spans="2:32">
      <c r="B566" s="471"/>
      <c r="C566" s="475"/>
      <c r="D566" s="475"/>
      <c r="E566" s="475"/>
      <c r="F566" s="474"/>
      <c r="G566" s="475"/>
      <c r="H566" s="474"/>
      <c r="I566" s="474"/>
      <c r="J566" s="475"/>
      <c r="K566" s="475"/>
      <c r="L566" s="475"/>
      <c r="M566" s="475"/>
      <c r="N566" s="475"/>
      <c r="O566" s="475"/>
      <c r="P566" s="475"/>
      <c r="Q566" s="475"/>
      <c r="R566" s="475"/>
      <c r="S566" s="475"/>
      <c r="T566" s="475"/>
      <c r="U566" s="475"/>
      <c r="V566" s="475"/>
      <c r="W566" s="475"/>
      <c r="X566" s="475"/>
      <c r="Y566" s="475"/>
      <c r="Z566" s="475"/>
      <c r="AA566" s="475"/>
      <c r="AB566" s="475"/>
      <c r="AC566" s="475"/>
      <c r="AD566" s="475"/>
      <c r="AE566" s="475"/>
      <c r="AF566" s="475"/>
    </row>
    <row r="567" spans="2:32">
      <c r="B567" s="471"/>
      <c r="C567" s="475"/>
      <c r="D567" s="475"/>
      <c r="E567" s="475"/>
      <c r="F567" s="474"/>
      <c r="G567" s="475"/>
      <c r="H567" s="474"/>
      <c r="I567" s="474"/>
      <c r="J567" s="475"/>
      <c r="K567" s="475"/>
      <c r="L567" s="475"/>
      <c r="M567" s="475"/>
      <c r="N567" s="475"/>
      <c r="O567" s="475"/>
      <c r="P567" s="475"/>
      <c r="Q567" s="475"/>
      <c r="R567" s="475"/>
      <c r="S567" s="475"/>
      <c r="T567" s="475"/>
      <c r="U567" s="475"/>
      <c r="V567" s="475"/>
      <c r="W567" s="475"/>
      <c r="X567" s="475"/>
      <c r="Y567" s="475"/>
      <c r="Z567" s="475"/>
      <c r="AA567" s="475"/>
      <c r="AB567" s="475"/>
      <c r="AC567" s="475"/>
      <c r="AD567" s="475"/>
      <c r="AE567" s="475"/>
      <c r="AF567" s="475"/>
    </row>
    <row r="568" spans="2:32">
      <c r="B568" s="471"/>
      <c r="C568" s="475"/>
      <c r="D568" s="475"/>
      <c r="E568" s="475"/>
      <c r="F568" s="474"/>
      <c r="G568" s="475"/>
      <c r="H568" s="474"/>
      <c r="I568" s="474"/>
      <c r="J568" s="475"/>
      <c r="K568" s="475"/>
      <c r="L568" s="475"/>
      <c r="M568" s="475"/>
      <c r="N568" s="475"/>
      <c r="O568" s="475"/>
      <c r="P568" s="475"/>
      <c r="Q568" s="475"/>
      <c r="R568" s="475"/>
      <c r="S568" s="475"/>
      <c r="T568" s="475"/>
      <c r="U568" s="475"/>
      <c r="V568" s="475"/>
      <c r="W568" s="475"/>
      <c r="X568" s="475"/>
      <c r="Y568" s="475"/>
      <c r="Z568" s="475"/>
      <c r="AA568" s="475"/>
      <c r="AB568" s="475"/>
      <c r="AC568" s="475"/>
      <c r="AD568" s="475"/>
      <c r="AE568" s="475"/>
      <c r="AF568" s="475"/>
    </row>
    <row r="569" spans="2:32">
      <c r="B569" s="471"/>
      <c r="C569" s="475"/>
      <c r="D569" s="475"/>
      <c r="E569" s="475"/>
      <c r="F569" s="474"/>
      <c r="G569" s="475"/>
      <c r="H569" s="474"/>
      <c r="I569" s="474"/>
      <c r="J569" s="475"/>
      <c r="K569" s="475"/>
      <c r="L569" s="475"/>
      <c r="M569" s="475"/>
      <c r="N569" s="475"/>
      <c r="O569" s="475"/>
      <c r="P569" s="475"/>
      <c r="Q569" s="475"/>
      <c r="R569" s="475"/>
      <c r="S569" s="475"/>
      <c r="T569" s="475"/>
      <c r="U569" s="475"/>
      <c r="V569" s="475"/>
      <c r="W569" s="475"/>
      <c r="X569" s="475"/>
      <c r="Y569" s="475"/>
      <c r="Z569" s="475"/>
      <c r="AA569" s="475"/>
      <c r="AB569" s="475"/>
      <c r="AC569" s="475"/>
      <c r="AD569" s="475"/>
      <c r="AE569" s="475"/>
      <c r="AF569" s="475"/>
    </row>
    <row r="570" spans="2:32">
      <c r="B570" s="471"/>
      <c r="C570" s="475"/>
      <c r="D570" s="475"/>
      <c r="E570" s="475"/>
      <c r="F570" s="474"/>
      <c r="G570" s="475"/>
      <c r="H570" s="474"/>
      <c r="I570" s="474"/>
      <c r="J570" s="475"/>
      <c r="K570" s="475"/>
      <c r="L570" s="475"/>
      <c r="M570" s="475"/>
      <c r="N570" s="475"/>
      <c r="O570" s="475"/>
      <c r="P570" s="475"/>
      <c r="Q570" s="475"/>
      <c r="R570" s="475"/>
      <c r="S570" s="475"/>
      <c r="T570" s="475"/>
      <c r="U570" s="475"/>
      <c r="V570" s="475"/>
      <c r="W570" s="475"/>
      <c r="X570" s="475"/>
      <c r="Y570" s="475"/>
      <c r="Z570" s="475"/>
      <c r="AA570" s="475"/>
      <c r="AB570" s="475"/>
      <c r="AC570" s="475"/>
      <c r="AD570" s="475"/>
      <c r="AE570" s="475"/>
      <c r="AF570" s="475"/>
    </row>
    <row r="571" spans="2:32">
      <c r="B571" s="471"/>
      <c r="C571" s="475"/>
      <c r="D571" s="475"/>
      <c r="E571" s="475"/>
      <c r="F571" s="474"/>
      <c r="G571" s="475"/>
      <c r="H571" s="474"/>
      <c r="I571" s="474"/>
      <c r="J571" s="475"/>
      <c r="K571" s="475"/>
      <c r="L571" s="475"/>
      <c r="M571" s="475"/>
      <c r="N571" s="475"/>
      <c r="O571" s="475"/>
      <c r="P571" s="475"/>
      <c r="Q571" s="475"/>
      <c r="R571" s="475"/>
      <c r="S571" s="475"/>
      <c r="T571" s="475"/>
      <c r="U571" s="475"/>
      <c r="V571" s="475"/>
      <c r="W571" s="475"/>
      <c r="X571" s="475"/>
      <c r="Y571" s="475"/>
      <c r="Z571" s="475"/>
      <c r="AA571" s="475"/>
      <c r="AB571" s="475"/>
      <c r="AC571" s="475"/>
      <c r="AD571" s="475"/>
      <c r="AE571" s="475"/>
      <c r="AF571" s="475"/>
    </row>
    <row r="572" spans="2:32">
      <c r="B572" s="471"/>
      <c r="C572" s="475"/>
      <c r="D572" s="475"/>
      <c r="E572" s="475"/>
      <c r="F572" s="474"/>
      <c r="G572" s="475"/>
      <c r="H572" s="474"/>
      <c r="I572" s="474"/>
      <c r="J572" s="475"/>
      <c r="K572" s="475"/>
      <c r="L572" s="475"/>
      <c r="M572" s="475"/>
      <c r="N572" s="475"/>
      <c r="O572" s="475"/>
      <c r="P572" s="475"/>
      <c r="Q572" s="475"/>
      <c r="R572" s="475"/>
      <c r="S572" s="475"/>
      <c r="T572" s="475"/>
      <c r="U572" s="475"/>
      <c r="V572" s="475"/>
      <c r="W572" s="475"/>
      <c r="X572" s="475"/>
      <c r="Y572" s="475"/>
      <c r="Z572" s="475"/>
      <c r="AA572" s="475"/>
      <c r="AB572" s="475"/>
      <c r="AC572" s="475"/>
      <c r="AD572" s="475"/>
      <c r="AE572" s="475"/>
      <c r="AF572" s="475"/>
    </row>
    <row r="573" spans="2:32">
      <c r="B573" s="471"/>
      <c r="C573" s="475"/>
      <c r="D573" s="475"/>
      <c r="E573" s="475"/>
      <c r="F573" s="474"/>
      <c r="G573" s="475"/>
      <c r="H573" s="474"/>
      <c r="I573" s="474"/>
      <c r="J573" s="475"/>
      <c r="K573" s="475"/>
      <c r="L573" s="475"/>
      <c r="M573" s="475"/>
      <c r="N573" s="475"/>
      <c r="O573" s="475"/>
      <c r="P573" s="475"/>
      <c r="Q573" s="475"/>
      <c r="R573" s="475"/>
      <c r="S573" s="475"/>
      <c r="T573" s="475"/>
      <c r="U573" s="475"/>
      <c r="V573" s="475"/>
      <c r="W573" s="475"/>
      <c r="X573" s="475"/>
      <c r="Y573" s="475"/>
      <c r="Z573" s="475"/>
      <c r="AA573" s="475"/>
      <c r="AB573" s="475"/>
      <c r="AC573" s="475"/>
      <c r="AD573" s="475"/>
      <c r="AE573" s="475"/>
      <c r="AF573" s="475"/>
    </row>
    <row r="574" spans="2:32">
      <c r="B574" s="471"/>
      <c r="C574" s="475"/>
      <c r="D574" s="475"/>
      <c r="E574" s="475"/>
      <c r="F574" s="474"/>
      <c r="G574" s="475"/>
      <c r="H574" s="474"/>
      <c r="I574" s="474"/>
      <c r="J574" s="475"/>
      <c r="K574" s="475"/>
      <c r="L574" s="475"/>
      <c r="M574" s="475"/>
      <c r="N574" s="475"/>
      <c r="O574" s="475"/>
      <c r="P574" s="475"/>
      <c r="Q574" s="475"/>
      <c r="R574" s="475"/>
      <c r="S574" s="475"/>
      <c r="T574" s="475"/>
      <c r="U574" s="475"/>
      <c r="V574" s="475"/>
      <c r="W574" s="475"/>
      <c r="X574" s="475"/>
      <c r="Y574" s="475"/>
      <c r="Z574" s="475"/>
      <c r="AA574" s="475"/>
      <c r="AB574" s="475"/>
      <c r="AC574" s="475"/>
      <c r="AD574" s="475"/>
      <c r="AE574" s="475"/>
      <c r="AF574" s="475"/>
    </row>
    <row r="575" spans="2:32">
      <c r="B575" s="471"/>
      <c r="C575" s="475"/>
      <c r="D575" s="475"/>
      <c r="E575" s="475"/>
      <c r="F575" s="474"/>
      <c r="G575" s="475"/>
      <c r="H575" s="474"/>
      <c r="I575" s="474"/>
      <c r="J575" s="475"/>
      <c r="K575" s="475"/>
      <c r="L575" s="475"/>
      <c r="M575" s="475"/>
      <c r="N575" s="475"/>
      <c r="O575" s="475"/>
      <c r="P575" s="475"/>
      <c r="Q575" s="475"/>
      <c r="R575" s="475"/>
      <c r="S575" s="475"/>
      <c r="T575" s="475"/>
      <c r="U575" s="475"/>
      <c r="V575" s="475"/>
      <c r="W575" s="475"/>
      <c r="X575" s="475"/>
      <c r="Y575" s="475"/>
      <c r="Z575" s="475"/>
      <c r="AA575" s="475"/>
      <c r="AB575" s="475"/>
      <c r="AC575" s="475"/>
      <c r="AD575" s="475"/>
      <c r="AE575" s="475"/>
      <c r="AF575" s="475"/>
    </row>
    <row r="576" spans="2:32">
      <c r="B576" s="471"/>
      <c r="C576" s="475"/>
      <c r="D576" s="475"/>
      <c r="E576" s="475"/>
      <c r="F576" s="474"/>
      <c r="G576" s="475"/>
      <c r="H576" s="474"/>
      <c r="I576" s="474"/>
      <c r="J576" s="475"/>
      <c r="K576" s="475"/>
      <c r="L576" s="475"/>
      <c r="M576" s="475"/>
      <c r="N576" s="475"/>
      <c r="O576" s="475"/>
      <c r="P576" s="475"/>
      <c r="Q576" s="475"/>
      <c r="R576" s="475"/>
      <c r="S576" s="475"/>
      <c r="T576" s="475"/>
      <c r="U576" s="475"/>
      <c r="V576" s="475"/>
      <c r="W576" s="475"/>
      <c r="X576" s="475"/>
      <c r="Y576" s="475"/>
      <c r="Z576" s="475"/>
      <c r="AA576" s="475"/>
      <c r="AB576" s="475"/>
      <c r="AC576" s="475"/>
      <c r="AD576" s="475"/>
      <c r="AE576" s="475"/>
      <c r="AF576" s="475"/>
    </row>
    <row r="577" spans="2:32">
      <c r="B577" s="471"/>
      <c r="C577" s="475"/>
      <c r="D577" s="475"/>
      <c r="E577" s="475"/>
      <c r="F577" s="474"/>
      <c r="G577" s="475"/>
      <c r="H577" s="474"/>
      <c r="I577" s="474"/>
      <c r="J577" s="475"/>
      <c r="K577" s="475"/>
      <c r="L577" s="475"/>
      <c r="M577" s="475"/>
      <c r="N577" s="475"/>
      <c r="O577" s="475"/>
      <c r="P577" s="475"/>
      <c r="Q577" s="475"/>
      <c r="R577" s="475"/>
      <c r="S577" s="475"/>
      <c r="T577" s="475"/>
      <c r="U577" s="475"/>
      <c r="V577" s="475"/>
      <c r="W577" s="475"/>
      <c r="X577" s="475"/>
      <c r="Y577" s="475"/>
      <c r="Z577" s="475"/>
      <c r="AA577" s="475"/>
      <c r="AB577" s="475"/>
      <c r="AC577" s="475"/>
      <c r="AD577" s="475"/>
      <c r="AE577" s="475"/>
      <c r="AF577" s="475"/>
    </row>
    <row r="578" spans="2:32">
      <c r="B578" s="471"/>
      <c r="C578" s="475"/>
      <c r="D578" s="475"/>
      <c r="E578" s="475"/>
      <c r="F578" s="474"/>
      <c r="G578" s="475"/>
      <c r="H578" s="474"/>
      <c r="I578" s="474"/>
      <c r="J578" s="475"/>
      <c r="K578" s="475"/>
      <c r="L578" s="475"/>
      <c r="M578" s="475"/>
      <c r="N578" s="475"/>
      <c r="O578" s="475"/>
      <c r="P578" s="475"/>
      <c r="Q578" s="475"/>
      <c r="R578" s="475"/>
      <c r="S578" s="475"/>
      <c r="T578" s="475"/>
      <c r="U578" s="475"/>
      <c r="V578" s="475"/>
      <c r="W578" s="475"/>
      <c r="X578" s="475"/>
      <c r="Y578" s="475"/>
      <c r="Z578" s="475"/>
      <c r="AA578" s="475"/>
      <c r="AB578" s="475"/>
      <c r="AC578" s="475"/>
      <c r="AD578" s="475"/>
      <c r="AE578" s="475"/>
      <c r="AF578" s="475"/>
    </row>
    <row r="579" spans="2:32">
      <c r="B579" s="471"/>
      <c r="C579" s="475"/>
      <c r="D579" s="475"/>
      <c r="E579" s="475"/>
      <c r="F579" s="474"/>
      <c r="G579" s="475"/>
      <c r="H579" s="474"/>
      <c r="I579" s="474"/>
      <c r="J579" s="475"/>
      <c r="K579" s="475"/>
      <c r="L579" s="475"/>
      <c r="M579" s="475"/>
      <c r="N579" s="475"/>
      <c r="O579" s="475"/>
      <c r="P579" s="475"/>
      <c r="Q579" s="475"/>
      <c r="R579" s="475"/>
      <c r="S579" s="475"/>
      <c r="T579" s="475"/>
      <c r="U579" s="475"/>
      <c r="V579" s="475"/>
      <c r="W579" s="475"/>
      <c r="X579" s="475"/>
      <c r="Y579" s="475"/>
      <c r="Z579" s="475"/>
      <c r="AA579" s="475"/>
      <c r="AB579" s="475"/>
      <c r="AC579" s="475"/>
      <c r="AD579" s="475"/>
      <c r="AE579" s="475"/>
      <c r="AF579" s="475"/>
    </row>
    <row r="580" spans="2:32">
      <c r="B580" s="471"/>
      <c r="C580" s="475"/>
      <c r="D580" s="475"/>
      <c r="E580" s="475"/>
      <c r="F580" s="474"/>
      <c r="G580" s="475"/>
      <c r="H580" s="474"/>
      <c r="I580" s="474"/>
      <c r="J580" s="475"/>
      <c r="K580" s="475"/>
      <c r="L580" s="475"/>
      <c r="M580" s="475"/>
      <c r="N580" s="475"/>
      <c r="O580" s="475"/>
      <c r="P580" s="475"/>
      <c r="Q580" s="475"/>
      <c r="R580" s="475"/>
      <c r="S580" s="475"/>
      <c r="T580" s="475"/>
      <c r="U580" s="475"/>
      <c r="V580" s="475"/>
      <c r="W580" s="475"/>
      <c r="X580" s="475"/>
      <c r="Y580" s="475"/>
      <c r="Z580" s="475"/>
      <c r="AA580" s="475"/>
      <c r="AB580" s="475"/>
      <c r="AC580" s="475"/>
      <c r="AD580" s="475"/>
      <c r="AE580" s="475"/>
      <c r="AF580" s="475"/>
    </row>
    <row r="581" spans="2:32">
      <c r="B581" s="471"/>
      <c r="C581" s="475"/>
      <c r="D581" s="475"/>
      <c r="E581" s="475"/>
      <c r="F581" s="474"/>
      <c r="G581" s="475"/>
      <c r="H581" s="474"/>
      <c r="I581" s="474"/>
      <c r="J581" s="475"/>
      <c r="K581" s="475"/>
      <c r="L581" s="475"/>
      <c r="M581" s="475"/>
      <c r="N581" s="475"/>
      <c r="O581" s="475"/>
      <c r="P581" s="475"/>
      <c r="Q581" s="475"/>
      <c r="R581" s="475"/>
      <c r="S581" s="475"/>
      <c r="T581" s="475"/>
      <c r="U581" s="475"/>
      <c r="V581" s="475"/>
      <c r="W581" s="475"/>
      <c r="X581" s="475"/>
      <c r="Y581" s="475"/>
      <c r="Z581" s="475"/>
      <c r="AA581" s="475"/>
      <c r="AB581" s="475"/>
      <c r="AC581" s="475"/>
      <c r="AD581" s="475"/>
      <c r="AE581" s="475"/>
      <c r="AF581" s="475"/>
    </row>
    <row r="582" spans="2:32">
      <c r="B582" s="471"/>
      <c r="C582" s="475"/>
      <c r="D582" s="475"/>
      <c r="E582" s="475"/>
      <c r="F582" s="474"/>
      <c r="G582" s="475"/>
      <c r="H582" s="474"/>
      <c r="I582" s="474"/>
      <c r="J582" s="475"/>
      <c r="K582" s="475"/>
      <c r="L582" s="475"/>
      <c r="M582" s="475"/>
      <c r="N582" s="475"/>
      <c r="O582" s="475"/>
      <c r="P582" s="475"/>
      <c r="Q582" s="475"/>
      <c r="R582" s="475"/>
      <c r="S582" s="475"/>
      <c r="T582" s="475"/>
      <c r="U582" s="475"/>
      <c r="V582" s="475"/>
      <c r="W582" s="475"/>
      <c r="X582" s="475"/>
      <c r="Y582" s="475"/>
      <c r="Z582" s="475"/>
      <c r="AA582" s="475"/>
      <c r="AB582" s="475"/>
      <c r="AC582" s="475"/>
      <c r="AD582" s="475"/>
      <c r="AE582" s="475"/>
      <c r="AF582" s="475"/>
    </row>
    <row r="583" spans="2:32">
      <c r="B583" s="471"/>
      <c r="C583" s="475"/>
      <c r="D583" s="475"/>
      <c r="E583" s="475"/>
      <c r="F583" s="474"/>
      <c r="G583" s="475"/>
      <c r="H583" s="474"/>
      <c r="I583" s="474"/>
      <c r="J583" s="475"/>
      <c r="K583" s="475"/>
      <c r="L583" s="475"/>
      <c r="M583" s="475"/>
      <c r="N583" s="475"/>
      <c r="O583" s="475"/>
      <c r="P583" s="475"/>
      <c r="Q583" s="475"/>
      <c r="R583" s="475"/>
      <c r="S583" s="475"/>
      <c r="T583" s="475"/>
      <c r="U583" s="475"/>
      <c r="V583" s="475"/>
      <c r="W583" s="475"/>
      <c r="X583" s="475"/>
      <c r="Y583" s="475"/>
      <c r="Z583" s="475"/>
      <c r="AA583" s="475"/>
      <c r="AB583" s="475"/>
      <c r="AC583" s="475"/>
      <c r="AD583" s="475"/>
      <c r="AE583" s="475"/>
      <c r="AF583" s="475"/>
    </row>
    <row r="584" spans="2:32">
      <c r="B584" s="471"/>
      <c r="C584" s="475"/>
      <c r="D584" s="475"/>
      <c r="E584" s="475"/>
      <c r="F584" s="474"/>
      <c r="G584" s="475"/>
      <c r="H584" s="474"/>
      <c r="I584" s="474"/>
      <c r="J584" s="475"/>
      <c r="K584" s="475"/>
      <c r="L584" s="475"/>
      <c r="M584" s="475"/>
      <c r="N584" s="475"/>
      <c r="O584" s="475"/>
      <c r="P584" s="475"/>
      <c r="Q584" s="475"/>
      <c r="R584" s="475"/>
      <c r="S584" s="475"/>
      <c r="T584" s="475"/>
      <c r="U584" s="475"/>
      <c r="V584" s="475"/>
      <c r="W584" s="475"/>
      <c r="X584" s="475"/>
      <c r="Y584" s="475"/>
      <c r="Z584" s="475"/>
      <c r="AA584" s="475"/>
      <c r="AB584" s="475"/>
      <c r="AC584" s="475"/>
      <c r="AD584" s="475"/>
      <c r="AE584" s="475"/>
      <c r="AF584" s="475"/>
    </row>
    <row r="585" spans="2:32">
      <c r="B585" s="471"/>
      <c r="C585" s="475"/>
      <c r="D585" s="475"/>
      <c r="E585" s="475"/>
      <c r="F585" s="474"/>
      <c r="G585" s="475"/>
      <c r="H585" s="474"/>
      <c r="I585" s="474"/>
      <c r="J585" s="475"/>
      <c r="K585" s="475"/>
      <c r="L585" s="475"/>
      <c r="M585" s="475"/>
      <c r="N585" s="475"/>
      <c r="O585" s="475"/>
      <c r="P585" s="475"/>
      <c r="Q585" s="475"/>
      <c r="R585" s="475"/>
      <c r="S585" s="475"/>
      <c r="T585" s="475"/>
      <c r="U585" s="475"/>
      <c r="V585" s="475"/>
      <c r="W585" s="475"/>
      <c r="X585" s="475"/>
      <c r="Y585" s="475"/>
      <c r="Z585" s="475"/>
      <c r="AA585" s="475"/>
      <c r="AB585" s="475"/>
      <c r="AC585" s="475"/>
      <c r="AD585" s="475"/>
      <c r="AE585" s="475"/>
      <c r="AF585" s="475"/>
    </row>
    <row r="586" spans="2:32">
      <c r="B586" s="471"/>
      <c r="C586" s="475"/>
      <c r="D586" s="475"/>
      <c r="E586" s="475"/>
      <c r="F586" s="474"/>
      <c r="G586" s="475"/>
      <c r="H586" s="474"/>
      <c r="I586" s="474"/>
      <c r="J586" s="475"/>
      <c r="K586" s="475"/>
      <c r="L586" s="475"/>
      <c r="M586" s="475"/>
      <c r="N586" s="475"/>
      <c r="O586" s="475"/>
      <c r="P586" s="475"/>
      <c r="Q586" s="475"/>
      <c r="R586" s="475"/>
      <c r="S586" s="475"/>
      <c r="T586" s="475"/>
      <c r="U586" s="475"/>
      <c r="V586" s="475"/>
      <c r="W586" s="475"/>
      <c r="X586" s="475"/>
      <c r="Y586" s="475"/>
      <c r="Z586" s="475"/>
      <c r="AA586" s="475"/>
      <c r="AB586" s="475"/>
      <c r="AC586" s="475"/>
      <c r="AD586" s="475"/>
      <c r="AE586" s="475"/>
      <c r="AF586" s="475"/>
    </row>
    <row r="587" spans="2:32">
      <c r="B587" s="471"/>
      <c r="C587" s="475"/>
      <c r="D587" s="475"/>
      <c r="E587" s="475"/>
      <c r="F587" s="474"/>
      <c r="G587" s="475"/>
      <c r="H587" s="474"/>
      <c r="I587" s="474"/>
      <c r="J587" s="475"/>
      <c r="K587" s="475"/>
      <c r="L587" s="475"/>
      <c r="M587" s="475"/>
      <c r="N587" s="475"/>
      <c r="O587" s="475"/>
      <c r="P587" s="475"/>
      <c r="Q587" s="475"/>
      <c r="R587" s="475"/>
      <c r="S587" s="475"/>
      <c r="T587" s="475"/>
      <c r="U587" s="475"/>
      <c r="V587" s="475"/>
      <c r="W587" s="475"/>
      <c r="X587" s="475"/>
      <c r="Y587" s="475"/>
      <c r="Z587" s="475"/>
      <c r="AA587" s="475"/>
      <c r="AB587" s="475"/>
      <c r="AC587" s="475"/>
      <c r="AD587" s="475"/>
      <c r="AE587" s="475"/>
      <c r="AF587" s="475"/>
    </row>
    <row r="588" spans="2:32">
      <c r="B588" s="471"/>
      <c r="C588" s="475"/>
      <c r="D588" s="475"/>
      <c r="E588" s="475"/>
      <c r="F588" s="474"/>
      <c r="G588" s="475"/>
      <c r="H588" s="474"/>
      <c r="I588" s="474"/>
      <c r="J588" s="475"/>
      <c r="K588" s="475"/>
      <c r="L588" s="475"/>
      <c r="M588" s="475"/>
      <c r="N588" s="475"/>
      <c r="O588" s="475"/>
      <c r="P588" s="475"/>
      <c r="Q588" s="475"/>
      <c r="R588" s="475"/>
      <c r="S588" s="475"/>
      <c r="T588" s="475"/>
      <c r="U588" s="475"/>
      <c r="V588" s="475"/>
      <c r="W588" s="475"/>
      <c r="X588" s="475"/>
      <c r="Y588" s="475"/>
      <c r="Z588" s="475"/>
      <c r="AA588" s="475"/>
      <c r="AB588" s="475"/>
      <c r="AC588" s="475"/>
      <c r="AD588" s="475"/>
      <c r="AE588" s="475"/>
      <c r="AF588" s="475"/>
    </row>
    <row r="589" spans="2:32">
      <c r="B589" s="471"/>
      <c r="C589" s="475"/>
      <c r="D589" s="475"/>
      <c r="E589" s="475"/>
      <c r="F589" s="474"/>
      <c r="G589" s="475"/>
      <c r="H589" s="474"/>
      <c r="I589" s="474"/>
      <c r="J589" s="475"/>
      <c r="K589" s="475"/>
      <c r="L589" s="475"/>
      <c r="M589" s="475"/>
      <c r="N589" s="475"/>
      <c r="O589" s="475"/>
      <c r="P589" s="475"/>
      <c r="Q589" s="475"/>
      <c r="R589" s="475"/>
      <c r="S589" s="475"/>
      <c r="T589" s="475"/>
      <c r="U589" s="475"/>
      <c r="V589" s="475"/>
      <c r="W589" s="475"/>
      <c r="X589" s="475"/>
      <c r="Y589" s="475"/>
      <c r="Z589" s="475"/>
      <c r="AA589" s="475"/>
      <c r="AB589" s="475"/>
      <c r="AC589" s="475"/>
      <c r="AD589" s="475"/>
      <c r="AE589" s="475"/>
      <c r="AF589" s="475"/>
    </row>
    <row r="590" spans="2:32">
      <c r="B590" s="471"/>
      <c r="C590" s="475"/>
      <c r="D590" s="475"/>
      <c r="E590" s="475"/>
      <c r="F590" s="474"/>
      <c r="G590" s="475"/>
      <c r="H590" s="474"/>
      <c r="I590" s="474"/>
      <c r="J590" s="475"/>
      <c r="K590" s="475"/>
      <c r="L590" s="475"/>
      <c r="M590" s="475"/>
      <c r="N590" s="475"/>
      <c r="O590" s="475"/>
      <c r="P590" s="475"/>
      <c r="Q590" s="475"/>
      <c r="R590" s="475"/>
      <c r="S590" s="475"/>
      <c r="T590" s="475"/>
      <c r="U590" s="475"/>
      <c r="V590" s="475"/>
      <c r="W590" s="475"/>
      <c r="X590" s="475"/>
      <c r="Y590" s="475"/>
      <c r="Z590" s="475"/>
      <c r="AA590" s="475"/>
      <c r="AB590" s="475"/>
      <c r="AC590" s="475"/>
      <c r="AD590" s="475"/>
      <c r="AE590" s="475"/>
      <c r="AF590" s="475"/>
    </row>
    <row r="591" spans="2:32">
      <c r="B591" s="471"/>
      <c r="C591" s="475"/>
      <c r="D591" s="475"/>
      <c r="E591" s="475"/>
      <c r="F591" s="474"/>
      <c r="G591" s="475"/>
      <c r="H591" s="474"/>
      <c r="I591" s="474"/>
      <c r="J591" s="475"/>
      <c r="K591" s="475"/>
      <c r="L591" s="475"/>
      <c r="M591" s="475"/>
      <c r="N591" s="475"/>
      <c r="O591" s="475"/>
      <c r="P591" s="475"/>
      <c r="Q591" s="475"/>
      <c r="R591" s="475"/>
      <c r="S591" s="475"/>
      <c r="T591" s="475"/>
      <c r="U591" s="475"/>
      <c r="V591" s="475"/>
      <c r="W591" s="475"/>
      <c r="X591" s="475"/>
      <c r="Y591" s="475"/>
      <c r="Z591" s="475"/>
      <c r="AA591" s="475"/>
      <c r="AB591" s="475"/>
      <c r="AC591" s="475"/>
      <c r="AD591" s="475"/>
      <c r="AE591" s="475"/>
      <c r="AF591" s="475"/>
    </row>
    <row r="592" spans="2:32">
      <c r="B592" s="471"/>
      <c r="C592" s="475"/>
      <c r="D592" s="475"/>
      <c r="E592" s="475"/>
      <c r="F592" s="474"/>
      <c r="G592" s="475"/>
      <c r="H592" s="474"/>
      <c r="I592" s="474"/>
      <c r="J592" s="475"/>
      <c r="K592" s="475"/>
      <c r="L592" s="475"/>
      <c r="M592" s="475"/>
      <c r="N592" s="475"/>
      <c r="O592" s="475"/>
      <c r="P592" s="475"/>
      <c r="Q592" s="475"/>
      <c r="R592" s="475"/>
      <c r="S592" s="475"/>
      <c r="T592" s="475"/>
      <c r="U592" s="475"/>
      <c r="V592" s="475"/>
      <c r="W592" s="475"/>
      <c r="X592" s="475"/>
      <c r="Y592" s="475"/>
      <c r="Z592" s="475"/>
      <c r="AA592" s="475"/>
      <c r="AB592" s="475"/>
      <c r="AC592" s="475"/>
      <c r="AD592" s="475"/>
      <c r="AE592" s="475"/>
      <c r="AF592" s="475"/>
    </row>
    <row r="593" spans="2:32">
      <c r="B593" s="471"/>
      <c r="C593" s="475"/>
      <c r="D593" s="475"/>
      <c r="E593" s="475"/>
      <c r="F593" s="474"/>
      <c r="G593" s="475"/>
      <c r="H593" s="474"/>
      <c r="I593" s="474"/>
      <c r="J593" s="475"/>
      <c r="K593" s="475"/>
      <c r="L593" s="475"/>
      <c r="M593" s="475"/>
      <c r="N593" s="475"/>
      <c r="O593" s="475"/>
      <c r="P593" s="475"/>
      <c r="Q593" s="475"/>
      <c r="R593" s="475"/>
      <c r="S593" s="475"/>
      <c r="T593" s="475"/>
      <c r="U593" s="475"/>
      <c r="V593" s="475"/>
      <c r="W593" s="475"/>
      <c r="X593" s="475"/>
      <c r="Y593" s="475"/>
      <c r="Z593" s="475"/>
      <c r="AA593" s="475"/>
      <c r="AB593" s="475"/>
      <c r="AC593" s="475"/>
      <c r="AD593" s="475"/>
      <c r="AE593" s="475"/>
      <c r="AF593" s="475"/>
    </row>
    <row r="594" spans="2:32">
      <c r="B594" s="471"/>
      <c r="C594" s="475"/>
      <c r="D594" s="475"/>
      <c r="E594" s="475"/>
      <c r="F594" s="474"/>
      <c r="G594" s="475"/>
      <c r="H594" s="474"/>
      <c r="I594" s="474"/>
      <c r="J594" s="475"/>
      <c r="K594" s="475"/>
      <c r="L594" s="475"/>
      <c r="M594" s="475"/>
      <c r="N594" s="475"/>
      <c r="O594" s="475"/>
      <c r="P594" s="475"/>
      <c r="Q594" s="475"/>
      <c r="R594" s="475"/>
      <c r="S594" s="475"/>
      <c r="T594" s="475"/>
      <c r="U594" s="475"/>
      <c r="V594" s="475"/>
      <c r="W594" s="475"/>
      <c r="X594" s="475"/>
      <c r="Y594" s="475"/>
      <c r="Z594" s="475"/>
      <c r="AA594" s="475"/>
      <c r="AB594" s="475"/>
      <c r="AC594" s="475"/>
      <c r="AD594" s="475"/>
      <c r="AE594" s="475"/>
      <c r="AF594" s="475"/>
    </row>
    <row r="595" spans="2:32">
      <c r="B595" s="471"/>
      <c r="C595" s="475"/>
      <c r="D595" s="475"/>
      <c r="E595" s="475"/>
      <c r="F595" s="474"/>
      <c r="G595" s="475"/>
      <c r="H595" s="474"/>
      <c r="I595" s="474"/>
      <c r="J595" s="475"/>
      <c r="K595" s="475"/>
      <c r="L595" s="475"/>
      <c r="M595" s="475"/>
      <c r="N595" s="475"/>
      <c r="O595" s="475"/>
      <c r="P595" s="475"/>
      <c r="Q595" s="475"/>
      <c r="R595" s="475"/>
      <c r="S595" s="475"/>
      <c r="T595" s="475"/>
      <c r="U595" s="475"/>
      <c r="V595" s="475"/>
      <c r="W595" s="475"/>
      <c r="X595" s="475"/>
      <c r="Y595" s="475"/>
      <c r="Z595" s="475"/>
      <c r="AA595" s="475"/>
      <c r="AB595" s="475"/>
      <c r="AC595" s="475"/>
      <c r="AD595" s="475"/>
      <c r="AE595" s="475"/>
      <c r="AF595" s="475"/>
    </row>
    <row r="596" spans="2:32">
      <c r="B596" s="471"/>
      <c r="C596" s="475"/>
      <c r="D596" s="475"/>
      <c r="E596" s="475"/>
      <c r="F596" s="474"/>
      <c r="G596" s="475"/>
      <c r="H596" s="474"/>
      <c r="I596" s="474"/>
      <c r="J596" s="475"/>
      <c r="K596" s="475"/>
      <c r="L596" s="475"/>
      <c r="M596" s="475"/>
      <c r="N596" s="475"/>
      <c r="O596" s="475"/>
      <c r="P596" s="475"/>
      <c r="Q596" s="475"/>
      <c r="R596" s="475"/>
      <c r="S596" s="475"/>
      <c r="T596" s="475"/>
      <c r="U596" s="475"/>
      <c r="V596" s="475"/>
      <c r="W596" s="475"/>
      <c r="X596" s="475"/>
      <c r="Y596" s="475"/>
      <c r="Z596" s="475"/>
      <c r="AA596" s="475"/>
      <c r="AB596" s="475"/>
      <c r="AC596" s="475"/>
      <c r="AD596" s="475"/>
      <c r="AE596" s="475"/>
      <c r="AF596" s="475"/>
    </row>
    <row r="597" spans="2:32">
      <c r="B597" s="471"/>
      <c r="C597" s="475"/>
      <c r="D597" s="475"/>
      <c r="E597" s="475"/>
      <c r="F597" s="474"/>
      <c r="G597" s="475"/>
      <c r="H597" s="474"/>
      <c r="I597" s="474"/>
      <c r="J597" s="475"/>
      <c r="K597" s="475"/>
      <c r="L597" s="475"/>
      <c r="M597" s="475"/>
      <c r="N597" s="475"/>
      <c r="O597" s="475"/>
      <c r="P597" s="475"/>
      <c r="Q597" s="475"/>
      <c r="R597" s="475"/>
      <c r="S597" s="475"/>
      <c r="T597" s="475"/>
      <c r="U597" s="475"/>
      <c r="V597" s="475"/>
      <c r="W597" s="475"/>
      <c r="X597" s="475"/>
      <c r="Y597" s="475"/>
      <c r="Z597" s="475"/>
      <c r="AA597" s="475"/>
      <c r="AB597" s="475"/>
      <c r="AC597" s="475"/>
      <c r="AD597" s="475"/>
      <c r="AE597" s="475"/>
      <c r="AF597" s="475"/>
    </row>
    <row r="598" spans="2:32">
      <c r="B598" s="471"/>
      <c r="C598" s="475"/>
      <c r="D598" s="475"/>
      <c r="E598" s="475"/>
      <c r="F598" s="474"/>
      <c r="G598" s="475"/>
      <c r="H598" s="474"/>
      <c r="I598" s="474"/>
      <c r="J598" s="475"/>
      <c r="K598" s="475"/>
      <c r="L598" s="475"/>
      <c r="M598" s="475"/>
      <c r="N598" s="475"/>
      <c r="O598" s="475"/>
      <c r="P598" s="475"/>
      <c r="Q598" s="475"/>
      <c r="R598" s="475"/>
      <c r="S598" s="475"/>
      <c r="T598" s="475"/>
      <c r="U598" s="475"/>
      <c r="V598" s="475"/>
      <c r="W598" s="475"/>
      <c r="X598" s="475"/>
      <c r="Y598" s="475"/>
      <c r="Z598" s="475"/>
      <c r="AA598" s="475"/>
      <c r="AB598" s="475"/>
      <c r="AC598" s="475"/>
      <c r="AD598" s="475"/>
      <c r="AE598" s="475"/>
      <c r="AF598" s="475"/>
    </row>
    <row r="599" spans="2:32">
      <c r="B599" s="471"/>
      <c r="C599" s="475"/>
      <c r="D599" s="475"/>
      <c r="E599" s="475"/>
      <c r="F599" s="474"/>
      <c r="G599" s="475"/>
      <c r="H599" s="474"/>
      <c r="I599" s="474"/>
      <c r="J599" s="475"/>
      <c r="K599" s="475"/>
      <c r="L599" s="475"/>
      <c r="M599" s="475"/>
      <c r="N599" s="475"/>
      <c r="O599" s="475"/>
      <c r="P599" s="475"/>
      <c r="Q599" s="475"/>
      <c r="R599" s="475"/>
      <c r="S599" s="475"/>
      <c r="T599" s="475"/>
      <c r="U599" s="475"/>
      <c r="V599" s="475"/>
      <c r="W599" s="475"/>
      <c r="X599" s="475"/>
      <c r="Y599" s="475"/>
      <c r="Z599" s="475"/>
      <c r="AA599" s="475"/>
      <c r="AB599" s="475"/>
      <c r="AC599" s="475"/>
      <c r="AD599" s="475"/>
      <c r="AE599" s="475"/>
      <c r="AF599" s="475"/>
    </row>
    <row r="600" spans="2:32">
      <c r="B600" s="471"/>
      <c r="C600" s="475"/>
      <c r="D600" s="475"/>
      <c r="E600" s="475"/>
      <c r="F600" s="474"/>
      <c r="G600" s="475"/>
      <c r="H600" s="474"/>
      <c r="I600" s="474"/>
      <c r="J600" s="475"/>
      <c r="K600" s="475"/>
      <c r="L600" s="475"/>
      <c r="M600" s="475"/>
      <c r="N600" s="475"/>
      <c r="O600" s="475"/>
      <c r="P600" s="475"/>
      <c r="Q600" s="475"/>
      <c r="R600" s="475"/>
      <c r="S600" s="475"/>
      <c r="T600" s="475"/>
      <c r="U600" s="475"/>
      <c r="V600" s="475"/>
      <c r="W600" s="475"/>
      <c r="X600" s="475"/>
      <c r="Y600" s="475"/>
      <c r="Z600" s="475"/>
      <c r="AA600" s="475"/>
      <c r="AB600" s="475"/>
      <c r="AC600" s="475"/>
      <c r="AD600" s="475"/>
      <c r="AE600" s="475"/>
      <c r="AF600" s="475"/>
    </row>
    <row r="601" spans="2:32">
      <c r="B601" s="471"/>
      <c r="C601" s="475"/>
      <c r="D601" s="475"/>
      <c r="E601" s="475"/>
      <c r="F601" s="474"/>
      <c r="G601" s="475"/>
      <c r="H601" s="474"/>
      <c r="I601" s="474"/>
      <c r="J601" s="475"/>
      <c r="K601" s="475"/>
      <c r="L601" s="475"/>
      <c r="M601" s="475"/>
      <c r="N601" s="475"/>
      <c r="O601" s="475"/>
      <c r="P601" s="475"/>
      <c r="Q601" s="475"/>
      <c r="R601" s="475"/>
      <c r="S601" s="475"/>
      <c r="T601" s="475"/>
      <c r="U601" s="475"/>
      <c r="V601" s="475"/>
      <c r="W601" s="475"/>
      <c r="X601" s="475"/>
      <c r="Y601" s="475"/>
      <c r="Z601" s="475"/>
      <c r="AA601" s="475"/>
      <c r="AB601" s="475"/>
      <c r="AC601" s="475"/>
      <c r="AD601" s="475"/>
      <c r="AE601" s="475"/>
      <c r="AF601" s="475"/>
    </row>
    <row r="602" spans="2:32">
      <c r="B602" s="471"/>
      <c r="C602" s="475"/>
      <c r="D602" s="475"/>
      <c r="E602" s="475"/>
      <c r="F602" s="474"/>
      <c r="G602" s="475"/>
      <c r="H602" s="474"/>
      <c r="I602" s="474"/>
      <c r="J602" s="475"/>
      <c r="K602" s="475"/>
      <c r="L602" s="475"/>
      <c r="M602" s="475"/>
      <c r="N602" s="475"/>
      <c r="O602" s="475"/>
      <c r="P602" s="475"/>
      <c r="Q602" s="475"/>
      <c r="R602" s="475"/>
      <c r="S602" s="475"/>
      <c r="T602" s="475"/>
      <c r="U602" s="475"/>
      <c r="V602" s="475"/>
      <c r="W602" s="475"/>
      <c r="X602" s="475"/>
      <c r="Y602" s="475"/>
      <c r="Z602" s="475"/>
      <c r="AA602" s="475"/>
      <c r="AB602" s="475"/>
      <c r="AC602" s="475"/>
      <c r="AD602" s="475"/>
      <c r="AE602" s="475"/>
      <c r="AF602" s="475"/>
    </row>
    <row r="603" spans="2:32">
      <c r="B603" s="471"/>
      <c r="C603" s="475"/>
      <c r="D603" s="475"/>
      <c r="E603" s="475"/>
      <c r="F603" s="474"/>
      <c r="G603" s="475"/>
      <c r="H603" s="474"/>
      <c r="I603" s="474"/>
      <c r="J603" s="475"/>
      <c r="K603" s="475"/>
      <c r="L603" s="475"/>
      <c r="M603" s="475"/>
      <c r="N603" s="475"/>
      <c r="O603" s="475"/>
      <c r="P603" s="475"/>
      <c r="Q603" s="475"/>
      <c r="R603" s="475"/>
      <c r="S603" s="475"/>
      <c r="T603" s="475"/>
      <c r="U603" s="475"/>
      <c r="V603" s="475"/>
      <c r="W603" s="475"/>
      <c r="X603" s="475"/>
      <c r="Y603" s="475"/>
      <c r="Z603" s="475"/>
      <c r="AA603" s="475"/>
      <c r="AB603" s="475"/>
      <c r="AC603" s="475"/>
      <c r="AD603" s="475"/>
      <c r="AE603" s="475"/>
      <c r="AF603" s="475"/>
    </row>
    <row r="604" spans="2:32">
      <c r="B604" s="471"/>
      <c r="C604" s="475"/>
      <c r="D604" s="475"/>
      <c r="E604" s="475"/>
      <c r="F604" s="474"/>
      <c r="G604" s="475"/>
      <c r="H604" s="474"/>
      <c r="I604" s="474"/>
      <c r="J604" s="475"/>
      <c r="K604" s="475"/>
      <c r="L604" s="475"/>
      <c r="M604" s="475"/>
      <c r="N604" s="475"/>
      <c r="O604" s="475"/>
      <c r="P604" s="475"/>
      <c r="Q604" s="475"/>
      <c r="R604" s="475"/>
      <c r="S604" s="475"/>
      <c r="T604" s="475"/>
      <c r="U604" s="475"/>
      <c r="V604" s="475"/>
      <c r="W604" s="475"/>
      <c r="X604" s="475"/>
      <c r="Y604" s="475"/>
      <c r="Z604" s="475"/>
      <c r="AA604" s="475"/>
      <c r="AB604" s="475"/>
      <c r="AC604" s="475"/>
      <c r="AD604" s="475"/>
      <c r="AE604" s="475"/>
      <c r="AF604" s="475"/>
    </row>
    <row r="605" spans="2:32">
      <c r="B605" s="471"/>
      <c r="C605" s="475"/>
      <c r="D605" s="475"/>
      <c r="E605" s="475"/>
      <c r="F605" s="474"/>
      <c r="G605" s="475"/>
      <c r="H605" s="474"/>
      <c r="I605" s="474"/>
      <c r="J605" s="475"/>
      <c r="K605" s="475"/>
      <c r="L605" s="475"/>
      <c r="M605" s="475"/>
      <c r="N605" s="475"/>
      <c r="O605" s="475"/>
      <c r="P605" s="475"/>
      <c r="Q605" s="475"/>
      <c r="R605" s="475"/>
      <c r="S605" s="475"/>
      <c r="T605" s="475"/>
      <c r="U605" s="475"/>
      <c r="V605" s="475"/>
      <c r="W605" s="475"/>
      <c r="X605" s="475"/>
      <c r="Y605" s="475"/>
      <c r="Z605" s="475"/>
      <c r="AA605" s="475"/>
      <c r="AB605" s="475"/>
      <c r="AC605" s="475"/>
      <c r="AD605" s="475"/>
      <c r="AE605" s="475"/>
      <c r="AF605" s="475"/>
    </row>
    <row r="606" spans="2:32">
      <c r="B606" s="471"/>
      <c r="C606" s="475"/>
      <c r="D606" s="475"/>
      <c r="E606" s="475"/>
      <c r="F606" s="474"/>
      <c r="G606" s="475"/>
      <c r="H606" s="474"/>
      <c r="I606" s="474"/>
      <c r="J606" s="475"/>
      <c r="K606" s="475"/>
      <c r="L606" s="475"/>
      <c r="M606" s="475"/>
      <c r="N606" s="475"/>
      <c r="O606" s="475"/>
      <c r="P606" s="475"/>
      <c r="Q606" s="475"/>
      <c r="R606" s="475"/>
      <c r="S606" s="475"/>
      <c r="T606" s="475"/>
      <c r="U606" s="475"/>
      <c r="V606" s="475"/>
      <c r="W606" s="475"/>
      <c r="X606" s="475"/>
      <c r="Y606" s="475"/>
      <c r="Z606" s="475"/>
      <c r="AA606" s="475"/>
      <c r="AB606" s="475"/>
      <c r="AC606" s="475"/>
      <c r="AD606" s="475"/>
      <c r="AE606" s="475"/>
      <c r="AF606" s="475"/>
    </row>
    <row r="607" spans="2:32">
      <c r="B607" s="471"/>
      <c r="C607" s="475"/>
      <c r="D607" s="475"/>
      <c r="E607" s="475"/>
      <c r="F607" s="474"/>
      <c r="G607" s="475"/>
      <c r="H607" s="474"/>
      <c r="I607" s="474"/>
      <c r="J607" s="475"/>
      <c r="K607" s="475"/>
      <c r="L607" s="475"/>
      <c r="M607" s="475"/>
      <c r="N607" s="475"/>
      <c r="O607" s="475"/>
      <c r="P607" s="475"/>
      <c r="Q607" s="475"/>
      <c r="R607" s="475"/>
      <c r="S607" s="475"/>
      <c r="T607" s="475"/>
      <c r="U607" s="475"/>
      <c r="V607" s="475"/>
      <c r="W607" s="475"/>
      <c r="X607" s="475"/>
      <c r="Y607" s="475"/>
      <c r="Z607" s="475"/>
      <c r="AA607" s="475"/>
      <c r="AB607" s="475"/>
      <c r="AC607" s="475"/>
      <c r="AD607" s="475"/>
      <c r="AE607" s="475"/>
      <c r="AF607" s="475"/>
    </row>
    <row r="608" spans="2:32">
      <c r="B608" s="471"/>
      <c r="C608" s="475"/>
      <c r="D608" s="475"/>
      <c r="E608" s="475"/>
      <c r="F608" s="474"/>
      <c r="G608" s="475"/>
      <c r="H608" s="474"/>
      <c r="I608" s="474"/>
      <c r="J608" s="475"/>
      <c r="K608" s="475"/>
      <c r="L608" s="475"/>
      <c r="M608" s="475"/>
      <c r="N608" s="475"/>
      <c r="O608" s="475"/>
      <c r="P608" s="475"/>
      <c r="Q608" s="475"/>
      <c r="R608" s="475"/>
      <c r="S608" s="475"/>
      <c r="T608" s="475"/>
      <c r="U608" s="475"/>
      <c r="V608" s="475"/>
      <c r="W608" s="475"/>
      <c r="X608" s="475"/>
      <c r="Y608" s="475"/>
      <c r="Z608" s="475"/>
      <c r="AA608" s="475"/>
      <c r="AB608" s="475"/>
      <c r="AC608" s="475"/>
      <c r="AD608" s="475"/>
      <c r="AE608" s="475"/>
      <c r="AF608" s="475"/>
    </row>
    <row r="609" spans="2:32">
      <c r="B609" s="471"/>
      <c r="C609" s="475"/>
      <c r="D609" s="475"/>
      <c r="E609" s="475"/>
      <c r="F609" s="474"/>
      <c r="G609" s="475"/>
      <c r="H609" s="474"/>
      <c r="I609" s="474"/>
      <c r="J609" s="475"/>
      <c r="K609" s="475"/>
      <c r="L609" s="475"/>
      <c r="M609" s="475"/>
      <c r="N609" s="475"/>
      <c r="O609" s="475"/>
      <c r="P609" s="475"/>
      <c r="Q609" s="475"/>
      <c r="R609" s="475"/>
      <c r="S609" s="475"/>
      <c r="T609" s="475"/>
      <c r="U609" s="475"/>
      <c r="V609" s="475"/>
      <c r="W609" s="475"/>
      <c r="X609" s="475"/>
      <c r="Y609" s="475"/>
      <c r="Z609" s="475"/>
      <c r="AA609" s="475"/>
      <c r="AB609" s="475"/>
      <c r="AC609" s="475"/>
      <c r="AD609" s="475"/>
      <c r="AE609" s="475"/>
      <c r="AF609" s="475"/>
    </row>
    <row r="610" spans="2:32">
      <c r="B610" s="471"/>
      <c r="C610" s="475"/>
      <c r="D610" s="475"/>
      <c r="E610" s="475"/>
      <c r="F610" s="474"/>
      <c r="G610" s="475"/>
      <c r="H610" s="474"/>
      <c r="I610" s="474"/>
      <c r="J610" s="475"/>
      <c r="K610" s="475"/>
      <c r="L610" s="475"/>
      <c r="M610" s="475"/>
      <c r="N610" s="475"/>
      <c r="O610" s="475"/>
      <c r="P610" s="475"/>
      <c r="Q610" s="475"/>
      <c r="R610" s="475"/>
      <c r="S610" s="475"/>
      <c r="T610" s="475"/>
      <c r="U610" s="475"/>
      <c r="V610" s="475"/>
      <c r="W610" s="475"/>
      <c r="X610" s="475"/>
      <c r="Y610" s="475"/>
      <c r="Z610" s="475"/>
      <c r="AA610" s="475"/>
      <c r="AB610" s="475"/>
      <c r="AC610" s="475"/>
      <c r="AD610" s="475"/>
      <c r="AE610" s="475"/>
      <c r="AF610" s="475"/>
    </row>
    <row r="611" spans="2:32">
      <c r="B611" s="471"/>
      <c r="C611" s="475"/>
      <c r="D611" s="475"/>
      <c r="E611" s="475"/>
      <c r="F611" s="474"/>
      <c r="G611" s="475"/>
      <c r="H611" s="474"/>
      <c r="I611" s="474"/>
      <c r="J611" s="475"/>
      <c r="K611" s="475"/>
      <c r="L611" s="475"/>
      <c r="M611" s="475"/>
      <c r="N611" s="475"/>
      <c r="O611" s="475"/>
      <c r="P611" s="475"/>
      <c r="Q611" s="475"/>
      <c r="R611" s="475"/>
      <c r="S611" s="475"/>
      <c r="T611" s="475"/>
      <c r="U611" s="475"/>
      <c r="V611" s="475"/>
      <c r="W611" s="475"/>
      <c r="X611" s="475"/>
      <c r="Y611" s="475"/>
      <c r="Z611" s="475"/>
      <c r="AA611" s="475"/>
      <c r="AB611" s="475"/>
      <c r="AC611" s="475"/>
      <c r="AD611" s="475"/>
      <c r="AE611" s="475"/>
      <c r="AF611" s="475"/>
    </row>
    <row r="612" spans="2:32">
      <c r="B612" s="471"/>
      <c r="C612" s="475"/>
      <c r="D612" s="475"/>
      <c r="E612" s="475"/>
      <c r="F612" s="474"/>
      <c r="G612" s="475"/>
      <c r="H612" s="474"/>
      <c r="I612" s="474"/>
      <c r="J612" s="475"/>
      <c r="K612" s="475"/>
      <c r="L612" s="475"/>
      <c r="M612" s="475"/>
      <c r="N612" s="475"/>
      <c r="O612" s="475"/>
      <c r="P612" s="475"/>
      <c r="Q612" s="475"/>
      <c r="R612" s="475"/>
      <c r="S612" s="475"/>
      <c r="T612" s="475"/>
      <c r="U612" s="475"/>
      <c r="V612" s="475"/>
      <c r="W612" s="475"/>
      <c r="X612" s="475"/>
      <c r="Y612" s="475"/>
      <c r="Z612" s="475"/>
      <c r="AA612" s="475"/>
      <c r="AB612" s="475"/>
      <c r="AC612" s="475"/>
      <c r="AD612" s="475"/>
      <c r="AE612" s="475"/>
      <c r="AF612" s="475"/>
    </row>
    <row r="613" spans="2:32">
      <c r="B613" s="471"/>
      <c r="C613" s="475"/>
      <c r="D613" s="475"/>
      <c r="E613" s="475"/>
      <c r="F613" s="474"/>
      <c r="G613" s="475"/>
      <c r="H613" s="474"/>
      <c r="I613" s="474"/>
      <c r="J613" s="475"/>
      <c r="K613" s="475"/>
      <c r="L613" s="475"/>
      <c r="M613" s="475"/>
      <c r="N613" s="475"/>
      <c r="O613" s="475"/>
      <c r="P613" s="475"/>
      <c r="Q613" s="475"/>
      <c r="R613" s="475"/>
      <c r="S613" s="475"/>
      <c r="T613" s="475"/>
      <c r="U613" s="475"/>
      <c r="V613" s="475"/>
      <c r="W613" s="475"/>
      <c r="X613" s="475"/>
      <c r="Y613" s="475"/>
      <c r="Z613" s="475"/>
      <c r="AA613" s="475"/>
      <c r="AB613" s="475"/>
      <c r="AC613" s="475"/>
      <c r="AD613" s="475"/>
      <c r="AE613" s="475"/>
      <c r="AF613" s="475"/>
    </row>
    <row r="614" spans="2:32">
      <c r="B614" s="471"/>
      <c r="C614" s="475"/>
      <c r="D614" s="475"/>
      <c r="E614" s="475"/>
      <c r="F614" s="474"/>
      <c r="G614" s="475"/>
      <c r="H614" s="474"/>
      <c r="I614" s="474"/>
      <c r="J614" s="475"/>
      <c r="K614" s="475"/>
      <c r="L614" s="475"/>
      <c r="M614" s="475"/>
      <c r="N614" s="475"/>
      <c r="O614" s="475"/>
      <c r="P614" s="475"/>
      <c r="Q614" s="475"/>
      <c r="R614" s="475"/>
      <c r="S614" s="475"/>
      <c r="T614" s="475"/>
      <c r="U614" s="475"/>
      <c r="V614" s="475"/>
      <c r="W614" s="475"/>
      <c r="X614" s="475"/>
      <c r="Y614" s="475"/>
      <c r="Z614" s="475"/>
      <c r="AA614" s="475"/>
      <c r="AB614" s="475"/>
      <c r="AC614" s="475"/>
      <c r="AD614" s="475"/>
      <c r="AE614" s="475"/>
      <c r="AF614" s="475"/>
    </row>
    <row r="615" spans="2:32">
      <c r="B615" s="471"/>
      <c r="C615" s="475"/>
      <c r="D615" s="475"/>
      <c r="E615" s="475"/>
      <c r="F615" s="474"/>
      <c r="G615" s="475"/>
      <c r="H615" s="474"/>
      <c r="I615" s="474"/>
      <c r="J615" s="475"/>
      <c r="K615" s="475"/>
      <c r="L615" s="475"/>
      <c r="M615" s="475"/>
      <c r="N615" s="475"/>
      <c r="O615" s="475"/>
      <c r="P615" s="475"/>
      <c r="Q615" s="475"/>
      <c r="R615" s="475"/>
      <c r="S615" s="475"/>
      <c r="T615" s="475"/>
      <c r="U615" s="475"/>
      <c r="V615" s="475"/>
      <c r="W615" s="475"/>
      <c r="X615" s="475"/>
      <c r="Y615" s="475"/>
      <c r="Z615" s="475"/>
      <c r="AA615" s="475"/>
      <c r="AB615" s="475"/>
      <c r="AC615" s="475"/>
      <c r="AD615" s="475"/>
      <c r="AE615" s="475"/>
      <c r="AF615" s="475"/>
    </row>
    <row r="616" spans="2:32">
      <c r="B616" s="471"/>
      <c r="C616" s="475"/>
      <c r="D616" s="475"/>
      <c r="E616" s="475"/>
      <c r="F616" s="474"/>
      <c r="G616" s="475"/>
      <c r="H616" s="474"/>
      <c r="I616" s="474"/>
      <c r="J616" s="475"/>
      <c r="K616" s="475"/>
      <c r="L616" s="475"/>
      <c r="M616" s="475"/>
      <c r="N616" s="475"/>
      <c r="O616" s="475"/>
      <c r="P616" s="475"/>
      <c r="Q616" s="475"/>
      <c r="R616" s="475"/>
      <c r="S616" s="475"/>
      <c r="T616" s="475"/>
      <c r="U616" s="475"/>
      <c r="V616" s="475"/>
      <c r="W616" s="475"/>
      <c r="X616" s="475"/>
      <c r="Y616" s="475"/>
      <c r="Z616" s="475"/>
      <c r="AA616" s="475"/>
      <c r="AB616" s="475"/>
      <c r="AC616" s="475"/>
      <c r="AD616" s="475"/>
      <c r="AE616" s="475"/>
      <c r="AF616" s="475"/>
    </row>
    <row r="617" spans="2:32">
      <c r="B617" s="471"/>
      <c r="C617" s="475"/>
      <c r="D617" s="475"/>
      <c r="E617" s="475"/>
      <c r="F617" s="474"/>
      <c r="G617" s="475"/>
      <c r="H617" s="474"/>
      <c r="I617" s="474"/>
      <c r="J617" s="475"/>
      <c r="K617" s="475"/>
      <c r="L617" s="475"/>
      <c r="M617" s="475"/>
      <c r="N617" s="475"/>
      <c r="O617" s="475"/>
      <c r="P617" s="475"/>
      <c r="Q617" s="475"/>
      <c r="R617" s="475"/>
      <c r="S617" s="475"/>
      <c r="T617" s="475"/>
      <c r="U617" s="475"/>
      <c r="V617" s="475"/>
      <c r="W617" s="475"/>
      <c r="X617" s="475"/>
      <c r="Y617" s="475"/>
      <c r="Z617" s="475"/>
      <c r="AA617" s="475"/>
      <c r="AB617" s="475"/>
      <c r="AC617" s="475"/>
      <c r="AD617" s="475"/>
      <c r="AE617" s="475"/>
      <c r="AF617" s="475"/>
    </row>
    <row r="618" spans="2:32">
      <c r="B618" s="471"/>
      <c r="C618" s="475"/>
      <c r="D618" s="475"/>
      <c r="E618" s="475"/>
      <c r="F618" s="474"/>
      <c r="G618" s="475"/>
      <c r="H618" s="474"/>
      <c r="I618" s="474"/>
      <c r="J618" s="475"/>
      <c r="K618" s="475"/>
      <c r="L618" s="475"/>
      <c r="M618" s="475"/>
      <c r="N618" s="475"/>
      <c r="O618" s="475"/>
      <c r="P618" s="475"/>
      <c r="Q618" s="475"/>
      <c r="R618" s="475"/>
      <c r="S618" s="475"/>
      <c r="T618" s="475"/>
      <c r="U618" s="475"/>
      <c r="V618" s="475"/>
      <c r="W618" s="475"/>
      <c r="X618" s="475"/>
      <c r="Y618" s="475"/>
      <c r="Z618" s="475"/>
      <c r="AA618" s="475"/>
      <c r="AB618" s="475"/>
      <c r="AC618" s="475"/>
      <c r="AD618" s="475"/>
      <c r="AE618" s="475"/>
      <c r="AF618" s="475"/>
    </row>
    <row r="619" spans="2:32">
      <c r="B619" s="471"/>
      <c r="C619" s="475"/>
      <c r="D619" s="475"/>
      <c r="E619" s="475"/>
      <c r="F619" s="474"/>
      <c r="G619" s="475"/>
      <c r="H619" s="474"/>
      <c r="I619" s="474"/>
      <c r="J619" s="475"/>
      <c r="K619" s="475"/>
      <c r="L619" s="475"/>
      <c r="M619" s="475"/>
      <c r="N619" s="475"/>
      <c r="O619" s="475"/>
      <c r="P619" s="475"/>
      <c r="Q619" s="475"/>
      <c r="R619" s="475"/>
      <c r="S619" s="475"/>
      <c r="T619" s="475"/>
      <c r="U619" s="475"/>
      <c r="V619" s="475"/>
      <c r="W619" s="475"/>
      <c r="X619" s="475"/>
      <c r="Y619" s="475"/>
      <c r="Z619" s="475"/>
      <c r="AA619" s="475"/>
      <c r="AB619" s="475"/>
      <c r="AC619" s="475"/>
      <c r="AD619" s="475"/>
      <c r="AE619" s="475"/>
      <c r="AF619" s="475"/>
    </row>
    <row r="620" spans="2:32">
      <c r="B620" s="471"/>
      <c r="C620" s="475"/>
      <c r="D620" s="475"/>
      <c r="E620" s="475"/>
      <c r="F620" s="474"/>
      <c r="G620" s="475"/>
      <c r="H620" s="474"/>
      <c r="I620" s="474"/>
      <c r="J620" s="475"/>
      <c r="K620" s="475"/>
      <c r="L620" s="475"/>
      <c r="M620" s="475"/>
      <c r="N620" s="475"/>
      <c r="O620" s="475"/>
      <c r="P620" s="475"/>
      <c r="Q620" s="475"/>
      <c r="R620" s="475"/>
      <c r="S620" s="475"/>
      <c r="T620" s="475"/>
      <c r="U620" s="475"/>
      <c r="V620" s="475"/>
      <c r="W620" s="475"/>
      <c r="X620" s="475"/>
      <c r="Y620" s="475"/>
      <c r="Z620" s="475"/>
      <c r="AA620" s="475"/>
      <c r="AB620" s="475"/>
      <c r="AC620" s="475"/>
      <c r="AD620" s="475"/>
      <c r="AE620" s="475"/>
      <c r="AF620" s="475"/>
    </row>
    <row r="621" spans="2:32">
      <c r="B621" s="471"/>
      <c r="C621" s="475"/>
      <c r="D621" s="475"/>
      <c r="E621" s="475"/>
      <c r="F621" s="474"/>
      <c r="G621" s="475"/>
      <c r="H621" s="474"/>
      <c r="I621" s="474"/>
      <c r="J621" s="475"/>
      <c r="K621" s="475"/>
      <c r="L621" s="475"/>
      <c r="M621" s="475"/>
      <c r="N621" s="475"/>
      <c r="O621" s="475"/>
      <c r="P621" s="475"/>
      <c r="Q621" s="475"/>
      <c r="R621" s="475"/>
      <c r="S621" s="475"/>
      <c r="T621" s="475"/>
      <c r="U621" s="475"/>
      <c r="V621" s="475"/>
      <c r="W621" s="475"/>
      <c r="X621" s="475"/>
      <c r="Y621" s="475"/>
      <c r="Z621" s="475"/>
      <c r="AA621" s="475"/>
      <c r="AB621" s="475"/>
      <c r="AC621" s="475"/>
      <c r="AD621" s="475"/>
      <c r="AE621" s="475"/>
      <c r="AF621" s="475"/>
    </row>
    <row r="622" spans="2:32">
      <c r="B622" s="471"/>
      <c r="C622" s="475"/>
      <c r="D622" s="475"/>
      <c r="E622" s="475"/>
      <c r="F622" s="474"/>
      <c r="G622" s="475"/>
      <c r="H622" s="474"/>
      <c r="I622" s="474"/>
      <c r="J622" s="475"/>
      <c r="K622" s="475"/>
      <c r="L622" s="475"/>
      <c r="M622" s="475"/>
      <c r="N622" s="475"/>
      <c r="O622" s="475"/>
      <c r="P622" s="475"/>
      <c r="Q622" s="475"/>
      <c r="R622" s="475"/>
      <c r="S622" s="475"/>
      <c r="T622" s="475"/>
      <c r="U622" s="475"/>
      <c r="V622" s="475"/>
      <c r="W622" s="475"/>
      <c r="X622" s="475"/>
      <c r="Y622" s="475"/>
      <c r="Z622" s="475"/>
      <c r="AA622" s="475"/>
      <c r="AB622" s="475"/>
      <c r="AC622" s="475"/>
      <c r="AD622" s="475"/>
      <c r="AE622" s="475"/>
      <c r="AF622" s="475"/>
    </row>
    <row r="623" spans="2:32">
      <c r="B623" s="471"/>
      <c r="C623" s="475"/>
      <c r="D623" s="475"/>
      <c r="E623" s="475"/>
      <c r="F623" s="474"/>
      <c r="G623" s="475"/>
      <c r="H623" s="474"/>
      <c r="I623" s="474"/>
      <c r="J623" s="475"/>
      <c r="K623" s="475"/>
      <c r="L623" s="475"/>
      <c r="M623" s="475"/>
      <c r="N623" s="475"/>
      <c r="O623" s="475"/>
      <c r="P623" s="475"/>
      <c r="Q623" s="475"/>
      <c r="R623" s="475"/>
      <c r="S623" s="475"/>
      <c r="T623" s="475"/>
      <c r="U623" s="475"/>
      <c r="V623" s="475"/>
      <c r="W623" s="475"/>
      <c r="X623" s="475"/>
      <c r="Y623" s="475"/>
      <c r="Z623" s="475"/>
      <c r="AA623" s="475"/>
      <c r="AB623" s="475"/>
      <c r="AC623" s="475"/>
      <c r="AD623" s="475"/>
      <c r="AE623" s="475"/>
      <c r="AF623" s="475"/>
    </row>
    <row r="624" spans="2:32">
      <c r="B624" s="471"/>
      <c r="C624" s="475"/>
      <c r="D624" s="475"/>
      <c r="E624" s="475"/>
      <c r="F624" s="474"/>
      <c r="G624" s="475"/>
      <c r="H624" s="474"/>
      <c r="I624" s="474"/>
      <c r="J624" s="475"/>
      <c r="K624" s="475"/>
      <c r="L624" s="475"/>
      <c r="M624" s="475"/>
      <c r="N624" s="475"/>
      <c r="O624" s="475"/>
      <c r="P624" s="475"/>
      <c r="Q624" s="475"/>
      <c r="R624" s="475"/>
      <c r="S624" s="475"/>
      <c r="T624" s="475"/>
      <c r="U624" s="475"/>
      <c r="V624" s="475"/>
      <c r="W624" s="475"/>
      <c r="X624" s="475"/>
      <c r="Y624" s="475"/>
      <c r="Z624" s="475"/>
      <c r="AA624" s="475"/>
      <c r="AB624" s="475"/>
      <c r="AC624" s="475"/>
      <c r="AD624" s="475"/>
      <c r="AE624" s="475"/>
      <c r="AF624" s="475"/>
    </row>
    <row r="625" spans="2:32">
      <c r="B625" s="471"/>
      <c r="C625" s="475"/>
      <c r="D625" s="475"/>
      <c r="E625" s="475"/>
      <c r="F625" s="474"/>
      <c r="G625" s="475"/>
      <c r="H625" s="474"/>
      <c r="I625" s="474"/>
      <c r="J625" s="475"/>
      <c r="K625" s="475"/>
      <c r="L625" s="475"/>
      <c r="M625" s="475"/>
      <c r="N625" s="475"/>
      <c r="O625" s="475"/>
      <c r="P625" s="475"/>
      <c r="Q625" s="475"/>
      <c r="R625" s="475"/>
      <c r="S625" s="475"/>
      <c r="T625" s="475"/>
      <c r="U625" s="475"/>
      <c r="V625" s="475"/>
      <c r="W625" s="475"/>
      <c r="X625" s="475"/>
      <c r="Y625" s="475"/>
      <c r="Z625" s="475"/>
      <c r="AA625" s="475"/>
      <c r="AB625" s="475"/>
      <c r="AC625" s="475"/>
      <c r="AD625" s="475"/>
      <c r="AE625" s="475"/>
      <c r="AF625" s="475"/>
    </row>
    <row r="626" spans="2:32">
      <c r="B626" s="471"/>
      <c r="C626" s="475"/>
      <c r="D626" s="475"/>
      <c r="E626" s="475"/>
      <c r="F626" s="474"/>
      <c r="G626" s="475"/>
      <c r="H626" s="474"/>
      <c r="I626" s="474"/>
      <c r="J626" s="475"/>
      <c r="K626" s="475"/>
      <c r="L626" s="475"/>
      <c r="M626" s="475"/>
      <c r="N626" s="475"/>
      <c r="O626" s="475"/>
      <c r="P626" s="475"/>
      <c r="Q626" s="475"/>
      <c r="R626" s="475"/>
      <c r="S626" s="475"/>
      <c r="T626" s="475"/>
      <c r="U626" s="475"/>
      <c r="V626" s="475"/>
      <c r="W626" s="475"/>
      <c r="X626" s="475"/>
      <c r="Y626" s="475"/>
      <c r="Z626" s="475"/>
      <c r="AA626" s="475"/>
      <c r="AB626" s="475"/>
      <c r="AC626" s="475"/>
      <c r="AD626" s="475"/>
      <c r="AE626" s="475"/>
      <c r="AF626" s="475"/>
    </row>
    <row r="627" spans="2:32">
      <c r="B627" s="471"/>
      <c r="C627" s="475"/>
      <c r="D627" s="475"/>
      <c r="E627" s="475"/>
      <c r="F627" s="474"/>
      <c r="G627" s="475"/>
      <c r="H627" s="474"/>
      <c r="I627" s="474"/>
      <c r="J627" s="475"/>
      <c r="K627" s="475"/>
      <c r="L627" s="475"/>
      <c r="M627" s="475"/>
      <c r="N627" s="475"/>
      <c r="O627" s="475"/>
      <c r="P627" s="475"/>
      <c r="Q627" s="475"/>
      <c r="R627" s="475"/>
      <c r="S627" s="475"/>
      <c r="T627" s="475"/>
      <c r="U627" s="475"/>
      <c r="V627" s="475"/>
      <c r="W627" s="475"/>
      <c r="X627" s="475"/>
      <c r="Y627" s="475"/>
      <c r="Z627" s="475"/>
      <c r="AA627" s="475"/>
      <c r="AB627" s="475"/>
      <c r="AC627" s="475"/>
      <c r="AD627" s="475"/>
      <c r="AE627" s="475"/>
      <c r="AF627" s="475"/>
    </row>
    <row r="628" spans="2:32">
      <c r="B628" s="471"/>
      <c r="C628" s="475"/>
      <c r="D628" s="475"/>
      <c r="E628" s="475"/>
      <c r="F628" s="474"/>
      <c r="G628" s="475"/>
      <c r="H628" s="474"/>
      <c r="I628" s="474"/>
      <c r="J628" s="475"/>
      <c r="K628" s="475"/>
      <c r="L628" s="475"/>
      <c r="M628" s="475"/>
      <c r="N628" s="475"/>
      <c r="O628" s="475"/>
      <c r="P628" s="475"/>
      <c r="Q628" s="475"/>
      <c r="R628" s="475"/>
      <c r="S628" s="475"/>
      <c r="T628" s="475"/>
      <c r="U628" s="475"/>
      <c r="V628" s="475"/>
      <c r="W628" s="475"/>
      <c r="X628" s="475"/>
      <c r="Y628" s="475"/>
      <c r="Z628" s="475"/>
      <c r="AA628" s="475"/>
      <c r="AB628" s="475"/>
      <c r="AC628" s="475"/>
      <c r="AD628" s="475"/>
      <c r="AE628" s="475"/>
      <c r="AF628" s="475"/>
    </row>
    <row r="629" spans="2:32">
      <c r="B629" s="471"/>
      <c r="C629" s="475"/>
      <c r="D629" s="475"/>
      <c r="E629" s="475"/>
      <c r="F629" s="474"/>
      <c r="G629" s="475"/>
      <c r="H629" s="474"/>
      <c r="I629" s="474"/>
      <c r="J629" s="475"/>
      <c r="K629" s="475"/>
      <c r="L629" s="475"/>
      <c r="M629" s="475"/>
      <c r="N629" s="475"/>
      <c r="O629" s="475"/>
      <c r="P629" s="475"/>
      <c r="Q629" s="475"/>
      <c r="R629" s="475"/>
      <c r="S629" s="475"/>
      <c r="T629" s="475"/>
      <c r="U629" s="475"/>
      <c r="V629" s="475"/>
      <c r="W629" s="475"/>
      <c r="X629" s="475"/>
      <c r="Y629" s="475"/>
      <c r="Z629" s="475"/>
      <c r="AA629" s="475"/>
      <c r="AB629" s="475"/>
      <c r="AC629" s="475"/>
      <c r="AD629" s="475"/>
      <c r="AE629" s="475"/>
      <c r="AF629" s="475"/>
    </row>
    <row r="630" spans="2:32">
      <c r="B630" s="471"/>
      <c r="C630" s="475"/>
      <c r="D630" s="475"/>
      <c r="E630" s="475"/>
      <c r="F630" s="474"/>
      <c r="G630" s="475"/>
      <c r="H630" s="474"/>
      <c r="I630" s="474"/>
      <c r="J630" s="475"/>
      <c r="K630" s="475"/>
      <c r="L630" s="475"/>
      <c r="M630" s="475"/>
      <c r="N630" s="475"/>
      <c r="O630" s="475"/>
      <c r="P630" s="475"/>
      <c r="Q630" s="475"/>
      <c r="R630" s="475"/>
      <c r="S630" s="475"/>
      <c r="T630" s="475"/>
      <c r="U630" s="475"/>
      <c r="V630" s="475"/>
      <c r="W630" s="475"/>
      <c r="X630" s="475"/>
      <c r="Y630" s="475"/>
      <c r="Z630" s="475"/>
      <c r="AA630" s="475"/>
      <c r="AB630" s="475"/>
      <c r="AC630" s="475"/>
      <c r="AD630" s="475"/>
      <c r="AE630" s="475"/>
      <c r="AF630" s="475"/>
    </row>
    <row r="631" spans="2:32">
      <c r="B631" s="471"/>
      <c r="C631" s="475"/>
      <c r="D631" s="475"/>
      <c r="E631" s="475"/>
      <c r="F631" s="474"/>
      <c r="G631" s="475"/>
      <c r="H631" s="474"/>
      <c r="I631" s="474"/>
      <c r="J631" s="475"/>
      <c r="K631" s="475"/>
      <c r="L631" s="475"/>
      <c r="M631" s="475"/>
      <c r="N631" s="475"/>
      <c r="O631" s="475"/>
      <c r="P631" s="475"/>
      <c r="Q631" s="475"/>
      <c r="R631" s="475"/>
      <c r="S631" s="475"/>
      <c r="T631" s="475"/>
      <c r="U631" s="475"/>
      <c r="V631" s="475"/>
      <c r="W631" s="475"/>
      <c r="X631" s="475"/>
      <c r="Y631" s="475"/>
      <c r="Z631" s="475"/>
      <c r="AA631" s="475"/>
      <c r="AB631" s="475"/>
      <c r="AC631" s="475"/>
      <c r="AD631" s="475"/>
      <c r="AE631" s="475"/>
      <c r="AF631" s="475"/>
    </row>
    <row r="632" spans="2:32">
      <c r="B632" s="471"/>
      <c r="C632" s="475"/>
      <c r="D632" s="475"/>
      <c r="E632" s="475"/>
      <c r="F632" s="474"/>
      <c r="G632" s="475"/>
      <c r="H632" s="474"/>
      <c r="I632" s="474"/>
      <c r="J632" s="475"/>
      <c r="K632" s="475"/>
      <c r="L632" s="475"/>
      <c r="M632" s="475"/>
      <c r="N632" s="475"/>
      <c r="O632" s="475"/>
      <c r="P632" s="475"/>
      <c r="Q632" s="475"/>
      <c r="R632" s="475"/>
      <c r="S632" s="475"/>
      <c r="T632" s="475"/>
      <c r="U632" s="475"/>
      <c r="V632" s="475"/>
      <c r="W632" s="475"/>
      <c r="X632" s="475"/>
      <c r="Y632" s="475"/>
      <c r="Z632" s="475"/>
      <c r="AA632" s="475"/>
      <c r="AB632" s="475"/>
      <c r="AC632" s="475"/>
      <c r="AD632" s="475"/>
      <c r="AE632" s="475"/>
      <c r="AF632" s="475"/>
    </row>
    <row r="633" spans="2:32">
      <c r="B633" s="471"/>
      <c r="C633" s="475"/>
      <c r="D633" s="475"/>
      <c r="E633" s="475"/>
      <c r="F633" s="474"/>
      <c r="G633" s="475"/>
      <c r="H633" s="474"/>
      <c r="I633" s="474"/>
      <c r="J633" s="475"/>
      <c r="K633" s="475"/>
      <c r="L633" s="475"/>
      <c r="M633" s="475"/>
      <c r="N633" s="475"/>
      <c r="O633" s="475"/>
      <c r="P633" s="475"/>
      <c r="Q633" s="475"/>
      <c r="R633" s="475"/>
      <c r="S633" s="475"/>
      <c r="T633" s="475"/>
      <c r="U633" s="475"/>
      <c r="V633" s="475"/>
      <c r="W633" s="475"/>
      <c r="X633" s="475"/>
      <c r="Y633" s="475"/>
      <c r="Z633" s="475"/>
      <c r="AA633" s="475"/>
      <c r="AB633" s="475"/>
      <c r="AC633" s="475"/>
      <c r="AD633" s="475"/>
      <c r="AE633" s="475"/>
      <c r="AF633" s="475"/>
    </row>
    <row r="634" spans="2:32">
      <c r="B634" s="471"/>
      <c r="C634" s="475"/>
      <c r="D634" s="475"/>
      <c r="E634" s="475"/>
      <c r="F634" s="474"/>
      <c r="G634" s="475"/>
      <c r="H634" s="474"/>
      <c r="I634" s="474"/>
      <c r="J634" s="475"/>
      <c r="K634" s="475"/>
      <c r="L634" s="475"/>
      <c r="M634" s="475"/>
      <c r="N634" s="475"/>
      <c r="O634" s="475"/>
      <c r="P634" s="475"/>
      <c r="Q634" s="475"/>
      <c r="R634" s="475"/>
      <c r="S634" s="475"/>
      <c r="T634" s="475"/>
      <c r="U634" s="475"/>
      <c r="V634" s="475"/>
      <c r="W634" s="475"/>
      <c r="X634" s="475"/>
      <c r="Y634" s="475"/>
      <c r="Z634" s="475"/>
      <c r="AA634" s="475"/>
      <c r="AB634" s="475"/>
      <c r="AC634" s="475"/>
      <c r="AD634" s="475"/>
      <c r="AE634" s="475"/>
      <c r="AF634" s="475"/>
    </row>
    <row r="635" spans="2:32">
      <c r="B635" s="471"/>
      <c r="C635" s="475"/>
      <c r="D635" s="475"/>
      <c r="E635" s="475"/>
      <c r="F635" s="474"/>
      <c r="G635" s="475"/>
      <c r="H635" s="474"/>
      <c r="I635" s="474"/>
      <c r="J635" s="475"/>
      <c r="K635" s="475"/>
      <c r="L635" s="475"/>
      <c r="M635" s="475"/>
      <c r="N635" s="475"/>
      <c r="O635" s="475"/>
      <c r="P635" s="475"/>
      <c r="Q635" s="475"/>
      <c r="R635" s="475"/>
      <c r="S635" s="475"/>
      <c r="T635" s="475"/>
      <c r="U635" s="475"/>
      <c r="V635" s="475"/>
      <c r="W635" s="475"/>
      <c r="X635" s="475"/>
      <c r="Y635" s="475"/>
      <c r="Z635" s="475"/>
      <c r="AA635" s="475"/>
      <c r="AB635" s="475"/>
      <c r="AC635" s="475"/>
      <c r="AD635" s="475"/>
      <c r="AE635" s="475"/>
      <c r="AF635" s="475"/>
    </row>
    <row r="636" spans="2:32">
      <c r="B636" s="471"/>
      <c r="C636" s="475"/>
      <c r="D636" s="475"/>
      <c r="E636" s="475"/>
      <c r="F636" s="474"/>
      <c r="G636" s="475"/>
      <c r="H636" s="474"/>
      <c r="I636" s="474"/>
      <c r="J636" s="475"/>
      <c r="K636" s="475"/>
      <c r="L636" s="475"/>
      <c r="M636" s="475"/>
      <c r="N636" s="475"/>
      <c r="O636" s="475"/>
      <c r="P636" s="475"/>
      <c r="Q636" s="475"/>
      <c r="R636" s="475"/>
      <c r="S636" s="475"/>
      <c r="T636" s="475"/>
      <c r="U636" s="475"/>
      <c r="V636" s="475"/>
      <c r="W636" s="475"/>
      <c r="X636" s="475"/>
      <c r="Y636" s="475"/>
      <c r="Z636" s="475"/>
      <c r="AA636" s="475"/>
      <c r="AB636" s="475"/>
      <c r="AC636" s="475"/>
      <c r="AD636" s="475"/>
      <c r="AE636" s="475"/>
      <c r="AF636" s="475"/>
    </row>
    <row r="637" spans="2:32">
      <c r="B637" s="471"/>
      <c r="C637" s="475"/>
      <c r="D637" s="475"/>
      <c r="E637" s="475"/>
      <c r="F637" s="474"/>
      <c r="G637" s="475"/>
      <c r="H637" s="474"/>
      <c r="I637" s="474"/>
      <c r="J637" s="475"/>
      <c r="K637" s="475"/>
      <c r="L637" s="475"/>
      <c r="M637" s="475"/>
      <c r="N637" s="475"/>
      <c r="O637" s="475"/>
      <c r="P637" s="475"/>
      <c r="Q637" s="475"/>
      <c r="R637" s="475"/>
      <c r="S637" s="475"/>
      <c r="T637" s="475"/>
      <c r="U637" s="475"/>
      <c r="V637" s="475"/>
      <c r="W637" s="475"/>
      <c r="X637" s="475"/>
      <c r="Y637" s="475"/>
      <c r="Z637" s="475"/>
      <c r="AA637" s="475"/>
      <c r="AB637" s="475"/>
      <c r="AC637" s="475"/>
      <c r="AD637" s="475"/>
      <c r="AE637" s="475"/>
      <c r="AF637" s="475"/>
    </row>
    <row r="638" spans="2:32">
      <c r="B638" s="471"/>
      <c r="C638" s="475"/>
      <c r="D638" s="475"/>
      <c r="E638" s="475"/>
      <c r="F638" s="474"/>
      <c r="G638" s="475"/>
      <c r="H638" s="474"/>
      <c r="I638" s="474"/>
      <c r="J638" s="475"/>
      <c r="K638" s="475"/>
      <c r="L638" s="475"/>
      <c r="M638" s="475"/>
      <c r="N638" s="475"/>
      <c r="O638" s="475"/>
      <c r="P638" s="475"/>
      <c r="Q638" s="475"/>
      <c r="R638" s="475"/>
      <c r="S638" s="475"/>
      <c r="T638" s="475"/>
      <c r="U638" s="475"/>
      <c r="V638" s="475"/>
      <c r="W638" s="475"/>
      <c r="X638" s="475"/>
      <c r="Y638" s="475"/>
      <c r="Z638" s="475"/>
      <c r="AA638" s="475"/>
      <c r="AB638" s="475"/>
      <c r="AC638" s="475"/>
      <c r="AD638" s="475"/>
      <c r="AE638" s="475"/>
      <c r="AF638" s="475"/>
    </row>
    <row r="639" spans="2:32">
      <c r="B639" s="471"/>
      <c r="C639" s="475"/>
      <c r="D639" s="475"/>
      <c r="E639" s="475"/>
      <c r="F639" s="474"/>
      <c r="G639" s="475"/>
      <c r="H639" s="474"/>
      <c r="I639" s="474"/>
      <c r="J639" s="475"/>
      <c r="K639" s="475"/>
      <c r="L639" s="475"/>
      <c r="M639" s="475"/>
      <c r="N639" s="475"/>
      <c r="O639" s="475"/>
      <c r="P639" s="475"/>
      <c r="Q639" s="475"/>
      <c r="R639" s="475"/>
      <c r="S639" s="475"/>
      <c r="T639" s="475"/>
      <c r="U639" s="475"/>
      <c r="V639" s="475"/>
      <c r="W639" s="475"/>
      <c r="X639" s="475"/>
      <c r="Y639" s="475"/>
      <c r="Z639" s="475"/>
      <c r="AA639" s="475"/>
      <c r="AB639" s="475"/>
      <c r="AC639" s="475"/>
      <c r="AD639" s="475"/>
      <c r="AE639" s="475"/>
      <c r="AF639" s="475"/>
    </row>
    <row r="640" spans="2:32">
      <c r="B640" s="471"/>
      <c r="C640" s="475"/>
      <c r="D640" s="475"/>
      <c r="E640" s="475"/>
      <c r="F640" s="474"/>
      <c r="G640" s="475"/>
      <c r="H640" s="474"/>
      <c r="I640" s="474"/>
      <c r="J640" s="475"/>
      <c r="K640" s="475"/>
      <c r="L640" s="475"/>
      <c r="M640" s="475"/>
      <c r="N640" s="475"/>
      <c r="O640" s="475"/>
      <c r="P640" s="475"/>
      <c r="Q640" s="475"/>
      <c r="R640" s="475"/>
      <c r="S640" s="475"/>
      <c r="T640" s="475"/>
      <c r="U640" s="475"/>
      <c r="V640" s="475"/>
      <c r="W640" s="475"/>
      <c r="X640" s="475"/>
      <c r="Y640" s="475"/>
      <c r="Z640" s="475"/>
      <c r="AA640" s="475"/>
      <c r="AB640" s="475"/>
      <c r="AC640" s="475"/>
      <c r="AD640" s="475"/>
      <c r="AE640" s="475"/>
      <c r="AF640" s="475"/>
    </row>
    <row r="641" spans="2:32">
      <c r="B641" s="471"/>
      <c r="C641" s="475"/>
      <c r="D641" s="475"/>
      <c r="E641" s="475"/>
      <c r="F641" s="474"/>
      <c r="G641" s="475"/>
      <c r="H641" s="474"/>
      <c r="I641" s="474"/>
      <c r="J641" s="475"/>
      <c r="K641" s="475"/>
      <c r="L641" s="475"/>
      <c r="M641" s="475"/>
      <c r="N641" s="475"/>
      <c r="O641" s="475"/>
      <c r="P641" s="475"/>
      <c r="Q641" s="475"/>
      <c r="R641" s="475"/>
      <c r="S641" s="475"/>
      <c r="T641" s="475"/>
      <c r="U641" s="475"/>
      <c r="V641" s="475"/>
      <c r="W641" s="475"/>
      <c r="X641" s="475"/>
      <c r="Y641" s="475"/>
      <c r="Z641" s="475"/>
      <c r="AA641" s="475"/>
      <c r="AB641" s="475"/>
      <c r="AC641" s="475"/>
      <c r="AD641" s="475"/>
      <c r="AE641" s="475"/>
      <c r="AF641" s="475"/>
    </row>
    <row r="642" spans="2:32">
      <c r="B642" s="471"/>
      <c r="C642" s="475"/>
      <c r="D642" s="475"/>
      <c r="E642" s="475"/>
      <c r="F642" s="474"/>
      <c r="G642" s="475"/>
      <c r="H642" s="474"/>
      <c r="I642" s="474"/>
      <c r="J642" s="475"/>
      <c r="K642" s="475"/>
      <c r="L642" s="475"/>
      <c r="M642" s="475"/>
      <c r="N642" s="475"/>
      <c r="O642" s="475"/>
      <c r="P642" s="475"/>
      <c r="Q642" s="475"/>
      <c r="R642" s="475"/>
      <c r="S642" s="475"/>
      <c r="T642" s="475"/>
      <c r="U642" s="475"/>
      <c r="V642" s="475"/>
      <c r="W642" s="475"/>
      <c r="X642" s="475"/>
      <c r="Y642" s="475"/>
      <c r="Z642" s="475"/>
      <c r="AA642" s="475"/>
      <c r="AB642" s="475"/>
      <c r="AC642" s="475"/>
      <c r="AD642" s="475"/>
      <c r="AE642" s="475"/>
      <c r="AF642" s="475"/>
    </row>
    <row r="643" spans="2:32">
      <c r="B643" s="471"/>
      <c r="C643" s="475"/>
      <c r="D643" s="475"/>
      <c r="E643" s="475"/>
      <c r="F643" s="474"/>
      <c r="G643" s="475"/>
      <c r="H643" s="474"/>
      <c r="I643" s="474"/>
      <c r="J643" s="475"/>
      <c r="K643" s="475"/>
      <c r="L643" s="475"/>
      <c r="M643" s="475"/>
      <c r="N643" s="475"/>
      <c r="O643" s="475"/>
      <c r="P643" s="475"/>
      <c r="Q643" s="475"/>
      <c r="R643" s="475"/>
      <c r="S643" s="475"/>
      <c r="T643" s="475"/>
      <c r="U643" s="475"/>
      <c r="V643" s="475"/>
      <c r="W643" s="475"/>
      <c r="X643" s="475"/>
      <c r="Y643" s="475"/>
      <c r="Z643" s="475"/>
      <c r="AA643" s="475"/>
      <c r="AB643" s="475"/>
      <c r="AC643" s="475"/>
      <c r="AD643" s="475"/>
      <c r="AE643" s="475"/>
      <c r="AF643" s="475"/>
    </row>
    <row r="644" spans="2:32">
      <c r="B644" s="471"/>
      <c r="C644" s="475"/>
      <c r="D644" s="475"/>
      <c r="E644" s="475"/>
      <c r="F644" s="474"/>
      <c r="G644" s="475"/>
      <c r="H644" s="474"/>
      <c r="I644" s="474"/>
      <c r="J644" s="475"/>
      <c r="K644" s="475"/>
      <c r="L644" s="475"/>
      <c r="M644" s="475"/>
      <c r="N644" s="475"/>
      <c r="O644" s="475"/>
      <c r="P644" s="475"/>
      <c r="Q644" s="475"/>
      <c r="R644" s="475"/>
      <c r="S644" s="475"/>
      <c r="T644" s="475"/>
      <c r="U644" s="475"/>
      <c r="V644" s="475"/>
      <c r="W644" s="475"/>
      <c r="X644" s="475"/>
      <c r="Y644" s="475"/>
      <c r="Z644" s="475"/>
      <c r="AA644" s="475"/>
      <c r="AB644" s="475"/>
      <c r="AC644" s="475"/>
      <c r="AD644" s="475"/>
      <c r="AE644" s="475"/>
      <c r="AF644" s="475"/>
    </row>
    <row r="645" spans="2:32">
      <c r="B645" s="471"/>
      <c r="C645" s="475"/>
      <c r="D645" s="475"/>
      <c r="E645" s="475"/>
      <c r="F645" s="474"/>
      <c r="G645" s="475"/>
      <c r="H645" s="474"/>
      <c r="I645" s="474"/>
      <c r="J645" s="475"/>
      <c r="K645" s="475"/>
      <c r="L645" s="475"/>
      <c r="M645" s="475"/>
      <c r="N645" s="475"/>
      <c r="O645" s="475"/>
      <c r="P645" s="475"/>
      <c r="Q645" s="475"/>
      <c r="R645" s="475"/>
      <c r="S645" s="475"/>
      <c r="T645" s="475"/>
      <c r="U645" s="475"/>
      <c r="V645" s="475"/>
      <c r="W645" s="475"/>
      <c r="X645" s="475"/>
      <c r="Y645" s="475"/>
      <c r="Z645" s="475"/>
      <c r="AA645" s="475"/>
      <c r="AB645" s="475"/>
      <c r="AC645" s="475"/>
      <c r="AD645" s="475"/>
      <c r="AE645" s="475"/>
      <c r="AF645" s="475"/>
    </row>
    <row r="646" spans="2:32">
      <c r="B646" s="471"/>
      <c r="C646" s="475"/>
      <c r="D646" s="475"/>
      <c r="E646" s="475"/>
      <c r="F646" s="474"/>
      <c r="G646" s="475"/>
      <c r="H646" s="474"/>
      <c r="I646" s="474"/>
      <c r="J646" s="475"/>
      <c r="K646" s="475"/>
      <c r="L646" s="475"/>
      <c r="M646" s="475"/>
      <c r="N646" s="475"/>
      <c r="O646" s="475"/>
      <c r="P646" s="475"/>
      <c r="Q646" s="475"/>
      <c r="R646" s="475"/>
      <c r="S646" s="475"/>
      <c r="T646" s="475"/>
      <c r="U646" s="475"/>
      <c r="V646" s="475"/>
      <c r="W646" s="475"/>
      <c r="X646" s="475"/>
      <c r="Y646" s="475"/>
      <c r="Z646" s="475"/>
      <c r="AA646" s="475"/>
      <c r="AB646" s="475"/>
      <c r="AC646" s="475"/>
      <c r="AD646" s="475"/>
      <c r="AE646" s="475"/>
      <c r="AF646" s="475"/>
    </row>
    <row r="647" spans="2:32">
      <c r="B647" s="471"/>
      <c r="C647" s="475"/>
      <c r="D647" s="475"/>
      <c r="E647" s="475"/>
      <c r="F647" s="474"/>
      <c r="G647" s="475"/>
      <c r="H647" s="474"/>
      <c r="I647" s="474"/>
      <c r="J647" s="475"/>
      <c r="K647" s="475"/>
      <c r="L647" s="475"/>
      <c r="M647" s="475"/>
      <c r="N647" s="475"/>
      <c r="O647" s="475"/>
      <c r="P647" s="475"/>
      <c r="Q647" s="475"/>
      <c r="R647" s="475"/>
      <c r="S647" s="475"/>
      <c r="T647" s="475"/>
      <c r="U647" s="475"/>
      <c r="V647" s="475"/>
      <c r="W647" s="475"/>
      <c r="X647" s="475"/>
      <c r="Y647" s="475"/>
      <c r="Z647" s="475"/>
      <c r="AA647" s="475"/>
      <c r="AB647" s="475"/>
      <c r="AC647" s="475"/>
      <c r="AD647" s="475"/>
      <c r="AE647" s="475"/>
      <c r="AF647" s="475"/>
    </row>
    <row r="648" spans="2:32">
      <c r="B648" s="471"/>
      <c r="C648" s="475"/>
      <c r="D648" s="475"/>
      <c r="E648" s="475"/>
      <c r="F648" s="474"/>
      <c r="G648" s="475"/>
      <c r="H648" s="474"/>
      <c r="I648" s="474"/>
      <c r="J648" s="475"/>
      <c r="K648" s="475"/>
      <c r="L648" s="475"/>
      <c r="M648" s="475"/>
      <c r="N648" s="475"/>
      <c r="O648" s="475"/>
      <c r="P648" s="475"/>
      <c r="Q648" s="475"/>
      <c r="R648" s="475"/>
      <c r="S648" s="475"/>
      <c r="T648" s="475"/>
      <c r="U648" s="475"/>
      <c r="V648" s="475"/>
      <c r="W648" s="475"/>
      <c r="X648" s="475"/>
      <c r="Y648" s="475"/>
      <c r="Z648" s="475"/>
      <c r="AA648" s="475"/>
      <c r="AB648" s="475"/>
      <c r="AC648" s="475"/>
      <c r="AD648" s="475"/>
      <c r="AE648" s="475"/>
      <c r="AF648" s="475"/>
    </row>
    <row r="649" spans="2:32">
      <c r="B649" s="471"/>
      <c r="C649" s="475"/>
      <c r="D649" s="475"/>
      <c r="E649" s="475"/>
      <c r="F649" s="474"/>
      <c r="G649" s="475"/>
      <c r="H649" s="474"/>
      <c r="I649" s="474"/>
      <c r="J649" s="475"/>
      <c r="K649" s="475"/>
      <c r="L649" s="475"/>
      <c r="M649" s="475"/>
      <c r="N649" s="475"/>
      <c r="O649" s="475"/>
      <c r="P649" s="475"/>
      <c r="Q649" s="475"/>
      <c r="R649" s="475"/>
      <c r="S649" s="475"/>
      <c r="T649" s="475"/>
      <c r="U649" s="475"/>
      <c r="V649" s="475"/>
      <c r="W649" s="475"/>
      <c r="X649" s="475"/>
      <c r="Y649" s="475"/>
      <c r="Z649" s="475"/>
      <c r="AA649" s="475"/>
      <c r="AB649" s="475"/>
      <c r="AC649" s="475"/>
      <c r="AD649" s="475"/>
      <c r="AE649" s="475"/>
      <c r="AF649" s="475"/>
    </row>
    <row r="650" spans="2:32">
      <c r="B650" s="471"/>
      <c r="C650" s="475"/>
      <c r="D650" s="475"/>
      <c r="E650" s="475"/>
      <c r="F650" s="474"/>
      <c r="G650" s="475"/>
      <c r="H650" s="474"/>
      <c r="I650" s="474"/>
      <c r="J650" s="475"/>
      <c r="K650" s="475"/>
      <c r="L650" s="475"/>
      <c r="M650" s="475"/>
      <c r="N650" s="475"/>
      <c r="O650" s="475"/>
      <c r="P650" s="475"/>
      <c r="Q650" s="475"/>
      <c r="R650" s="475"/>
      <c r="S650" s="475"/>
      <c r="T650" s="475"/>
      <c r="U650" s="475"/>
      <c r="V650" s="475"/>
      <c r="W650" s="475"/>
      <c r="X650" s="475"/>
      <c r="Y650" s="475"/>
      <c r="Z650" s="475"/>
      <c r="AA650" s="475"/>
      <c r="AB650" s="475"/>
      <c r="AC650" s="475"/>
      <c r="AD650" s="475"/>
      <c r="AE650" s="475"/>
      <c r="AF650" s="475"/>
    </row>
    <row r="651" spans="2:32">
      <c r="B651" s="471"/>
      <c r="C651" s="475"/>
      <c r="D651" s="475"/>
      <c r="E651" s="475"/>
      <c r="F651" s="474"/>
      <c r="G651" s="475"/>
      <c r="H651" s="474"/>
      <c r="I651" s="474"/>
      <c r="J651" s="475"/>
      <c r="K651" s="475"/>
      <c r="L651" s="475"/>
      <c r="M651" s="475"/>
      <c r="N651" s="475"/>
      <c r="O651" s="475"/>
      <c r="P651" s="475"/>
      <c r="Q651" s="475"/>
      <c r="R651" s="475"/>
      <c r="S651" s="475"/>
      <c r="T651" s="475"/>
      <c r="U651" s="475"/>
      <c r="V651" s="475"/>
      <c r="W651" s="475"/>
      <c r="X651" s="475"/>
      <c r="Y651" s="475"/>
      <c r="Z651" s="475"/>
      <c r="AA651" s="475"/>
      <c r="AB651" s="475"/>
      <c r="AC651" s="475"/>
      <c r="AD651" s="475"/>
      <c r="AE651" s="475"/>
      <c r="AF651" s="475"/>
    </row>
    <row r="652" spans="2:32">
      <c r="B652" s="471"/>
      <c r="C652" s="475"/>
      <c r="D652" s="475"/>
      <c r="E652" s="475"/>
      <c r="F652" s="474"/>
      <c r="G652" s="475"/>
      <c r="H652" s="474"/>
      <c r="I652" s="474"/>
      <c r="J652" s="475"/>
      <c r="K652" s="475"/>
      <c r="L652" s="475"/>
      <c r="M652" s="475"/>
      <c r="N652" s="475"/>
      <c r="O652" s="475"/>
      <c r="P652" s="475"/>
      <c r="Q652" s="475"/>
      <c r="R652" s="475"/>
      <c r="S652" s="475"/>
      <c r="T652" s="475"/>
      <c r="U652" s="475"/>
      <c r="V652" s="475"/>
      <c r="W652" s="475"/>
      <c r="X652" s="475"/>
      <c r="Y652" s="475"/>
      <c r="Z652" s="475"/>
      <c r="AA652" s="475"/>
      <c r="AB652" s="475"/>
      <c r="AC652" s="475"/>
      <c r="AD652" s="475"/>
      <c r="AE652" s="475"/>
      <c r="AF652" s="475"/>
    </row>
    <row r="653" spans="2:32">
      <c r="B653" s="471"/>
      <c r="C653" s="475"/>
      <c r="D653" s="475"/>
      <c r="E653" s="475"/>
      <c r="F653" s="474"/>
      <c r="G653" s="475"/>
      <c r="H653" s="474"/>
      <c r="I653" s="474"/>
      <c r="J653" s="475"/>
      <c r="K653" s="475"/>
      <c r="L653" s="475"/>
      <c r="M653" s="475"/>
      <c r="N653" s="475"/>
      <c r="O653" s="475"/>
      <c r="P653" s="475"/>
      <c r="Q653" s="475"/>
      <c r="R653" s="475"/>
      <c r="S653" s="475"/>
      <c r="T653" s="475"/>
      <c r="U653" s="475"/>
      <c r="V653" s="475"/>
      <c r="W653" s="475"/>
      <c r="X653" s="475"/>
      <c r="Y653" s="475"/>
      <c r="Z653" s="475"/>
      <c r="AA653" s="475"/>
      <c r="AB653" s="475"/>
      <c r="AC653" s="475"/>
      <c r="AD653" s="475"/>
      <c r="AE653" s="475"/>
      <c r="AF653" s="475"/>
    </row>
    <row r="654" spans="2:32">
      <c r="B654" s="471"/>
      <c r="C654" s="475"/>
      <c r="D654" s="475"/>
      <c r="E654" s="475"/>
      <c r="F654" s="474"/>
      <c r="G654" s="475"/>
      <c r="H654" s="474"/>
      <c r="I654" s="474"/>
      <c r="J654" s="475"/>
      <c r="K654" s="475"/>
      <c r="L654" s="475"/>
      <c r="M654" s="475"/>
      <c r="N654" s="475"/>
      <c r="O654" s="475"/>
      <c r="P654" s="475"/>
      <c r="Q654" s="475"/>
      <c r="R654" s="475"/>
      <c r="S654" s="475"/>
      <c r="T654" s="475"/>
      <c r="U654" s="475"/>
      <c r="V654" s="475"/>
      <c r="W654" s="475"/>
      <c r="X654" s="475"/>
      <c r="Y654" s="475"/>
      <c r="Z654" s="475"/>
      <c r="AA654" s="475"/>
      <c r="AB654" s="475"/>
      <c r="AC654" s="475"/>
      <c r="AD654" s="475"/>
      <c r="AE654" s="475"/>
      <c r="AF654" s="475"/>
    </row>
    <row r="655" spans="2:32">
      <c r="B655" s="471"/>
      <c r="C655" s="475"/>
      <c r="D655" s="475"/>
      <c r="E655" s="475"/>
      <c r="F655" s="474"/>
      <c r="G655" s="475"/>
      <c r="H655" s="474"/>
      <c r="I655" s="474"/>
      <c r="J655" s="475"/>
      <c r="K655" s="475"/>
      <c r="L655" s="475"/>
      <c r="M655" s="475"/>
      <c r="N655" s="475"/>
      <c r="O655" s="475"/>
      <c r="P655" s="475"/>
      <c r="Q655" s="475"/>
      <c r="R655" s="475"/>
      <c r="S655" s="475"/>
      <c r="T655" s="475"/>
      <c r="U655" s="475"/>
      <c r="V655" s="475"/>
      <c r="W655" s="475"/>
      <c r="X655" s="475"/>
      <c r="Y655" s="475"/>
      <c r="Z655" s="475"/>
      <c r="AA655" s="475"/>
      <c r="AB655" s="475"/>
      <c r="AC655" s="475"/>
      <c r="AD655" s="475"/>
      <c r="AE655" s="475"/>
      <c r="AF655" s="475"/>
    </row>
    <row r="656" spans="2:32">
      <c r="B656" s="471"/>
      <c r="C656" s="475"/>
      <c r="D656" s="475"/>
      <c r="E656" s="475"/>
      <c r="F656" s="474"/>
      <c r="G656" s="475"/>
      <c r="H656" s="474"/>
      <c r="I656" s="474"/>
      <c r="J656" s="475"/>
      <c r="K656" s="475"/>
      <c r="L656" s="475"/>
      <c r="M656" s="475"/>
      <c r="N656" s="475"/>
      <c r="O656" s="475"/>
      <c r="P656" s="475"/>
      <c r="Q656" s="475"/>
      <c r="R656" s="475"/>
      <c r="S656" s="475"/>
      <c r="T656" s="475"/>
      <c r="U656" s="475"/>
      <c r="V656" s="475"/>
      <c r="W656" s="475"/>
      <c r="X656" s="475"/>
      <c r="Y656" s="475"/>
      <c r="Z656" s="475"/>
      <c r="AA656" s="475"/>
      <c r="AB656" s="475"/>
      <c r="AC656" s="475"/>
      <c r="AD656" s="475"/>
      <c r="AE656" s="475"/>
      <c r="AF656" s="475"/>
    </row>
    <row r="657" spans="2:32">
      <c r="B657" s="471"/>
      <c r="C657" s="475"/>
      <c r="D657" s="475"/>
      <c r="E657" s="475"/>
      <c r="F657" s="474"/>
      <c r="G657" s="475"/>
      <c r="H657" s="474"/>
      <c r="I657" s="474"/>
      <c r="J657" s="475"/>
      <c r="K657" s="475"/>
      <c r="L657" s="475"/>
      <c r="M657" s="475"/>
      <c r="N657" s="475"/>
      <c r="O657" s="475"/>
      <c r="P657" s="475"/>
      <c r="Q657" s="475"/>
      <c r="R657" s="475"/>
      <c r="S657" s="475"/>
      <c r="T657" s="475"/>
      <c r="U657" s="475"/>
      <c r="V657" s="475"/>
      <c r="W657" s="475"/>
      <c r="X657" s="475"/>
      <c r="Y657" s="475"/>
      <c r="Z657" s="475"/>
      <c r="AA657" s="475"/>
      <c r="AB657" s="475"/>
      <c r="AC657" s="475"/>
      <c r="AD657" s="475"/>
      <c r="AE657" s="475"/>
      <c r="AF657" s="475"/>
    </row>
    <row r="658" spans="2:32">
      <c r="B658" s="471"/>
      <c r="C658" s="475"/>
      <c r="D658" s="475"/>
      <c r="E658" s="475"/>
      <c r="F658" s="474"/>
      <c r="G658" s="475"/>
      <c r="H658" s="474"/>
      <c r="I658" s="474"/>
      <c r="J658" s="475"/>
      <c r="K658" s="475"/>
      <c r="L658" s="475"/>
      <c r="M658" s="475"/>
      <c r="N658" s="475"/>
      <c r="O658" s="475"/>
      <c r="P658" s="475"/>
      <c r="Q658" s="475"/>
      <c r="R658" s="475"/>
      <c r="S658" s="475"/>
      <c r="T658" s="475"/>
      <c r="U658" s="475"/>
      <c r="V658" s="475"/>
      <c r="W658" s="475"/>
      <c r="X658" s="475"/>
      <c r="Y658" s="475"/>
      <c r="Z658" s="475"/>
      <c r="AA658" s="475"/>
      <c r="AB658" s="475"/>
      <c r="AC658" s="475"/>
      <c r="AD658" s="475"/>
      <c r="AE658" s="475"/>
      <c r="AF658" s="475"/>
    </row>
    <row r="659" spans="2:32">
      <c r="B659" s="471"/>
      <c r="C659" s="475"/>
      <c r="D659" s="475"/>
      <c r="E659" s="475"/>
      <c r="F659" s="474"/>
      <c r="G659" s="475"/>
      <c r="H659" s="474"/>
      <c r="I659" s="474"/>
      <c r="J659" s="475"/>
      <c r="K659" s="475"/>
      <c r="L659" s="475"/>
      <c r="M659" s="475"/>
      <c r="N659" s="475"/>
      <c r="O659" s="475"/>
      <c r="P659" s="475"/>
      <c r="Q659" s="475"/>
      <c r="R659" s="475"/>
      <c r="S659" s="475"/>
      <c r="T659" s="475"/>
      <c r="U659" s="475"/>
      <c r="V659" s="475"/>
      <c r="W659" s="475"/>
      <c r="X659" s="475"/>
      <c r="Y659" s="475"/>
      <c r="Z659" s="475"/>
      <c r="AA659" s="475"/>
      <c r="AB659" s="475"/>
      <c r="AC659" s="475"/>
      <c r="AD659" s="475"/>
      <c r="AE659" s="475"/>
      <c r="AF659" s="475"/>
    </row>
    <row r="660" spans="2:32">
      <c r="B660" s="471"/>
      <c r="C660" s="475"/>
      <c r="D660" s="475"/>
      <c r="E660" s="475"/>
      <c r="F660" s="474"/>
      <c r="G660" s="475"/>
      <c r="H660" s="474"/>
      <c r="I660" s="474"/>
      <c r="J660" s="475"/>
      <c r="K660" s="475"/>
      <c r="L660" s="475"/>
      <c r="M660" s="475"/>
      <c r="N660" s="475"/>
      <c r="O660" s="475"/>
      <c r="P660" s="475"/>
      <c r="Q660" s="475"/>
      <c r="R660" s="475"/>
      <c r="S660" s="475"/>
      <c r="T660" s="475"/>
      <c r="U660" s="475"/>
      <c r="V660" s="475"/>
      <c r="W660" s="475"/>
      <c r="X660" s="475"/>
      <c r="Y660" s="475"/>
      <c r="Z660" s="475"/>
      <c r="AA660" s="475"/>
      <c r="AB660" s="475"/>
      <c r="AC660" s="475"/>
      <c r="AD660" s="475"/>
      <c r="AE660" s="475"/>
      <c r="AF660" s="475"/>
    </row>
    <row r="661" spans="2:32">
      <c r="B661" s="471"/>
      <c r="C661" s="475"/>
      <c r="D661" s="475"/>
      <c r="E661" s="475"/>
      <c r="F661" s="474"/>
      <c r="G661" s="475"/>
      <c r="H661" s="474"/>
      <c r="I661" s="474"/>
      <c r="J661" s="475"/>
      <c r="K661" s="475"/>
      <c r="L661" s="475"/>
      <c r="M661" s="475"/>
      <c r="N661" s="475"/>
      <c r="O661" s="475"/>
      <c r="P661" s="475"/>
      <c r="Q661" s="475"/>
      <c r="R661" s="475"/>
      <c r="S661" s="475"/>
      <c r="T661" s="475"/>
      <c r="U661" s="475"/>
      <c r="V661" s="475"/>
      <c r="W661" s="475"/>
      <c r="X661" s="475"/>
      <c r="Y661" s="475"/>
      <c r="Z661" s="475"/>
      <c r="AA661" s="475"/>
      <c r="AB661" s="475"/>
      <c r="AC661" s="475"/>
      <c r="AD661" s="475"/>
      <c r="AE661" s="475"/>
      <c r="AF661" s="475"/>
    </row>
    <row r="662" spans="2:32">
      <c r="B662" s="471"/>
      <c r="C662" s="475"/>
      <c r="D662" s="475"/>
      <c r="E662" s="475"/>
      <c r="F662" s="474"/>
      <c r="G662" s="475"/>
      <c r="H662" s="474"/>
      <c r="I662" s="474"/>
      <c r="J662" s="475"/>
      <c r="K662" s="475"/>
      <c r="L662" s="475"/>
      <c r="M662" s="475"/>
      <c r="N662" s="475"/>
      <c r="O662" s="475"/>
      <c r="P662" s="475"/>
      <c r="Q662" s="475"/>
      <c r="R662" s="475"/>
      <c r="S662" s="475"/>
      <c r="T662" s="475"/>
      <c r="U662" s="475"/>
      <c r="V662" s="475"/>
      <c r="W662" s="475"/>
      <c r="X662" s="475"/>
      <c r="Y662" s="475"/>
      <c r="Z662" s="475"/>
      <c r="AA662" s="475"/>
      <c r="AB662" s="475"/>
      <c r="AC662" s="475"/>
      <c r="AD662" s="475"/>
      <c r="AE662" s="475"/>
      <c r="AF662" s="475"/>
    </row>
    <row r="663" spans="2:32">
      <c r="B663" s="471"/>
      <c r="C663" s="475"/>
      <c r="D663" s="475"/>
      <c r="E663" s="475"/>
      <c r="F663" s="474"/>
      <c r="G663" s="475"/>
      <c r="H663" s="474"/>
      <c r="I663" s="474"/>
      <c r="J663" s="475"/>
      <c r="K663" s="475"/>
      <c r="L663" s="475"/>
      <c r="M663" s="475"/>
      <c r="N663" s="475"/>
      <c r="O663" s="475"/>
      <c r="P663" s="475"/>
      <c r="Q663" s="475"/>
      <c r="R663" s="475"/>
      <c r="S663" s="475"/>
      <c r="T663" s="475"/>
      <c r="U663" s="475"/>
      <c r="V663" s="475"/>
      <c r="W663" s="475"/>
      <c r="X663" s="475"/>
      <c r="Y663" s="475"/>
      <c r="Z663" s="475"/>
      <c r="AA663" s="475"/>
      <c r="AB663" s="475"/>
      <c r="AC663" s="475"/>
      <c r="AD663" s="475"/>
      <c r="AE663" s="475"/>
      <c r="AF663" s="475"/>
    </row>
    <row r="664" spans="2:32">
      <c r="B664" s="471"/>
      <c r="C664" s="475"/>
      <c r="D664" s="475"/>
      <c r="E664" s="475"/>
      <c r="F664" s="474"/>
      <c r="G664" s="475"/>
      <c r="H664" s="474"/>
      <c r="I664" s="474"/>
      <c r="J664" s="475"/>
      <c r="K664" s="475"/>
      <c r="L664" s="475"/>
      <c r="M664" s="475"/>
      <c r="N664" s="475"/>
      <c r="O664" s="475"/>
      <c r="P664" s="475"/>
      <c r="Q664" s="475"/>
      <c r="R664" s="475"/>
      <c r="S664" s="475"/>
      <c r="T664" s="475"/>
      <c r="U664" s="475"/>
      <c r="V664" s="475"/>
      <c r="W664" s="475"/>
      <c r="X664" s="475"/>
      <c r="Y664" s="475"/>
      <c r="Z664" s="475"/>
      <c r="AA664" s="475"/>
      <c r="AB664" s="475"/>
      <c r="AC664" s="475"/>
      <c r="AD664" s="475"/>
      <c r="AE664" s="475"/>
      <c r="AF664" s="475"/>
    </row>
    <row r="665" spans="2:32">
      <c r="B665" s="471"/>
      <c r="C665" s="475"/>
      <c r="D665" s="475"/>
      <c r="E665" s="475"/>
      <c r="F665" s="474"/>
      <c r="G665" s="475"/>
      <c r="H665" s="474"/>
      <c r="I665" s="474"/>
      <c r="J665" s="475"/>
      <c r="K665" s="475"/>
      <c r="L665" s="475"/>
      <c r="M665" s="475"/>
      <c r="N665" s="475"/>
      <c r="O665" s="475"/>
      <c r="P665" s="475"/>
      <c r="Q665" s="475"/>
      <c r="R665" s="475"/>
      <c r="S665" s="475"/>
      <c r="T665" s="475"/>
      <c r="U665" s="475"/>
      <c r="V665" s="475"/>
      <c r="W665" s="475"/>
      <c r="X665" s="475"/>
      <c r="Y665" s="475"/>
      <c r="Z665" s="475"/>
      <c r="AA665" s="475"/>
      <c r="AB665" s="475"/>
      <c r="AC665" s="475"/>
      <c r="AD665" s="475"/>
      <c r="AE665" s="475"/>
      <c r="AF665" s="475"/>
    </row>
    <row r="666" spans="2:32">
      <c r="B666" s="471"/>
      <c r="C666" s="475"/>
      <c r="D666" s="475"/>
      <c r="E666" s="475"/>
      <c r="F666" s="474"/>
      <c r="G666" s="475"/>
      <c r="H666" s="474"/>
      <c r="I666" s="474"/>
      <c r="J666" s="475"/>
      <c r="K666" s="475"/>
      <c r="L666" s="475"/>
      <c r="M666" s="475"/>
      <c r="N666" s="475"/>
      <c r="O666" s="475"/>
      <c r="P666" s="475"/>
      <c r="Q666" s="475"/>
      <c r="R666" s="475"/>
      <c r="S666" s="475"/>
      <c r="T666" s="475"/>
      <c r="U666" s="475"/>
      <c r="V666" s="475"/>
      <c r="W666" s="475"/>
      <c r="X666" s="475"/>
      <c r="Y666" s="475"/>
      <c r="Z666" s="475"/>
      <c r="AA666" s="475"/>
      <c r="AB666" s="475"/>
      <c r="AC666" s="475"/>
      <c r="AD666" s="475"/>
      <c r="AE666" s="475"/>
      <c r="AF666" s="475"/>
    </row>
    <row r="667" spans="2:32">
      <c r="B667" s="471"/>
      <c r="C667" s="475"/>
      <c r="D667" s="475"/>
      <c r="E667" s="475"/>
      <c r="F667" s="474"/>
      <c r="G667" s="475"/>
      <c r="H667" s="474"/>
      <c r="I667" s="474"/>
      <c r="J667" s="475"/>
      <c r="K667" s="475"/>
      <c r="L667" s="475"/>
      <c r="M667" s="475"/>
      <c r="N667" s="475"/>
      <c r="O667" s="475"/>
      <c r="P667" s="475"/>
      <c r="Q667" s="475"/>
      <c r="R667" s="475"/>
      <c r="S667" s="475"/>
      <c r="T667" s="475"/>
      <c r="U667" s="475"/>
      <c r="V667" s="475"/>
      <c r="W667" s="475"/>
      <c r="X667" s="475"/>
      <c r="Y667" s="475"/>
      <c r="Z667" s="475"/>
      <c r="AA667" s="475"/>
      <c r="AB667" s="475"/>
      <c r="AC667" s="475"/>
      <c r="AD667" s="475"/>
      <c r="AE667" s="475"/>
      <c r="AF667" s="475"/>
    </row>
    <row r="668" spans="2:32">
      <c r="B668" s="471"/>
      <c r="C668" s="475"/>
      <c r="D668" s="475"/>
      <c r="E668" s="475"/>
      <c r="F668" s="474"/>
      <c r="G668" s="475"/>
      <c r="H668" s="474"/>
      <c r="I668" s="474"/>
      <c r="J668" s="475"/>
      <c r="K668" s="475"/>
      <c r="L668" s="475"/>
      <c r="M668" s="475"/>
      <c r="N668" s="475"/>
      <c r="O668" s="475"/>
      <c r="P668" s="475"/>
      <c r="Q668" s="475"/>
      <c r="R668" s="475"/>
      <c r="S668" s="475"/>
      <c r="T668" s="475"/>
      <c r="U668" s="475"/>
      <c r="V668" s="475"/>
      <c r="W668" s="475"/>
      <c r="X668" s="475"/>
      <c r="Y668" s="475"/>
      <c r="Z668" s="475"/>
      <c r="AA668" s="475"/>
      <c r="AB668" s="475"/>
      <c r="AC668" s="475"/>
      <c r="AD668" s="475"/>
      <c r="AE668" s="475"/>
      <c r="AF668" s="475"/>
    </row>
    <row r="669" spans="2:32">
      <c r="B669" s="471"/>
      <c r="C669" s="475"/>
      <c r="D669" s="475"/>
      <c r="E669" s="475"/>
      <c r="F669" s="474"/>
      <c r="G669" s="475"/>
      <c r="H669" s="474"/>
      <c r="I669" s="474"/>
      <c r="J669" s="475"/>
      <c r="K669" s="475"/>
      <c r="L669" s="475"/>
      <c r="M669" s="475"/>
      <c r="N669" s="475"/>
      <c r="O669" s="475"/>
      <c r="P669" s="475"/>
      <c r="Q669" s="475"/>
      <c r="R669" s="475"/>
      <c r="S669" s="475"/>
      <c r="T669" s="475"/>
      <c r="U669" s="475"/>
      <c r="V669" s="475"/>
      <c r="W669" s="475"/>
      <c r="X669" s="475"/>
      <c r="Y669" s="475"/>
      <c r="Z669" s="475"/>
      <c r="AA669" s="475"/>
      <c r="AB669" s="475"/>
      <c r="AC669" s="475"/>
      <c r="AD669" s="475"/>
      <c r="AE669" s="475"/>
      <c r="AF669" s="475"/>
    </row>
    <row r="670" spans="2:32">
      <c r="B670" s="471"/>
      <c r="C670" s="475"/>
      <c r="D670" s="475"/>
      <c r="E670" s="475"/>
      <c r="F670" s="474"/>
      <c r="G670" s="475"/>
      <c r="H670" s="474"/>
      <c r="I670" s="474"/>
      <c r="J670" s="475"/>
      <c r="K670" s="475"/>
      <c r="L670" s="475"/>
      <c r="M670" s="475"/>
      <c r="N670" s="475"/>
      <c r="O670" s="475"/>
      <c r="P670" s="475"/>
      <c r="Q670" s="475"/>
      <c r="R670" s="475"/>
      <c r="S670" s="475"/>
      <c r="T670" s="475"/>
      <c r="U670" s="475"/>
      <c r="V670" s="475"/>
      <c r="W670" s="475"/>
      <c r="X670" s="475"/>
      <c r="Y670" s="475"/>
      <c r="Z670" s="475"/>
      <c r="AA670" s="475"/>
      <c r="AB670" s="475"/>
      <c r="AC670" s="475"/>
      <c r="AD670" s="475"/>
      <c r="AE670" s="475"/>
      <c r="AF670" s="475"/>
    </row>
    <row r="671" spans="2:32">
      <c r="B671" s="471"/>
      <c r="C671" s="475"/>
      <c r="D671" s="475"/>
      <c r="E671" s="475"/>
      <c r="F671" s="474"/>
      <c r="G671" s="475"/>
      <c r="H671" s="474"/>
      <c r="I671" s="474"/>
      <c r="J671" s="475"/>
      <c r="K671" s="475"/>
      <c r="L671" s="475"/>
      <c r="M671" s="475"/>
      <c r="N671" s="475"/>
      <c r="O671" s="475"/>
      <c r="P671" s="475"/>
      <c r="Q671" s="475"/>
      <c r="R671" s="475"/>
      <c r="S671" s="475"/>
      <c r="T671" s="475"/>
      <c r="U671" s="475"/>
      <c r="V671" s="475"/>
      <c r="W671" s="475"/>
      <c r="X671" s="475"/>
      <c r="Y671" s="475"/>
      <c r="Z671" s="475"/>
      <c r="AA671" s="475"/>
      <c r="AB671" s="475"/>
      <c r="AC671" s="475"/>
      <c r="AD671" s="475"/>
      <c r="AE671" s="475"/>
      <c r="AF671" s="475"/>
    </row>
    <row r="672" spans="2:32">
      <c r="B672" s="471"/>
      <c r="C672" s="475"/>
      <c r="D672" s="475"/>
      <c r="E672" s="475"/>
      <c r="F672" s="474"/>
      <c r="G672" s="475"/>
      <c r="H672" s="474"/>
      <c r="I672" s="474"/>
      <c r="J672" s="475"/>
      <c r="K672" s="475"/>
      <c r="L672" s="475"/>
      <c r="M672" s="475"/>
      <c r="N672" s="475"/>
      <c r="O672" s="475"/>
      <c r="P672" s="475"/>
      <c r="Q672" s="475"/>
      <c r="R672" s="475"/>
      <c r="S672" s="475"/>
      <c r="T672" s="475"/>
      <c r="U672" s="475"/>
      <c r="V672" s="475"/>
      <c r="W672" s="475"/>
      <c r="X672" s="475"/>
      <c r="Y672" s="475"/>
      <c r="Z672" s="475"/>
      <c r="AA672" s="475"/>
      <c r="AB672" s="475"/>
      <c r="AC672" s="475"/>
      <c r="AD672" s="475"/>
      <c r="AE672" s="475"/>
      <c r="AF672" s="475"/>
    </row>
    <row r="673" spans="2:32">
      <c r="B673" s="471"/>
      <c r="C673" s="475"/>
      <c r="D673" s="475"/>
      <c r="E673" s="475"/>
      <c r="F673" s="474"/>
      <c r="G673" s="475"/>
      <c r="H673" s="474"/>
      <c r="I673" s="474"/>
      <c r="J673" s="475"/>
      <c r="K673" s="475"/>
      <c r="L673" s="475"/>
      <c r="M673" s="475"/>
      <c r="N673" s="475"/>
      <c r="O673" s="475"/>
      <c r="P673" s="475"/>
      <c r="Q673" s="475"/>
      <c r="R673" s="475"/>
      <c r="S673" s="475"/>
      <c r="T673" s="475"/>
      <c r="U673" s="475"/>
      <c r="V673" s="475"/>
      <c r="W673" s="475"/>
      <c r="X673" s="475"/>
      <c r="Y673" s="475"/>
      <c r="Z673" s="475"/>
      <c r="AA673" s="475"/>
      <c r="AB673" s="475"/>
      <c r="AC673" s="475"/>
      <c r="AD673" s="475"/>
      <c r="AE673" s="475"/>
      <c r="AF673" s="475"/>
    </row>
    <row r="674" spans="2:32">
      <c r="B674" s="471"/>
      <c r="C674" s="475"/>
      <c r="D674" s="475"/>
      <c r="E674" s="475"/>
      <c r="F674" s="474"/>
      <c r="G674" s="475"/>
      <c r="H674" s="474"/>
      <c r="I674" s="474"/>
      <c r="J674" s="475"/>
      <c r="K674" s="475"/>
      <c r="L674" s="475"/>
      <c r="M674" s="475"/>
      <c r="N674" s="475"/>
      <c r="O674" s="475"/>
      <c r="P674" s="475"/>
      <c r="Q674" s="475"/>
      <c r="R674" s="475"/>
      <c r="S674" s="475"/>
      <c r="T674" s="475"/>
      <c r="U674" s="475"/>
      <c r="V674" s="475"/>
      <c r="W674" s="475"/>
      <c r="X674" s="475"/>
      <c r="Y674" s="475"/>
      <c r="Z674" s="475"/>
      <c r="AA674" s="475"/>
      <c r="AB674" s="475"/>
      <c r="AC674" s="475"/>
      <c r="AD674" s="475"/>
      <c r="AE674" s="475"/>
      <c r="AF674" s="475"/>
    </row>
    <row r="675" spans="2:32">
      <c r="B675" s="471"/>
      <c r="C675" s="475"/>
      <c r="D675" s="475"/>
      <c r="E675" s="475"/>
      <c r="F675" s="474"/>
      <c r="G675" s="475"/>
      <c r="H675" s="474"/>
      <c r="I675" s="474"/>
      <c r="J675" s="475"/>
      <c r="K675" s="475"/>
      <c r="L675" s="475"/>
      <c r="M675" s="475"/>
      <c r="N675" s="475"/>
      <c r="O675" s="475"/>
      <c r="P675" s="475"/>
      <c r="Q675" s="475"/>
      <c r="R675" s="475"/>
      <c r="S675" s="475"/>
      <c r="T675" s="475"/>
      <c r="U675" s="475"/>
      <c r="V675" s="475"/>
      <c r="W675" s="475"/>
      <c r="X675" s="475"/>
      <c r="Y675" s="475"/>
      <c r="Z675" s="475"/>
      <c r="AA675" s="475"/>
      <c r="AB675" s="475"/>
      <c r="AC675" s="475"/>
      <c r="AD675" s="475"/>
      <c r="AE675" s="475"/>
      <c r="AF675" s="475"/>
    </row>
    <row r="676" spans="2:32">
      <c r="B676" s="471"/>
      <c r="C676" s="475"/>
      <c r="D676" s="475"/>
      <c r="E676" s="475"/>
      <c r="F676" s="474"/>
      <c r="G676" s="475"/>
      <c r="H676" s="474"/>
      <c r="I676" s="474"/>
      <c r="J676" s="475"/>
      <c r="K676" s="475"/>
      <c r="L676" s="475"/>
      <c r="M676" s="475"/>
      <c r="N676" s="475"/>
      <c r="O676" s="475"/>
      <c r="P676" s="475"/>
      <c r="Q676" s="475"/>
      <c r="R676" s="475"/>
      <c r="S676" s="475"/>
      <c r="T676" s="475"/>
      <c r="U676" s="475"/>
      <c r="V676" s="475"/>
      <c r="W676" s="475"/>
      <c r="X676" s="475"/>
      <c r="Y676" s="475"/>
      <c r="Z676" s="475"/>
      <c r="AA676" s="475"/>
      <c r="AB676" s="475"/>
      <c r="AC676" s="475"/>
      <c r="AD676" s="475"/>
      <c r="AE676" s="475"/>
      <c r="AF676" s="475"/>
    </row>
    <row r="677" spans="2:32">
      <c r="B677" s="471"/>
      <c r="C677" s="475"/>
      <c r="D677" s="475"/>
      <c r="E677" s="475"/>
      <c r="F677" s="474"/>
      <c r="G677" s="475"/>
      <c r="H677" s="474"/>
      <c r="I677" s="474"/>
      <c r="J677" s="475"/>
      <c r="K677" s="475"/>
      <c r="L677" s="475"/>
      <c r="M677" s="475"/>
      <c r="N677" s="475"/>
      <c r="O677" s="475"/>
      <c r="P677" s="475"/>
      <c r="Q677" s="475"/>
      <c r="R677" s="475"/>
      <c r="S677" s="475"/>
      <c r="T677" s="475"/>
      <c r="U677" s="475"/>
      <c r="V677" s="475"/>
      <c r="W677" s="475"/>
      <c r="X677" s="475"/>
      <c r="Y677" s="475"/>
      <c r="Z677" s="475"/>
      <c r="AA677" s="475"/>
      <c r="AB677" s="475"/>
      <c r="AC677" s="475"/>
      <c r="AD677" s="475"/>
      <c r="AE677" s="475"/>
      <c r="AF677" s="475"/>
    </row>
    <row r="678" spans="2:32">
      <c r="B678" s="471"/>
      <c r="C678" s="475"/>
      <c r="D678" s="475"/>
      <c r="E678" s="475"/>
      <c r="F678" s="474"/>
      <c r="G678" s="475"/>
      <c r="H678" s="474"/>
      <c r="I678" s="474"/>
      <c r="J678" s="475"/>
      <c r="K678" s="475"/>
      <c r="L678" s="475"/>
      <c r="M678" s="475"/>
      <c r="N678" s="475"/>
      <c r="O678" s="475"/>
      <c r="P678" s="475"/>
      <c r="Q678" s="475"/>
      <c r="R678" s="475"/>
      <c r="S678" s="475"/>
      <c r="T678" s="475"/>
      <c r="U678" s="475"/>
      <c r="V678" s="475"/>
      <c r="W678" s="475"/>
      <c r="X678" s="475"/>
      <c r="Y678" s="475"/>
      <c r="Z678" s="475"/>
      <c r="AA678" s="475"/>
      <c r="AB678" s="475"/>
      <c r="AC678" s="475"/>
      <c r="AD678" s="475"/>
      <c r="AE678" s="475"/>
      <c r="AF678" s="475"/>
    </row>
    <row r="679" spans="2:32">
      <c r="B679" s="471"/>
      <c r="C679" s="475"/>
      <c r="D679" s="475"/>
      <c r="E679" s="475"/>
      <c r="F679" s="474"/>
      <c r="G679" s="475"/>
      <c r="H679" s="474"/>
      <c r="I679" s="474"/>
      <c r="J679" s="475"/>
      <c r="K679" s="475"/>
      <c r="L679" s="475"/>
      <c r="M679" s="475"/>
      <c r="N679" s="475"/>
      <c r="O679" s="475"/>
      <c r="P679" s="475"/>
      <c r="Q679" s="475"/>
      <c r="R679" s="475"/>
      <c r="S679" s="475"/>
      <c r="T679" s="475"/>
      <c r="U679" s="475"/>
      <c r="V679" s="475"/>
      <c r="W679" s="475"/>
      <c r="X679" s="475"/>
      <c r="Y679" s="475"/>
      <c r="Z679" s="475"/>
      <c r="AA679" s="475"/>
      <c r="AB679" s="475"/>
      <c r="AC679" s="475"/>
      <c r="AD679" s="475"/>
      <c r="AE679" s="475"/>
      <c r="AF679" s="475"/>
    </row>
    <row r="680" spans="2:32">
      <c r="B680" s="471"/>
      <c r="C680" s="475"/>
      <c r="D680" s="475"/>
      <c r="E680" s="475"/>
      <c r="F680" s="474"/>
      <c r="G680" s="475"/>
      <c r="H680" s="474"/>
      <c r="I680" s="474"/>
      <c r="J680" s="475"/>
      <c r="K680" s="475"/>
      <c r="L680" s="475"/>
      <c r="M680" s="475"/>
      <c r="N680" s="475"/>
      <c r="O680" s="475"/>
      <c r="P680" s="475"/>
      <c r="Q680" s="475"/>
      <c r="R680" s="475"/>
      <c r="S680" s="475"/>
      <c r="T680" s="475"/>
      <c r="U680" s="475"/>
      <c r="V680" s="475"/>
      <c r="W680" s="475"/>
      <c r="X680" s="475"/>
      <c r="Y680" s="475"/>
      <c r="Z680" s="475"/>
      <c r="AA680" s="475"/>
      <c r="AB680" s="475"/>
      <c r="AC680" s="475"/>
      <c r="AD680" s="475"/>
      <c r="AE680" s="475"/>
      <c r="AF680" s="475"/>
    </row>
    <row r="681" spans="2:32">
      <c r="B681" s="471"/>
      <c r="C681" s="475"/>
      <c r="D681" s="475"/>
      <c r="E681" s="475"/>
      <c r="F681" s="474"/>
      <c r="G681" s="475"/>
      <c r="H681" s="474"/>
      <c r="I681" s="474"/>
      <c r="J681" s="475"/>
      <c r="K681" s="475"/>
      <c r="L681" s="475"/>
      <c r="M681" s="475"/>
      <c r="N681" s="475"/>
      <c r="O681" s="475"/>
      <c r="P681" s="475"/>
      <c r="Q681" s="475"/>
      <c r="R681" s="475"/>
      <c r="S681" s="475"/>
      <c r="T681" s="475"/>
      <c r="U681" s="475"/>
      <c r="V681" s="475"/>
      <c r="W681" s="475"/>
      <c r="X681" s="475"/>
      <c r="Y681" s="475"/>
      <c r="Z681" s="475"/>
      <c r="AA681" s="475"/>
      <c r="AB681" s="475"/>
      <c r="AC681" s="475"/>
      <c r="AD681" s="475"/>
      <c r="AE681" s="475"/>
      <c r="AF681" s="475"/>
    </row>
    <row r="682" spans="2:32">
      <c r="B682" s="471"/>
      <c r="C682" s="475"/>
      <c r="D682" s="475"/>
      <c r="E682" s="475"/>
      <c r="F682" s="474"/>
      <c r="G682" s="475"/>
      <c r="H682" s="474"/>
      <c r="I682" s="474"/>
      <c r="J682" s="475"/>
      <c r="K682" s="475"/>
      <c r="L682" s="475"/>
      <c r="M682" s="475"/>
      <c r="N682" s="475"/>
      <c r="O682" s="475"/>
      <c r="P682" s="475"/>
      <c r="Q682" s="475"/>
      <c r="R682" s="475"/>
      <c r="S682" s="475"/>
      <c r="T682" s="475"/>
      <c r="U682" s="475"/>
      <c r="V682" s="475"/>
      <c r="W682" s="475"/>
      <c r="X682" s="475"/>
      <c r="Y682" s="475"/>
      <c r="Z682" s="475"/>
      <c r="AA682" s="475"/>
      <c r="AB682" s="475"/>
      <c r="AC682" s="475"/>
      <c r="AD682" s="475"/>
      <c r="AE682" s="475"/>
      <c r="AF682" s="475"/>
    </row>
    <row r="683" spans="2:32">
      <c r="B683" s="471"/>
      <c r="C683" s="475"/>
      <c r="D683" s="475"/>
      <c r="E683" s="475"/>
      <c r="F683" s="474"/>
      <c r="G683" s="475"/>
      <c r="H683" s="474"/>
      <c r="I683" s="474"/>
      <c r="J683" s="475"/>
      <c r="K683" s="475"/>
      <c r="L683" s="475"/>
      <c r="M683" s="475"/>
      <c r="N683" s="475"/>
      <c r="O683" s="475"/>
      <c r="P683" s="475"/>
      <c r="Q683" s="475"/>
      <c r="R683" s="475"/>
      <c r="S683" s="475"/>
      <c r="T683" s="475"/>
      <c r="U683" s="475"/>
      <c r="V683" s="475"/>
      <c r="W683" s="475"/>
      <c r="X683" s="475"/>
      <c r="Y683" s="475"/>
      <c r="Z683" s="475"/>
      <c r="AA683" s="475"/>
      <c r="AB683" s="475"/>
      <c r="AC683" s="475"/>
      <c r="AD683" s="475"/>
      <c r="AE683" s="475"/>
      <c r="AF683" s="475"/>
    </row>
    <row r="684" spans="2:32">
      <c r="B684" s="471"/>
      <c r="C684" s="475"/>
      <c r="D684" s="475"/>
      <c r="E684" s="475"/>
      <c r="F684" s="474"/>
      <c r="G684" s="475"/>
      <c r="H684" s="474"/>
      <c r="I684" s="474"/>
      <c r="J684" s="475"/>
      <c r="K684" s="475"/>
      <c r="L684" s="475"/>
      <c r="M684" s="475"/>
      <c r="N684" s="475"/>
      <c r="O684" s="475"/>
      <c r="P684" s="475"/>
      <c r="Q684" s="475"/>
      <c r="R684" s="475"/>
      <c r="S684" s="475"/>
      <c r="T684" s="475"/>
      <c r="U684" s="475"/>
      <c r="V684" s="475"/>
      <c r="W684" s="475"/>
      <c r="X684" s="475"/>
      <c r="Y684" s="475"/>
      <c r="Z684" s="475"/>
      <c r="AA684" s="475"/>
      <c r="AB684" s="475"/>
      <c r="AC684" s="475"/>
      <c r="AD684" s="475"/>
      <c r="AE684" s="475"/>
      <c r="AF684" s="475"/>
    </row>
    <row r="685" spans="2:32">
      <c r="B685" s="471"/>
      <c r="C685" s="475"/>
      <c r="D685" s="475"/>
      <c r="E685" s="475"/>
      <c r="F685" s="474"/>
      <c r="G685" s="475"/>
      <c r="H685" s="474"/>
      <c r="I685" s="474"/>
      <c r="J685" s="475"/>
      <c r="K685" s="475"/>
      <c r="L685" s="475"/>
      <c r="M685" s="475"/>
      <c r="N685" s="475"/>
      <c r="O685" s="475"/>
      <c r="P685" s="475"/>
      <c r="Q685" s="475"/>
      <c r="R685" s="475"/>
      <c r="S685" s="475"/>
      <c r="T685" s="475"/>
      <c r="U685" s="475"/>
      <c r="V685" s="475"/>
      <c r="W685" s="475"/>
      <c r="X685" s="475"/>
      <c r="Y685" s="475"/>
      <c r="Z685" s="475"/>
      <c r="AA685" s="475"/>
      <c r="AB685" s="475"/>
      <c r="AC685" s="475"/>
      <c r="AD685" s="475"/>
      <c r="AE685" s="475"/>
      <c r="AF685" s="475"/>
    </row>
    <row r="686" spans="2:32">
      <c r="B686" s="471"/>
      <c r="C686" s="475"/>
      <c r="D686" s="475"/>
      <c r="E686" s="475"/>
      <c r="F686" s="474"/>
      <c r="G686" s="475"/>
      <c r="H686" s="474"/>
      <c r="I686" s="474"/>
      <c r="J686" s="475"/>
      <c r="K686" s="475"/>
      <c r="L686" s="475"/>
      <c r="M686" s="475"/>
      <c r="N686" s="475"/>
      <c r="O686" s="475"/>
      <c r="P686" s="475"/>
      <c r="Q686" s="475"/>
      <c r="R686" s="475"/>
      <c r="S686" s="475"/>
      <c r="T686" s="475"/>
      <c r="U686" s="475"/>
      <c r="V686" s="475"/>
      <c r="W686" s="475"/>
      <c r="X686" s="475"/>
      <c r="Y686" s="475"/>
      <c r="Z686" s="475"/>
      <c r="AA686" s="475"/>
      <c r="AB686" s="475"/>
      <c r="AC686" s="475"/>
      <c r="AD686" s="475"/>
      <c r="AE686" s="475"/>
      <c r="AF686" s="475"/>
    </row>
    <row r="687" spans="2:32">
      <c r="B687" s="471"/>
      <c r="C687" s="475"/>
      <c r="D687" s="475"/>
      <c r="E687" s="475"/>
      <c r="F687" s="474"/>
      <c r="G687" s="475"/>
      <c r="H687" s="474"/>
      <c r="I687" s="474"/>
      <c r="J687" s="475"/>
      <c r="K687" s="475"/>
      <c r="L687" s="475"/>
      <c r="M687" s="475"/>
      <c r="N687" s="475"/>
      <c r="O687" s="475"/>
      <c r="P687" s="475"/>
      <c r="Q687" s="475"/>
      <c r="R687" s="475"/>
      <c r="S687" s="475"/>
      <c r="T687" s="475"/>
      <c r="U687" s="475"/>
      <c r="V687" s="475"/>
      <c r="W687" s="475"/>
      <c r="X687" s="475"/>
      <c r="Y687" s="475"/>
      <c r="Z687" s="475"/>
      <c r="AA687" s="475"/>
      <c r="AB687" s="475"/>
      <c r="AC687" s="475"/>
      <c r="AD687" s="475"/>
      <c r="AE687" s="475"/>
      <c r="AF687" s="475"/>
    </row>
    <row r="688" spans="2:32">
      <c r="B688" s="471"/>
      <c r="C688" s="475"/>
      <c r="D688" s="475"/>
      <c r="E688" s="475"/>
      <c r="F688" s="474"/>
      <c r="G688" s="475"/>
      <c r="H688" s="474"/>
      <c r="I688" s="474"/>
      <c r="J688" s="475"/>
      <c r="K688" s="475"/>
      <c r="L688" s="475"/>
      <c r="M688" s="475"/>
      <c r="N688" s="475"/>
      <c r="O688" s="475"/>
      <c r="P688" s="475"/>
      <c r="Q688" s="475"/>
      <c r="R688" s="475"/>
      <c r="S688" s="475"/>
      <c r="T688" s="475"/>
      <c r="U688" s="475"/>
      <c r="V688" s="475"/>
      <c r="W688" s="475"/>
      <c r="X688" s="475"/>
      <c r="Y688" s="475"/>
      <c r="Z688" s="475"/>
      <c r="AA688" s="475"/>
      <c r="AB688" s="475"/>
      <c r="AC688" s="475"/>
      <c r="AD688" s="475"/>
      <c r="AE688" s="475"/>
      <c r="AF688" s="475"/>
    </row>
    <row r="689" spans="2:32">
      <c r="B689" s="471"/>
      <c r="C689" s="475"/>
      <c r="D689" s="475"/>
      <c r="E689" s="475"/>
      <c r="F689" s="474"/>
      <c r="G689" s="475"/>
      <c r="H689" s="474"/>
      <c r="I689" s="474"/>
      <c r="J689" s="475"/>
      <c r="K689" s="475"/>
      <c r="L689" s="475"/>
      <c r="M689" s="475"/>
      <c r="N689" s="475"/>
      <c r="O689" s="475"/>
      <c r="P689" s="475"/>
      <c r="Q689" s="475"/>
      <c r="R689" s="475"/>
      <c r="S689" s="475"/>
      <c r="T689" s="475"/>
      <c r="U689" s="475"/>
      <c r="V689" s="475"/>
      <c r="W689" s="475"/>
      <c r="X689" s="475"/>
      <c r="Y689" s="475"/>
      <c r="Z689" s="475"/>
      <c r="AA689" s="475"/>
      <c r="AB689" s="475"/>
      <c r="AC689" s="475"/>
      <c r="AD689" s="475"/>
      <c r="AE689" s="475"/>
      <c r="AF689" s="475"/>
    </row>
    <row r="690" spans="2:32">
      <c r="B690" s="471"/>
      <c r="C690" s="475"/>
      <c r="D690" s="475"/>
      <c r="E690" s="475"/>
      <c r="F690" s="474"/>
      <c r="G690" s="475"/>
      <c r="H690" s="474"/>
      <c r="I690" s="474"/>
      <c r="J690" s="475"/>
      <c r="K690" s="475"/>
      <c r="L690" s="475"/>
      <c r="M690" s="475"/>
      <c r="N690" s="475"/>
      <c r="O690" s="475"/>
      <c r="P690" s="475"/>
      <c r="Q690" s="475"/>
      <c r="R690" s="475"/>
      <c r="S690" s="475"/>
      <c r="T690" s="475"/>
      <c r="U690" s="475"/>
      <c r="V690" s="475"/>
      <c r="W690" s="475"/>
      <c r="X690" s="475"/>
      <c r="Y690" s="475"/>
      <c r="Z690" s="475"/>
      <c r="AA690" s="475"/>
      <c r="AB690" s="475"/>
      <c r="AC690" s="475"/>
      <c r="AD690" s="475"/>
      <c r="AE690" s="475"/>
      <c r="AF690" s="475"/>
    </row>
    <row r="691" spans="2:32">
      <c r="B691" s="471"/>
      <c r="C691" s="475"/>
      <c r="D691" s="475"/>
      <c r="E691" s="475"/>
      <c r="F691" s="474"/>
      <c r="G691" s="475"/>
      <c r="H691" s="474"/>
      <c r="I691" s="474"/>
      <c r="J691" s="475"/>
      <c r="K691" s="475"/>
      <c r="L691" s="475"/>
      <c r="M691" s="475"/>
      <c r="N691" s="475"/>
      <c r="O691" s="475"/>
      <c r="P691" s="475"/>
      <c r="Q691" s="475"/>
      <c r="R691" s="475"/>
      <c r="S691" s="475"/>
      <c r="T691" s="475"/>
      <c r="U691" s="475"/>
      <c r="V691" s="475"/>
      <c r="W691" s="475"/>
      <c r="X691" s="475"/>
      <c r="Y691" s="475"/>
      <c r="Z691" s="475"/>
      <c r="AA691" s="475"/>
      <c r="AB691" s="475"/>
      <c r="AC691" s="475"/>
      <c r="AD691" s="475"/>
      <c r="AE691" s="475"/>
      <c r="AF691" s="475"/>
    </row>
    <row r="692" spans="2:32">
      <c r="B692" s="471"/>
      <c r="C692" s="475"/>
      <c r="D692" s="475"/>
      <c r="E692" s="475"/>
      <c r="F692" s="474"/>
      <c r="G692" s="475"/>
      <c r="H692" s="474"/>
      <c r="I692" s="474"/>
      <c r="J692" s="475"/>
      <c r="K692" s="475"/>
      <c r="L692" s="475"/>
      <c r="M692" s="475"/>
      <c r="N692" s="475"/>
      <c r="O692" s="475"/>
      <c r="P692" s="475"/>
      <c r="Q692" s="475"/>
      <c r="R692" s="475"/>
      <c r="S692" s="475"/>
      <c r="T692" s="475"/>
      <c r="U692" s="475"/>
      <c r="V692" s="475"/>
      <c r="W692" s="475"/>
      <c r="X692" s="475"/>
      <c r="Y692" s="475"/>
      <c r="Z692" s="475"/>
      <c r="AA692" s="475"/>
      <c r="AB692" s="475"/>
      <c r="AC692" s="475"/>
      <c r="AD692" s="475"/>
      <c r="AE692" s="475"/>
      <c r="AF692" s="475"/>
    </row>
    <row r="693" spans="2:32">
      <c r="B693" s="471"/>
      <c r="C693" s="475"/>
      <c r="D693" s="475"/>
      <c r="E693" s="475"/>
      <c r="F693" s="474"/>
      <c r="G693" s="475"/>
      <c r="H693" s="474"/>
      <c r="I693" s="474"/>
      <c r="J693" s="475"/>
      <c r="K693" s="475"/>
      <c r="L693" s="475"/>
      <c r="M693" s="475"/>
      <c r="N693" s="475"/>
      <c r="O693" s="475"/>
      <c r="P693" s="475"/>
      <c r="Q693" s="475"/>
      <c r="R693" s="475"/>
      <c r="S693" s="475"/>
      <c r="T693" s="475"/>
      <c r="U693" s="475"/>
      <c r="V693" s="475"/>
      <c r="W693" s="475"/>
      <c r="X693" s="475"/>
      <c r="Y693" s="475"/>
      <c r="Z693" s="475"/>
      <c r="AA693" s="475"/>
      <c r="AB693" s="475"/>
      <c r="AC693" s="475"/>
      <c r="AD693" s="475"/>
      <c r="AE693" s="475"/>
      <c r="AF693" s="475"/>
    </row>
    <row r="694" spans="2:32">
      <c r="B694" s="471"/>
      <c r="C694" s="475"/>
      <c r="D694" s="475"/>
      <c r="E694" s="475"/>
      <c r="F694" s="474"/>
      <c r="G694" s="475"/>
      <c r="H694" s="474"/>
      <c r="I694" s="474"/>
      <c r="J694" s="475"/>
      <c r="K694" s="475"/>
      <c r="L694" s="475"/>
      <c r="M694" s="475"/>
      <c r="N694" s="475"/>
      <c r="O694" s="475"/>
      <c r="P694" s="475"/>
      <c r="Q694" s="475"/>
      <c r="R694" s="475"/>
      <c r="S694" s="475"/>
      <c r="T694" s="475"/>
      <c r="U694" s="475"/>
      <c r="V694" s="475"/>
      <c r="W694" s="475"/>
      <c r="X694" s="475"/>
      <c r="Y694" s="475"/>
      <c r="Z694" s="475"/>
      <c r="AA694" s="475"/>
      <c r="AB694" s="475"/>
      <c r="AC694" s="475"/>
      <c r="AD694" s="475"/>
      <c r="AE694" s="475"/>
      <c r="AF694" s="475"/>
    </row>
    <row r="695" spans="2:32">
      <c r="B695" s="471"/>
      <c r="C695" s="475"/>
      <c r="D695" s="475"/>
      <c r="E695" s="475"/>
      <c r="F695" s="474"/>
      <c r="G695" s="475"/>
      <c r="H695" s="474"/>
      <c r="I695" s="474"/>
      <c r="J695" s="475"/>
      <c r="K695" s="475"/>
      <c r="L695" s="475"/>
      <c r="M695" s="475"/>
      <c r="N695" s="475"/>
      <c r="O695" s="475"/>
      <c r="P695" s="475"/>
      <c r="Q695" s="475"/>
      <c r="R695" s="475"/>
      <c r="S695" s="475"/>
      <c r="T695" s="475"/>
      <c r="U695" s="475"/>
      <c r="V695" s="475"/>
      <c r="W695" s="475"/>
      <c r="X695" s="475"/>
      <c r="Y695" s="475"/>
      <c r="Z695" s="475"/>
      <c r="AA695" s="475"/>
      <c r="AB695" s="475"/>
      <c r="AC695" s="475"/>
      <c r="AD695" s="475"/>
      <c r="AE695" s="475"/>
      <c r="AF695" s="475"/>
    </row>
    <row r="696" spans="2:32">
      <c r="B696" s="471"/>
      <c r="C696" s="475"/>
      <c r="D696" s="475"/>
      <c r="E696" s="475"/>
      <c r="F696" s="474"/>
      <c r="G696" s="475"/>
      <c r="H696" s="474"/>
      <c r="I696" s="474"/>
      <c r="J696" s="475"/>
      <c r="K696" s="475"/>
      <c r="L696" s="475"/>
      <c r="M696" s="475"/>
      <c r="N696" s="475"/>
      <c r="O696" s="475"/>
      <c r="P696" s="475"/>
      <c r="Q696" s="475"/>
      <c r="R696" s="475"/>
      <c r="S696" s="475"/>
      <c r="T696" s="475"/>
      <c r="U696" s="475"/>
      <c r="V696" s="475"/>
      <c r="W696" s="475"/>
      <c r="X696" s="475"/>
      <c r="Y696" s="475"/>
      <c r="Z696" s="475"/>
      <c r="AA696" s="475"/>
      <c r="AB696" s="475"/>
      <c r="AC696" s="475"/>
      <c r="AD696" s="475"/>
      <c r="AE696" s="475"/>
      <c r="AF696" s="475"/>
    </row>
    <row r="697" spans="2:32">
      <c r="B697" s="471"/>
      <c r="C697" s="475"/>
      <c r="D697" s="475"/>
      <c r="E697" s="475"/>
      <c r="F697" s="474"/>
      <c r="G697" s="475"/>
      <c r="H697" s="474"/>
      <c r="I697" s="474"/>
      <c r="J697" s="475"/>
      <c r="K697" s="475"/>
      <c r="L697" s="475"/>
      <c r="M697" s="475"/>
      <c r="N697" s="475"/>
      <c r="O697" s="475"/>
      <c r="P697" s="475"/>
      <c r="Q697" s="475"/>
      <c r="R697" s="475"/>
      <c r="S697" s="475"/>
      <c r="T697" s="475"/>
      <c r="U697" s="475"/>
      <c r="V697" s="475"/>
      <c r="W697" s="475"/>
      <c r="X697" s="475"/>
      <c r="Y697" s="475"/>
      <c r="Z697" s="475"/>
      <c r="AA697" s="475"/>
      <c r="AB697" s="475"/>
      <c r="AC697" s="475"/>
      <c r="AD697" s="475"/>
      <c r="AE697" s="475"/>
      <c r="AF697" s="475"/>
    </row>
    <row r="698" spans="2:32">
      <c r="B698" s="471"/>
      <c r="C698" s="475"/>
      <c r="D698" s="475"/>
      <c r="E698" s="475"/>
      <c r="F698" s="474"/>
      <c r="G698" s="475"/>
      <c r="H698" s="474"/>
      <c r="I698" s="474"/>
      <c r="J698" s="475"/>
      <c r="K698" s="475"/>
      <c r="L698" s="475"/>
      <c r="M698" s="475"/>
      <c r="N698" s="475"/>
      <c r="O698" s="475"/>
      <c r="P698" s="475"/>
      <c r="Q698" s="475"/>
      <c r="R698" s="475"/>
      <c r="S698" s="475"/>
      <c r="T698" s="475"/>
      <c r="U698" s="475"/>
      <c r="V698" s="475"/>
      <c r="W698" s="475"/>
      <c r="X698" s="475"/>
      <c r="Y698" s="475"/>
      <c r="Z698" s="475"/>
      <c r="AA698" s="475"/>
      <c r="AB698" s="475"/>
      <c r="AC698" s="475"/>
      <c r="AD698" s="475"/>
      <c r="AE698" s="475"/>
      <c r="AF698" s="475"/>
    </row>
    <row r="699" spans="2:32">
      <c r="B699" s="471"/>
      <c r="C699" s="475"/>
      <c r="D699" s="475"/>
      <c r="E699" s="475"/>
      <c r="F699" s="474"/>
      <c r="G699" s="475"/>
      <c r="H699" s="474"/>
      <c r="I699" s="474"/>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row>
    <row r="700" spans="2:32">
      <c r="B700" s="471"/>
      <c r="C700" s="475"/>
      <c r="D700" s="475"/>
      <c r="E700" s="475"/>
      <c r="F700" s="474"/>
      <c r="G700" s="475"/>
      <c r="H700" s="474"/>
      <c r="I700" s="474"/>
      <c r="J700" s="475"/>
      <c r="K700" s="475"/>
      <c r="L700" s="475"/>
      <c r="M700" s="475"/>
      <c r="N700" s="475"/>
      <c r="O700" s="475"/>
      <c r="P700" s="475"/>
      <c r="Q700" s="475"/>
      <c r="R700" s="475"/>
      <c r="S700" s="475"/>
      <c r="T700" s="475"/>
      <c r="U700" s="475"/>
      <c r="V700" s="475"/>
      <c r="W700" s="475"/>
      <c r="X700" s="475"/>
      <c r="Y700" s="475"/>
      <c r="Z700" s="475"/>
      <c r="AA700" s="475"/>
      <c r="AB700" s="475"/>
      <c r="AC700" s="475"/>
      <c r="AD700" s="475"/>
      <c r="AE700" s="475"/>
      <c r="AF700" s="475"/>
    </row>
    <row r="701" spans="2:32">
      <c r="B701" s="471"/>
      <c r="C701" s="475"/>
      <c r="D701" s="475"/>
      <c r="E701" s="475"/>
      <c r="F701" s="474"/>
      <c r="G701" s="475"/>
      <c r="H701" s="474"/>
      <c r="I701" s="474"/>
      <c r="J701" s="475"/>
      <c r="K701" s="475"/>
      <c r="L701" s="475"/>
      <c r="M701" s="475"/>
      <c r="N701" s="475"/>
      <c r="O701" s="475"/>
      <c r="P701" s="475"/>
      <c r="Q701" s="475"/>
      <c r="R701" s="475"/>
      <c r="S701" s="475"/>
      <c r="T701" s="475"/>
      <c r="U701" s="475"/>
      <c r="V701" s="475"/>
      <c r="W701" s="475"/>
      <c r="X701" s="475"/>
      <c r="Y701" s="475"/>
      <c r="Z701" s="475"/>
      <c r="AA701" s="475"/>
      <c r="AB701" s="475"/>
      <c r="AC701" s="475"/>
      <c r="AD701" s="475"/>
      <c r="AE701" s="475"/>
      <c r="AF701" s="475"/>
    </row>
    <row r="702" spans="2:32">
      <c r="B702" s="471"/>
      <c r="C702" s="475"/>
      <c r="D702" s="475"/>
      <c r="E702" s="475"/>
      <c r="F702" s="474"/>
      <c r="G702" s="475"/>
      <c r="H702" s="474"/>
      <c r="I702" s="474"/>
      <c r="J702" s="475"/>
      <c r="K702" s="475"/>
      <c r="L702" s="475"/>
      <c r="M702" s="475"/>
      <c r="N702" s="475"/>
      <c r="O702" s="475"/>
      <c r="P702" s="475"/>
      <c r="Q702" s="475"/>
      <c r="R702" s="475"/>
      <c r="S702" s="475"/>
      <c r="T702" s="475"/>
      <c r="U702" s="475"/>
      <c r="V702" s="475"/>
      <c r="W702" s="475"/>
      <c r="X702" s="475"/>
      <c r="Y702" s="475"/>
      <c r="Z702" s="475"/>
      <c r="AA702" s="475"/>
      <c r="AB702" s="475"/>
      <c r="AC702" s="475"/>
      <c r="AD702" s="475"/>
      <c r="AE702" s="475"/>
      <c r="AF702" s="475"/>
    </row>
    <row r="703" spans="2:32">
      <c r="B703" s="471"/>
      <c r="C703" s="475"/>
      <c r="D703" s="475"/>
      <c r="E703" s="475"/>
      <c r="F703" s="474"/>
      <c r="G703" s="475"/>
      <c r="H703" s="474"/>
      <c r="I703" s="474"/>
      <c r="J703" s="475"/>
      <c r="K703" s="475"/>
      <c r="L703" s="475"/>
      <c r="M703" s="475"/>
      <c r="N703" s="475"/>
      <c r="O703" s="475"/>
      <c r="P703" s="475"/>
      <c r="Q703" s="475"/>
      <c r="R703" s="475"/>
      <c r="S703" s="475"/>
      <c r="T703" s="475"/>
      <c r="U703" s="475"/>
      <c r="V703" s="475"/>
      <c r="W703" s="475"/>
      <c r="X703" s="475"/>
      <c r="Y703" s="475"/>
      <c r="Z703" s="475"/>
      <c r="AA703" s="475"/>
      <c r="AB703" s="475"/>
      <c r="AC703" s="475"/>
      <c r="AD703" s="475"/>
      <c r="AE703" s="475"/>
      <c r="AF703" s="475"/>
    </row>
    <row r="704" spans="2:32">
      <c r="B704" s="471"/>
      <c r="C704" s="475"/>
      <c r="D704" s="475"/>
      <c r="E704" s="475"/>
      <c r="F704" s="474"/>
      <c r="G704" s="475"/>
      <c r="H704" s="474"/>
      <c r="I704" s="474"/>
      <c r="J704" s="475"/>
      <c r="K704" s="475"/>
      <c r="L704" s="475"/>
      <c r="M704" s="475"/>
      <c r="N704" s="475"/>
      <c r="O704" s="475"/>
      <c r="P704" s="475"/>
      <c r="Q704" s="475"/>
      <c r="R704" s="475"/>
      <c r="S704" s="475"/>
      <c r="T704" s="475"/>
      <c r="U704" s="475"/>
      <c r="V704" s="475"/>
      <c r="W704" s="475"/>
      <c r="X704" s="475"/>
      <c r="Y704" s="475"/>
      <c r="Z704" s="475"/>
      <c r="AA704" s="475"/>
      <c r="AB704" s="475"/>
      <c r="AC704" s="475"/>
      <c r="AD704" s="475"/>
      <c r="AE704" s="475"/>
      <c r="AF704" s="475"/>
    </row>
    <row r="705" spans="2:32">
      <c r="B705" s="471"/>
      <c r="C705" s="475"/>
      <c r="D705" s="475"/>
      <c r="E705" s="475"/>
      <c r="F705" s="474"/>
      <c r="G705" s="475"/>
      <c r="H705" s="474"/>
      <c r="I705" s="474"/>
      <c r="J705" s="475"/>
      <c r="K705" s="475"/>
      <c r="L705" s="475"/>
      <c r="M705" s="475"/>
      <c r="N705" s="475"/>
      <c r="O705" s="475"/>
      <c r="P705" s="475"/>
      <c r="Q705" s="475"/>
      <c r="R705" s="475"/>
      <c r="S705" s="475"/>
      <c r="T705" s="475"/>
      <c r="U705" s="475"/>
      <c r="V705" s="475"/>
      <c r="W705" s="475"/>
      <c r="X705" s="475"/>
      <c r="Y705" s="475"/>
      <c r="Z705" s="475"/>
      <c r="AA705" s="475"/>
      <c r="AB705" s="475"/>
      <c r="AC705" s="475"/>
      <c r="AD705" s="475"/>
      <c r="AE705" s="475"/>
      <c r="AF705" s="475"/>
    </row>
    <row r="706" spans="2:32">
      <c r="B706" s="471"/>
      <c r="C706" s="475"/>
      <c r="D706" s="475"/>
      <c r="E706" s="475"/>
      <c r="F706" s="474"/>
      <c r="G706" s="475"/>
      <c r="H706" s="474"/>
      <c r="I706" s="474"/>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row>
    <row r="707" spans="2:32">
      <c r="B707" s="471"/>
      <c r="C707" s="475"/>
      <c r="D707" s="475"/>
      <c r="E707" s="475"/>
      <c r="F707" s="474"/>
      <c r="G707" s="475"/>
      <c r="H707" s="474"/>
      <c r="I707" s="474"/>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row>
    <row r="708" spans="2:32">
      <c r="B708" s="471"/>
      <c r="C708" s="475"/>
      <c r="D708" s="475"/>
      <c r="E708" s="475"/>
      <c r="F708" s="474"/>
      <c r="G708" s="475"/>
      <c r="H708" s="474"/>
      <c r="I708" s="474"/>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row>
    <row r="709" spans="2:32">
      <c r="B709" s="471"/>
      <c r="C709" s="475"/>
      <c r="D709" s="475"/>
      <c r="E709" s="475"/>
      <c r="F709" s="474"/>
      <c r="G709" s="475"/>
      <c r="H709" s="474"/>
      <c r="I709" s="474"/>
      <c r="J709" s="475"/>
      <c r="K709" s="475"/>
      <c r="L709" s="475"/>
      <c r="M709" s="475"/>
      <c r="N709" s="475"/>
      <c r="O709" s="475"/>
      <c r="P709" s="475"/>
      <c r="Q709" s="475"/>
      <c r="R709" s="475"/>
      <c r="S709" s="475"/>
      <c r="T709" s="475"/>
      <c r="U709" s="475"/>
      <c r="V709" s="475"/>
      <c r="W709" s="475"/>
      <c r="X709" s="475"/>
      <c r="Y709" s="475"/>
      <c r="Z709" s="475"/>
      <c r="AA709" s="475"/>
      <c r="AB709" s="475"/>
      <c r="AC709" s="475"/>
      <c r="AD709" s="475"/>
      <c r="AE709" s="475"/>
      <c r="AF709" s="475"/>
    </row>
    <row r="710" spans="2:32">
      <c r="B710" s="471"/>
      <c r="C710" s="475"/>
      <c r="D710" s="475"/>
      <c r="E710" s="475"/>
      <c r="F710" s="474"/>
      <c r="G710" s="475"/>
      <c r="H710" s="474"/>
      <c r="I710" s="474"/>
      <c r="J710" s="475"/>
      <c r="K710" s="475"/>
      <c r="L710" s="475"/>
      <c r="M710" s="475"/>
      <c r="N710" s="475"/>
      <c r="O710" s="475"/>
      <c r="P710" s="475"/>
      <c r="Q710" s="475"/>
      <c r="R710" s="475"/>
      <c r="S710" s="475"/>
      <c r="T710" s="475"/>
      <c r="U710" s="475"/>
      <c r="V710" s="475"/>
      <c r="W710" s="475"/>
      <c r="X710" s="475"/>
      <c r="Y710" s="475"/>
      <c r="Z710" s="475"/>
      <c r="AA710" s="475"/>
      <c r="AB710" s="475"/>
      <c r="AC710" s="475"/>
      <c r="AD710" s="475"/>
      <c r="AE710" s="475"/>
      <c r="AF710" s="475"/>
    </row>
    <row r="711" spans="2:32">
      <c r="B711" s="471"/>
      <c r="C711" s="475"/>
      <c r="D711" s="475"/>
      <c r="E711" s="475"/>
      <c r="F711" s="474"/>
      <c r="G711" s="475"/>
      <c r="H711" s="474"/>
      <c r="I711" s="474"/>
      <c r="J711" s="475"/>
      <c r="K711" s="475"/>
      <c r="L711" s="475"/>
      <c r="M711" s="475"/>
      <c r="N711" s="475"/>
      <c r="O711" s="475"/>
      <c r="P711" s="475"/>
      <c r="Q711" s="475"/>
      <c r="R711" s="475"/>
      <c r="S711" s="475"/>
      <c r="T711" s="475"/>
      <c r="U711" s="475"/>
      <c r="V711" s="475"/>
      <c r="W711" s="475"/>
      <c r="X711" s="475"/>
      <c r="Y711" s="475"/>
      <c r="Z711" s="475"/>
      <c r="AA711" s="475"/>
      <c r="AB711" s="475"/>
      <c r="AC711" s="475"/>
      <c r="AD711" s="475"/>
      <c r="AE711" s="475"/>
      <c r="AF711" s="475"/>
    </row>
    <row r="712" spans="2:32">
      <c r="B712" s="471"/>
      <c r="C712" s="475"/>
      <c r="D712" s="475"/>
      <c r="E712" s="475"/>
      <c r="F712" s="474"/>
      <c r="G712" s="475"/>
      <c r="H712" s="474"/>
      <c r="I712" s="474"/>
      <c r="J712" s="475"/>
      <c r="K712" s="475"/>
      <c r="L712" s="475"/>
      <c r="M712" s="475"/>
      <c r="N712" s="475"/>
      <c r="O712" s="475"/>
      <c r="P712" s="475"/>
      <c r="Q712" s="475"/>
      <c r="R712" s="475"/>
      <c r="S712" s="475"/>
      <c r="T712" s="475"/>
      <c r="U712" s="475"/>
      <c r="V712" s="475"/>
      <c r="W712" s="475"/>
      <c r="X712" s="475"/>
      <c r="Y712" s="475"/>
      <c r="Z712" s="475"/>
      <c r="AA712" s="475"/>
      <c r="AB712" s="475"/>
      <c r="AC712" s="475"/>
      <c r="AD712" s="475"/>
      <c r="AE712" s="475"/>
      <c r="AF712" s="475"/>
    </row>
    <row r="713" spans="2:32">
      <c r="B713" s="471"/>
      <c r="C713" s="475"/>
      <c r="D713" s="475"/>
      <c r="E713" s="475"/>
      <c r="F713" s="474"/>
      <c r="G713" s="475"/>
      <c r="H713" s="474"/>
      <c r="I713" s="474"/>
      <c r="J713" s="475"/>
      <c r="K713" s="475"/>
      <c r="L713" s="475"/>
      <c r="M713" s="475"/>
      <c r="N713" s="475"/>
      <c r="O713" s="475"/>
      <c r="P713" s="475"/>
      <c r="Q713" s="475"/>
      <c r="R713" s="475"/>
      <c r="S713" s="475"/>
      <c r="T713" s="475"/>
      <c r="U713" s="475"/>
      <c r="V713" s="475"/>
      <c r="W713" s="475"/>
      <c r="X713" s="475"/>
      <c r="Y713" s="475"/>
      <c r="Z713" s="475"/>
      <c r="AA713" s="475"/>
      <c r="AB713" s="475"/>
      <c r="AC713" s="475"/>
      <c r="AD713" s="475"/>
      <c r="AE713" s="475"/>
      <c r="AF713" s="475"/>
    </row>
    <row r="714" spans="2:32">
      <c r="B714" s="471"/>
      <c r="C714" s="475"/>
      <c r="D714" s="475"/>
      <c r="E714" s="475"/>
      <c r="F714" s="474"/>
      <c r="G714" s="475"/>
      <c r="H714" s="474"/>
      <c r="I714" s="474"/>
      <c r="J714" s="475"/>
      <c r="K714" s="475"/>
      <c r="L714" s="475"/>
      <c r="M714" s="475"/>
      <c r="N714" s="475"/>
      <c r="O714" s="475"/>
      <c r="P714" s="475"/>
      <c r="Q714" s="475"/>
      <c r="R714" s="475"/>
      <c r="S714" s="475"/>
      <c r="T714" s="475"/>
      <c r="U714" s="475"/>
      <c r="V714" s="475"/>
      <c r="W714" s="475"/>
      <c r="X714" s="475"/>
      <c r="Y714" s="475"/>
      <c r="Z714" s="475"/>
      <c r="AA714" s="475"/>
      <c r="AB714" s="475"/>
      <c r="AC714" s="475"/>
      <c r="AD714" s="475"/>
      <c r="AE714" s="475"/>
      <c r="AF714" s="475"/>
    </row>
    <row r="715" spans="2:32">
      <c r="B715" s="471"/>
      <c r="C715" s="475"/>
      <c r="D715" s="475"/>
      <c r="E715" s="475"/>
      <c r="F715" s="474"/>
      <c r="G715" s="475"/>
      <c r="H715" s="474"/>
      <c r="I715" s="474"/>
      <c r="J715" s="475"/>
      <c r="K715" s="475"/>
      <c r="L715" s="475"/>
      <c r="M715" s="475"/>
      <c r="N715" s="475"/>
      <c r="O715" s="475"/>
      <c r="P715" s="475"/>
      <c r="Q715" s="475"/>
      <c r="R715" s="475"/>
      <c r="S715" s="475"/>
      <c r="T715" s="475"/>
      <c r="U715" s="475"/>
      <c r="V715" s="475"/>
      <c r="W715" s="475"/>
      <c r="X715" s="475"/>
      <c r="Y715" s="475"/>
      <c r="Z715" s="475"/>
      <c r="AA715" s="475"/>
      <c r="AB715" s="475"/>
      <c r="AC715" s="475"/>
      <c r="AD715" s="475"/>
      <c r="AE715" s="475"/>
      <c r="AF715" s="475"/>
    </row>
    <row r="716" spans="2:32">
      <c r="B716" s="471"/>
      <c r="C716" s="475"/>
      <c r="D716" s="475"/>
      <c r="E716" s="475"/>
      <c r="F716" s="474"/>
      <c r="G716" s="475"/>
      <c r="H716" s="474"/>
      <c r="I716" s="474"/>
      <c r="J716" s="475"/>
      <c r="K716" s="475"/>
      <c r="L716" s="475"/>
      <c r="M716" s="475"/>
      <c r="N716" s="475"/>
      <c r="O716" s="475"/>
      <c r="P716" s="475"/>
      <c r="Q716" s="475"/>
      <c r="R716" s="475"/>
      <c r="S716" s="475"/>
      <c r="T716" s="475"/>
      <c r="U716" s="475"/>
      <c r="V716" s="475"/>
      <c r="W716" s="475"/>
      <c r="X716" s="475"/>
      <c r="Y716" s="475"/>
      <c r="Z716" s="475"/>
      <c r="AA716" s="475"/>
      <c r="AB716" s="475"/>
      <c r="AC716" s="475"/>
      <c r="AD716" s="475"/>
      <c r="AE716" s="475"/>
      <c r="AF716" s="475"/>
    </row>
    <row r="717" spans="2:32">
      <c r="B717" s="471"/>
      <c r="C717" s="475"/>
      <c r="D717" s="475"/>
      <c r="E717" s="475"/>
      <c r="F717" s="474"/>
      <c r="G717" s="475"/>
      <c r="H717" s="474"/>
      <c r="I717" s="474"/>
      <c r="J717" s="475"/>
      <c r="K717" s="475"/>
      <c r="L717" s="475"/>
      <c r="M717" s="475"/>
      <c r="N717" s="475"/>
      <c r="O717" s="475"/>
      <c r="P717" s="475"/>
      <c r="Q717" s="475"/>
      <c r="R717" s="475"/>
      <c r="S717" s="475"/>
      <c r="T717" s="475"/>
      <c r="U717" s="475"/>
      <c r="V717" s="475"/>
      <c r="W717" s="475"/>
      <c r="X717" s="475"/>
      <c r="Y717" s="475"/>
      <c r="Z717" s="475"/>
      <c r="AA717" s="475"/>
      <c r="AB717" s="475"/>
      <c r="AC717" s="475"/>
      <c r="AD717" s="475"/>
      <c r="AE717" s="475"/>
      <c r="AF717" s="475"/>
    </row>
    <row r="718" spans="2:32">
      <c r="B718" s="471"/>
      <c r="C718" s="475"/>
      <c r="D718" s="475"/>
      <c r="E718" s="475"/>
      <c r="F718" s="474"/>
      <c r="G718" s="475"/>
      <c r="H718" s="474"/>
      <c r="I718" s="474"/>
      <c r="J718" s="475"/>
      <c r="K718" s="475"/>
      <c r="L718" s="475"/>
      <c r="M718" s="475"/>
      <c r="N718" s="475"/>
      <c r="O718" s="475"/>
      <c r="P718" s="475"/>
      <c r="Q718" s="475"/>
      <c r="R718" s="475"/>
      <c r="S718" s="475"/>
      <c r="T718" s="475"/>
      <c r="U718" s="475"/>
      <c r="V718" s="475"/>
      <c r="W718" s="475"/>
      <c r="X718" s="475"/>
      <c r="Y718" s="475"/>
      <c r="Z718" s="475"/>
      <c r="AA718" s="475"/>
      <c r="AB718" s="475"/>
      <c r="AC718" s="475"/>
      <c r="AD718" s="475"/>
      <c r="AE718" s="475"/>
      <c r="AF718" s="475"/>
    </row>
    <row r="719" spans="2:32">
      <c r="B719" s="471"/>
      <c r="C719" s="475"/>
      <c r="D719" s="475"/>
      <c r="E719" s="475"/>
      <c r="F719" s="474"/>
      <c r="G719" s="475"/>
      <c r="H719" s="474"/>
      <c r="I719" s="474"/>
      <c r="J719" s="475"/>
      <c r="K719" s="475"/>
      <c r="L719" s="475"/>
      <c r="M719" s="475"/>
      <c r="N719" s="475"/>
      <c r="O719" s="475"/>
      <c r="P719" s="475"/>
      <c r="Q719" s="475"/>
      <c r="R719" s="475"/>
      <c r="S719" s="475"/>
      <c r="T719" s="475"/>
      <c r="U719" s="475"/>
      <c r="V719" s="475"/>
      <c r="W719" s="475"/>
      <c r="X719" s="475"/>
      <c r="Y719" s="475"/>
      <c r="Z719" s="475"/>
      <c r="AA719" s="475"/>
      <c r="AB719" s="475"/>
      <c r="AC719" s="475"/>
      <c r="AD719" s="475"/>
      <c r="AE719" s="475"/>
      <c r="AF719" s="475"/>
    </row>
    <row r="720" spans="2:32">
      <c r="B720" s="471"/>
      <c r="C720" s="475"/>
      <c r="D720" s="475"/>
      <c r="E720" s="475"/>
      <c r="F720" s="474"/>
      <c r="G720" s="475"/>
      <c r="H720" s="474"/>
      <c r="I720" s="474"/>
      <c r="J720" s="475"/>
      <c r="K720" s="475"/>
      <c r="L720" s="475"/>
      <c r="M720" s="475"/>
      <c r="N720" s="475"/>
      <c r="O720" s="475"/>
      <c r="P720" s="475"/>
      <c r="Q720" s="475"/>
      <c r="R720" s="475"/>
      <c r="S720" s="475"/>
      <c r="T720" s="475"/>
      <c r="U720" s="475"/>
      <c r="V720" s="475"/>
      <c r="W720" s="475"/>
      <c r="X720" s="475"/>
      <c r="Y720" s="475"/>
      <c r="Z720" s="475"/>
      <c r="AA720" s="475"/>
      <c r="AB720" s="475"/>
      <c r="AC720" s="475"/>
      <c r="AD720" s="475"/>
      <c r="AE720" s="475"/>
      <c r="AF720" s="475"/>
    </row>
    <row r="721" spans="2:32">
      <c r="B721" s="471"/>
      <c r="C721" s="475"/>
      <c r="D721" s="475"/>
      <c r="E721" s="475"/>
      <c r="F721" s="474"/>
      <c r="G721" s="475"/>
      <c r="H721" s="474"/>
      <c r="I721" s="474"/>
      <c r="J721" s="475"/>
      <c r="K721" s="475"/>
      <c r="L721" s="475"/>
      <c r="M721" s="475"/>
      <c r="N721" s="475"/>
      <c r="O721" s="475"/>
      <c r="P721" s="475"/>
      <c r="Q721" s="475"/>
      <c r="R721" s="475"/>
      <c r="S721" s="475"/>
      <c r="T721" s="475"/>
      <c r="U721" s="475"/>
      <c r="V721" s="475"/>
      <c r="W721" s="475"/>
      <c r="X721" s="475"/>
      <c r="Y721" s="475"/>
      <c r="Z721" s="475"/>
      <c r="AA721" s="475"/>
      <c r="AB721" s="475"/>
      <c r="AC721" s="475"/>
      <c r="AD721" s="475"/>
      <c r="AE721" s="475"/>
      <c r="AF721" s="475"/>
    </row>
    <row r="722" spans="2:32">
      <c r="B722" s="471"/>
      <c r="C722" s="475"/>
      <c r="D722" s="475"/>
      <c r="E722" s="475"/>
      <c r="F722" s="474"/>
      <c r="G722" s="475"/>
      <c r="H722" s="474"/>
      <c r="I722" s="474"/>
      <c r="J722" s="475"/>
      <c r="K722" s="475"/>
      <c r="L722" s="475"/>
      <c r="M722" s="475"/>
      <c r="N722" s="475"/>
      <c r="O722" s="475"/>
      <c r="P722" s="475"/>
      <c r="Q722" s="475"/>
      <c r="R722" s="475"/>
      <c r="S722" s="475"/>
      <c r="T722" s="475"/>
      <c r="U722" s="475"/>
      <c r="V722" s="475"/>
      <c r="W722" s="475"/>
      <c r="X722" s="475"/>
      <c r="Y722" s="475"/>
      <c r="Z722" s="475"/>
      <c r="AA722" s="475"/>
      <c r="AB722" s="475"/>
      <c r="AC722" s="475"/>
      <c r="AD722" s="475"/>
      <c r="AE722" s="475"/>
      <c r="AF722" s="475"/>
    </row>
    <row r="723" spans="2:32">
      <c r="B723" s="471"/>
      <c r="C723" s="475"/>
      <c r="D723" s="475"/>
      <c r="E723" s="475"/>
      <c r="F723" s="474"/>
      <c r="G723" s="475"/>
      <c r="H723" s="474"/>
      <c r="I723" s="474"/>
      <c r="J723" s="475"/>
      <c r="K723" s="475"/>
      <c r="L723" s="475"/>
      <c r="M723" s="475"/>
      <c r="N723" s="475"/>
      <c r="O723" s="475"/>
      <c r="P723" s="475"/>
      <c r="Q723" s="475"/>
      <c r="R723" s="475"/>
      <c r="S723" s="475"/>
      <c r="T723" s="475"/>
      <c r="U723" s="475"/>
      <c r="V723" s="475"/>
      <c r="W723" s="475"/>
      <c r="X723" s="475"/>
      <c r="Y723" s="475"/>
      <c r="Z723" s="475"/>
      <c r="AA723" s="475"/>
      <c r="AB723" s="475"/>
      <c r="AC723" s="475"/>
      <c r="AD723" s="475"/>
      <c r="AE723" s="475"/>
      <c r="AF723" s="475"/>
    </row>
    <row r="724" spans="2:32">
      <c r="B724" s="471"/>
      <c r="C724" s="475"/>
      <c r="D724" s="475"/>
      <c r="E724" s="475"/>
      <c r="F724" s="474"/>
      <c r="G724" s="475"/>
      <c r="H724" s="474"/>
      <c r="I724" s="474"/>
      <c r="J724" s="475"/>
      <c r="K724" s="475"/>
      <c r="L724" s="475"/>
      <c r="M724" s="475"/>
      <c r="N724" s="475"/>
      <c r="O724" s="475"/>
      <c r="P724" s="475"/>
      <c r="Q724" s="475"/>
      <c r="R724" s="475"/>
      <c r="S724" s="475"/>
      <c r="T724" s="475"/>
      <c r="U724" s="475"/>
      <c r="V724" s="475"/>
      <c r="W724" s="475"/>
      <c r="X724" s="475"/>
      <c r="Y724" s="475"/>
      <c r="Z724" s="475"/>
      <c r="AA724" s="475"/>
      <c r="AB724" s="475"/>
      <c r="AC724" s="475"/>
      <c r="AD724" s="475"/>
      <c r="AE724" s="475"/>
      <c r="AF724" s="475"/>
    </row>
    <row r="725" spans="2:32">
      <c r="B725" s="471"/>
      <c r="C725" s="475"/>
      <c r="D725" s="475"/>
      <c r="E725" s="475"/>
      <c r="F725" s="474"/>
      <c r="G725" s="475"/>
      <c r="H725" s="474"/>
      <c r="I725" s="474"/>
      <c r="J725" s="475"/>
      <c r="K725" s="475"/>
      <c r="L725" s="475"/>
      <c r="M725" s="475"/>
      <c r="N725" s="475"/>
      <c r="O725" s="475"/>
      <c r="P725" s="475"/>
      <c r="Q725" s="475"/>
      <c r="R725" s="475"/>
      <c r="S725" s="475"/>
      <c r="T725" s="475"/>
      <c r="U725" s="475"/>
      <c r="V725" s="475"/>
      <c r="W725" s="475"/>
      <c r="X725" s="475"/>
      <c r="Y725" s="475"/>
      <c r="Z725" s="475"/>
      <c r="AA725" s="475"/>
      <c r="AB725" s="475"/>
      <c r="AC725" s="475"/>
      <c r="AD725" s="475"/>
      <c r="AE725" s="475"/>
      <c r="AF725" s="475"/>
    </row>
    <row r="726" spans="2:32">
      <c r="B726" s="471"/>
      <c r="C726" s="475"/>
      <c r="D726" s="475"/>
      <c r="E726" s="475"/>
      <c r="F726" s="474"/>
      <c r="G726" s="475"/>
      <c r="H726" s="474"/>
      <c r="I726" s="474"/>
      <c r="J726" s="475"/>
      <c r="K726" s="475"/>
      <c r="L726" s="475"/>
      <c r="M726" s="475"/>
      <c r="N726" s="475"/>
      <c r="O726" s="475"/>
      <c r="P726" s="475"/>
      <c r="Q726" s="475"/>
      <c r="R726" s="475"/>
      <c r="S726" s="475"/>
      <c r="T726" s="475"/>
      <c r="U726" s="475"/>
      <c r="V726" s="475"/>
      <c r="W726" s="475"/>
      <c r="X726" s="475"/>
      <c r="Y726" s="475"/>
      <c r="Z726" s="475"/>
      <c r="AA726" s="475"/>
      <c r="AB726" s="475"/>
      <c r="AC726" s="475"/>
      <c r="AD726" s="475"/>
      <c r="AE726" s="475"/>
      <c r="AF726" s="475"/>
    </row>
    <row r="727" spans="2:32">
      <c r="B727" s="471"/>
      <c r="C727" s="475"/>
      <c r="D727" s="475"/>
      <c r="E727" s="475"/>
      <c r="F727" s="474"/>
      <c r="G727" s="475"/>
      <c r="H727" s="474"/>
      <c r="I727" s="474"/>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row>
    <row r="728" spans="2:32">
      <c r="B728" s="471"/>
      <c r="C728" s="475"/>
      <c r="D728" s="475"/>
      <c r="E728" s="475"/>
      <c r="F728" s="474"/>
      <c r="G728" s="475"/>
      <c r="H728" s="474"/>
      <c r="I728" s="474"/>
      <c r="J728" s="475"/>
      <c r="K728" s="475"/>
      <c r="L728" s="475"/>
      <c r="M728" s="475"/>
      <c r="N728" s="475"/>
      <c r="O728" s="475"/>
      <c r="P728" s="475"/>
      <c r="Q728" s="475"/>
      <c r="R728" s="475"/>
      <c r="S728" s="475"/>
      <c r="T728" s="475"/>
      <c r="U728" s="475"/>
      <c r="V728" s="475"/>
      <c r="W728" s="475"/>
      <c r="X728" s="475"/>
      <c r="Y728" s="475"/>
      <c r="Z728" s="475"/>
      <c r="AA728" s="475"/>
      <c r="AB728" s="475"/>
      <c r="AC728" s="475"/>
      <c r="AD728" s="475"/>
      <c r="AE728" s="475"/>
      <c r="AF728" s="475"/>
    </row>
    <row r="729" spans="2:32">
      <c r="B729" s="471"/>
      <c r="C729" s="475"/>
      <c r="D729" s="475"/>
      <c r="E729" s="475"/>
      <c r="F729" s="474"/>
      <c r="G729" s="475"/>
      <c r="H729" s="474"/>
      <c r="I729" s="474"/>
      <c r="J729" s="475"/>
      <c r="K729" s="475"/>
      <c r="L729" s="475"/>
      <c r="M729" s="475"/>
      <c r="N729" s="475"/>
      <c r="O729" s="475"/>
      <c r="P729" s="475"/>
      <c r="Q729" s="475"/>
      <c r="R729" s="475"/>
      <c r="S729" s="475"/>
      <c r="T729" s="475"/>
      <c r="U729" s="475"/>
      <c r="V729" s="475"/>
      <c r="W729" s="475"/>
      <c r="X729" s="475"/>
      <c r="Y729" s="475"/>
      <c r="Z729" s="475"/>
      <c r="AA729" s="475"/>
      <c r="AB729" s="475"/>
      <c r="AC729" s="475"/>
      <c r="AD729" s="475"/>
      <c r="AE729" s="475"/>
      <c r="AF729" s="475"/>
    </row>
    <row r="730" spans="2:32">
      <c r="B730" s="471"/>
      <c r="C730" s="475"/>
      <c r="D730" s="475"/>
      <c r="E730" s="475"/>
      <c r="F730" s="474"/>
      <c r="G730" s="475"/>
      <c r="H730" s="474"/>
      <c r="I730" s="474"/>
      <c r="J730" s="475"/>
      <c r="K730" s="475"/>
      <c r="L730" s="475"/>
      <c r="M730" s="475"/>
      <c r="N730" s="475"/>
      <c r="O730" s="475"/>
      <c r="P730" s="475"/>
      <c r="Q730" s="475"/>
      <c r="R730" s="475"/>
      <c r="S730" s="475"/>
      <c r="T730" s="475"/>
      <c r="U730" s="475"/>
      <c r="V730" s="475"/>
      <c r="W730" s="475"/>
      <c r="X730" s="475"/>
      <c r="Y730" s="475"/>
      <c r="Z730" s="475"/>
      <c r="AA730" s="475"/>
      <c r="AB730" s="475"/>
      <c r="AC730" s="475"/>
      <c r="AD730" s="475"/>
      <c r="AE730" s="475"/>
      <c r="AF730" s="475"/>
    </row>
    <row r="731" spans="2:32">
      <c r="B731" s="471"/>
      <c r="C731" s="475"/>
      <c r="D731" s="475"/>
      <c r="E731" s="475"/>
      <c r="F731" s="474"/>
      <c r="G731" s="475"/>
      <c r="H731" s="474"/>
      <c r="I731" s="474"/>
      <c r="J731" s="475"/>
      <c r="K731" s="475"/>
      <c r="L731" s="475"/>
      <c r="M731" s="475"/>
      <c r="N731" s="475"/>
      <c r="O731" s="475"/>
      <c r="P731" s="475"/>
      <c r="Q731" s="475"/>
      <c r="R731" s="475"/>
      <c r="S731" s="475"/>
      <c r="T731" s="475"/>
      <c r="U731" s="475"/>
      <c r="V731" s="475"/>
      <c r="W731" s="475"/>
      <c r="X731" s="475"/>
      <c r="Y731" s="475"/>
      <c r="Z731" s="475"/>
      <c r="AA731" s="475"/>
      <c r="AB731" s="475"/>
      <c r="AC731" s="475"/>
      <c r="AD731" s="475"/>
      <c r="AE731" s="475"/>
      <c r="AF731" s="475"/>
    </row>
    <row r="732" spans="2:32">
      <c r="B732" s="471"/>
      <c r="C732" s="475"/>
      <c r="D732" s="475"/>
      <c r="E732" s="475"/>
      <c r="F732" s="474"/>
      <c r="G732" s="475"/>
      <c r="H732" s="474"/>
      <c r="I732" s="474"/>
      <c r="J732" s="475"/>
      <c r="K732" s="475"/>
      <c r="L732" s="475"/>
      <c r="M732" s="475"/>
      <c r="N732" s="475"/>
      <c r="O732" s="475"/>
      <c r="P732" s="475"/>
      <c r="Q732" s="475"/>
      <c r="R732" s="475"/>
      <c r="S732" s="475"/>
      <c r="T732" s="475"/>
      <c r="U732" s="475"/>
      <c r="V732" s="475"/>
      <c r="W732" s="475"/>
      <c r="X732" s="475"/>
      <c r="Y732" s="475"/>
      <c r="Z732" s="475"/>
      <c r="AA732" s="475"/>
      <c r="AB732" s="475"/>
      <c r="AC732" s="475"/>
      <c r="AD732" s="475"/>
      <c r="AE732" s="475"/>
      <c r="AF732" s="475"/>
    </row>
    <row r="733" spans="2:32">
      <c r="B733" s="471"/>
      <c r="C733" s="475"/>
      <c r="D733" s="475"/>
      <c r="E733" s="475"/>
      <c r="F733" s="474"/>
      <c r="G733" s="475"/>
      <c r="H733" s="474"/>
      <c r="I733" s="474"/>
      <c r="J733" s="475"/>
      <c r="K733" s="475"/>
      <c r="L733" s="475"/>
      <c r="M733" s="475"/>
      <c r="N733" s="475"/>
      <c r="O733" s="475"/>
      <c r="P733" s="475"/>
      <c r="Q733" s="475"/>
      <c r="R733" s="475"/>
      <c r="S733" s="475"/>
      <c r="T733" s="475"/>
      <c r="U733" s="475"/>
      <c r="V733" s="475"/>
      <c r="W733" s="475"/>
      <c r="X733" s="475"/>
      <c r="Y733" s="475"/>
      <c r="Z733" s="475"/>
      <c r="AA733" s="475"/>
      <c r="AB733" s="475"/>
      <c r="AC733" s="475"/>
      <c r="AD733" s="475"/>
      <c r="AE733" s="475"/>
      <c r="AF733" s="475"/>
    </row>
    <row r="734" spans="2:32">
      <c r="B734" s="471"/>
      <c r="C734" s="475"/>
      <c r="D734" s="475"/>
      <c r="E734" s="475"/>
      <c r="F734" s="474"/>
      <c r="G734" s="475"/>
      <c r="H734" s="474"/>
      <c r="I734" s="474"/>
      <c r="J734" s="475"/>
      <c r="K734" s="475"/>
      <c r="L734" s="475"/>
      <c r="M734" s="475"/>
      <c r="N734" s="475"/>
      <c r="O734" s="475"/>
      <c r="P734" s="475"/>
      <c r="Q734" s="475"/>
      <c r="R734" s="475"/>
      <c r="S734" s="475"/>
      <c r="T734" s="475"/>
      <c r="U734" s="475"/>
      <c r="V734" s="475"/>
      <c r="W734" s="475"/>
      <c r="X734" s="475"/>
      <c r="Y734" s="475"/>
      <c r="Z734" s="475"/>
      <c r="AA734" s="475"/>
      <c r="AB734" s="475"/>
      <c r="AC734" s="475"/>
      <c r="AD734" s="475"/>
      <c r="AE734" s="475"/>
      <c r="AF734" s="475"/>
    </row>
    <row r="735" spans="2:32">
      <c r="B735" s="471"/>
      <c r="C735" s="475"/>
      <c r="D735" s="475"/>
      <c r="E735" s="475"/>
      <c r="F735" s="474"/>
      <c r="G735" s="475"/>
      <c r="H735" s="474"/>
      <c r="I735" s="474"/>
      <c r="J735" s="475"/>
      <c r="K735" s="475"/>
      <c r="L735" s="475"/>
      <c r="M735" s="475"/>
      <c r="N735" s="475"/>
      <c r="O735" s="475"/>
      <c r="P735" s="475"/>
      <c r="Q735" s="475"/>
      <c r="R735" s="475"/>
      <c r="S735" s="475"/>
      <c r="T735" s="475"/>
      <c r="U735" s="475"/>
      <c r="V735" s="475"/>
      <c r="W735" s="475"/>
      <c r="X735" s="475"/>
      <c r="Y735" s="475"/>
      <c r="Z735" s="475"/>
      <c r="AA735" s="475"/>
      <c r="AB735" s="475"/>
      <c r="AC735" s="475"/>
      <c r="AD735" s="475"/>
      <c r="AE735" s="475"/>
      <c r="AF735" s="475"/>
    </row>
    <row r="736" spans="2:32">
      <c r="B736" s="471"/>
      <c r="C736" s="475"/>
      <c r="D736" s="475"/>
      <c r="E736" s="475"/>
      <c r="F736" s="474"/>
      <c r="G736" s="475"/>
      <c r="H736" s="474"/>
      <c r="I736" s="474"/>
      <c r="J736" s="475"/>
      <c r="K736" s="475"/>
      <c r="L736" s="475"/>
      <c r="M736" s="475"/>
      <c r="N736" s="475"/>
      <c r="O736" s="475"/>
      <c r="P736" s="475"/>
      <c r="Q736" s="475"/>
      <c r="R736" s="475"/>
      <c r="S736" s="475"/>
      <c r="T736" s="475"/>
      <c r="U736" s="475"/>
      <c r="V736" s="475"/>
      <c r="W736" s="475"/>
      <c r="X736" s="475"/>
      <c r="Y736" s="475"/>
      <c r="Z736" s="475"/>
      <c r="AA736" s="475"/>
      <c r="AB736" s="475"/>
      <c r="AC736" s="475"/>
      <c r="AD736" s="475"/>
      <c r="AE736" s="475"/>
      <c r="AF736" s="475"/>
    </row>
    <row r="737" spans="2:32">
      <c r="B737" s="471"/>
      <c r="C737" s="475"/>
      <c r="D737" s="475"/>
      <c r="E737" s="475"/>
      <c r="F737" s="474"/>
      <c r="G737" s="475"/>
      <c r="H737" s="474"/>
      <c r="I737" s="474"/>
      <c r="J737" s="475"/>
      <c r="K737" s="475"/>
      <c r="L737" s="475"/>
      <c r="M737" s="475"/>
      <c r="N737" s="475"/>
      <c r="O737" s="475"/>
      <c r="P737" s="475"/>
      <c r="Q737" s="475"/>
      <c r="R737" s="475"/>
      <c r="S737" s="475"/>
      <c r="T737" s="475"/>
      <c r="U737" s="475"/>
      <c r="V737" s="475"/>
      <c r="W737" s="475"/>
      <c r="X737" s="475"/>
      <c r="Y737" s="475"/>
      <c r="Z737" s="475"/>
      <c r="AA737" s="475"/>
      <c r="AB737" s="475"/>
      <c r="AC737" s="475"/>
      <c r="AD737" s="475"/>
      <c r="AE737" s="475"/>
      <c r="AF737" s="475"/>
    </row>
    <row r="738" spans="2:32">
      <c r="B738" s="471"/>
      <c r="C738" s="475"/>
      <c r="D738" s="475"/>
      <c r="E738" s="475"/>
      <c r="F738" s="474"/>
      <c r="G738" s="475"/>
      <c r="H738" s="474"/>
      <c r="I738" s="474"/>
      <c r="J738" s="475"/>
      <c r="K738" s="475"/>
      <c r="L738" s="475"/>
      <c r="M738" s="475"/>
      <c r="N738" s="475"/>
      <c r="O738" s="475"/>
      <c r="P738" s="475"/>
      <c r="Q738" s="475"/>
      <c r="R738" s="475"/>
      <c r="S738" s="475"/>
      <c r="T738" s="475"/>
      <c r="U738" s="475"/>
      <c r="V738" s="475"/>
      <c r="W738" s="475"/>
      <c r="X738" s="475"/>
      <c r="Y738" s="475"/>
      <c r="Z738" s="475"/>
      <c r="AA738" s="475"/>
      <c r="AB738" s="475"/>
      <c r="AC738" s="475"/>
      <c r="AD738" s="475"/>
      <c r="AE738" s="475"/>
      <c r="AF738" s="475"/>
    </row>
    <row r="739" spans="2:32">
      <c r="B739" s="471"/>
      <c r="C739" s="475"/>
      <c r="D739" s="475"/>
      <c r="E739" s="475"/>
      <c r="F739" s="474"/>
      <c r="G739" s="475"/>
      <c r="H739" s="474"/>
      <c r="I739" s="474"/>
      <c r="J739" s="475"/>
      <c r="K739" s="475"/>
      <c r="L739" s="475"/>
      <c r="M739" s="475"/>
      <c r="N739" s="475"/>
      <c r="O739" s="475"/>
      <c r="P739" s="475"/>
      <c r="Q739" s="475"/>
      <c r="R739" s="475"/>
      <c r="S739" s="475"/>
      <c r="T739" s="475"/>
      <c r="U739" s="475"/>
      <c r="V739" s="475"/>
      <c r="W739" s="475"/>
      <c r="X739" s="475"/>
      <c r="Y739" s="475"/>
      <c r="Z739" s="475"/>
      <c r="AA739" s="475"/>
      <c r="AB739" s="475"/>
      <c r="AC739" s="475"/>
      <c r="AD739" s="475"/>
      <c r="AE739" s="475"/>
      <c r="AF739" s="475"/>
    </row>
    <row r="740" spans="2:32">
      <c r="B740" s="471"/>
      <c r="C740" s="475"/>
      <c r="D740" s="475"/>
      <c r="E740" s="475"/>
      <c r="F740" s="474"/>
      <c r="G740" s="475"/>
      <c r="H740" s="474"/>
      <c r="I740" s="474"/>
      <c r="J740" s="475"/>
      <c r="K740" s="475"/>
      <c r="L740" s="475"/>
      <c r="M740" s="475"/>
      <c r="N740" s="475"/>
      <c r="O740" s="475"/>
      <c r="P740" s="475"/>
      <c r="Q740" s="475"/>
      <c r="R740" s="475"/>
      <c r="S740" s="475"/>
      <c r="T740" s="475"/>
      <c r="U740" s="475"/>
      <c r="V740" s="475"/>
      <c r="W740" s="475"/>
      <c r="X740" s="475"/>
      <c r="Y740" s="475"/>
      <c r="Z740" s="475"/>
      <c r="AA740" s="475"/>
      <c r="AB740" s="475"/>
      <c r="AC740" s="475"/>
      <c r="AD740" s="475"/>
      <c r="AE740" s="475"/>
      <c r="AF740" s="475"/>
    </row>
    <row r="741" spans="2:32">
      <c r="B741" s="471"/>
      <c r="C741" s="475"/>
      <c r="D741" s="475"/>
      <c r="E741" s="475"/>
      <c r="F741" s="474"/>
      <c r="G741" s="475"/>
      <c r="H741" s="474"/>
      <c r="I741" s="474"/>
      <c r="J741" s="475"/>
      <c r="K741" s="475"/>
      <c r="L741" s="475"/>
      <c r="M741" s="475"/>
      <c r="N741" s="475"/>
      <c r="O741" s="475"/>
      <c r="P741" s="475"/>
      <c r="Q741" s="475"/>
      <c r="R741" s="475"/>
      <c r="S741" s="475"/>
      <c r="T741" s="475"/>
      <c r="U741" s="475"/>
      <c r="V741" s="475"/>
      <c r="W741" s="475"/>
      <c r="X741" s="475"/>
      <c r="Y741" s="475"/>
      <c r="Z741" s="475"/>
      <c r="AA741" s="475"/>
      <c r="AB741" s="475"/>
      <c r="AC741" s="475"/>
      <c r="AD741" s="475"/>
      <c r="AE741" s="475"/>
      <c r="AF741" s="475"/>
    </row>
    <row r="742" spans="2:32">
      <c r="B742" s="471"/>
      <c r="C742" s="475"/>
      <c r="D742" s="475"/>
      <c r="E742" s="475"/>
      <c r="F742" s="474"/>
      <c r="G742" s="475"/>
      <c r="H742" s="474"/>
      <c r="I742" s="474"/>
      <c r="J742" s="475"/>
      <c r="K742" s="475"/>
      <c r="L742" s="475"/>
      <c r="M742" s="475"/>
      <c r="N742" s="475"/>
      <c r="O742" s="475"/>
      <c r="P742" s="475"/>
      <c r="Q742" s="475"/>
      <c r="R742" s="475"/>
      <c r="S742" s="475"/>
      <c r="T742" s="475"/>
      <c r="U742" s="475"/>
      <c r="V742" s="475"/>
      <c r="W742" s="475"/>
      <c r="X742" s="475"/>
      <c r="Y742" s="475"/>
      <c r="Z742" s="475"/>
      <c r="AA742" s="475"/>
      <c r="AB742" s="475"/>
      <c r="AC742" s="475"/>
      <c r="AD742" s="475"/>
      <c r="AE742" s="475"/>
      <c r="AF742" s="475"/>
    </row>
    <row r="743" spans="2:32">
      <c r="B743" s="471"/>
      <c r="C743" s="475"/>
      <c r="D743" s="475"/>
      <c r="E743" s="475"/>
      <c r="F743" s="474"/>
      <c r="G743" s="475"/>
      <c r="H743" s="474"/>
      <c r="I743" s="474"/>
      <c r="J743" s="475"/>
      <c r="K743" s="475"/>
      <c r="L743" s="475"/>
      <c r="M743" s="475"/>
      <c r="N743" s="475"/>
      <c r="O743" s="475"/>
      <c r="P743" s="475"/>
      <c r="Q743" s="475"/>
      <c r="R743" s="475"/>
      <c r="S743" s="475"/>
      <c r="T743" s="475"/>
      <c r="U743" s="475"/>
      <c r="V743" s="475"/>
      <c r="W743" s="475"/>
      <c r="X743" s="475"/>
      <c r="Y743" s="475"/>
      <c r="Z743" s="475"/>
      <c r="AA743" s="475"/>
      <c r="AB743" s="475"/>
      <c r="AC743" s="475"/>
      <c r="AD743" s="475"/>
      <c r="AE743" s="475"/>
      <c r="AF743" s="475"/>
    </row>
    <row r="744" spans="2:32">
      <c r="B744" s="471"/>
      <c r="C744" s="475"/>
      <c r="D744" s="475"/>
      <c r="E744" s="475"/>
      <c r="F744" s="474"/>
      <c r="G744" s="475"/>
      <c r="H744" s="474"/>
      <c r="I744" s="474"/>
      <c r="J744" s="475"/>
      <c r="K744" s="475"/>
      <c r="L744" s="475"/>
      <c r="M744" s="475"/>
      <c r="N744" s="475"/>
      <c r="O744" s="475"/>
      <c r="P744" s="475"/>
      <c r="Q744" s="475"/>
      <c r="R744" s="475"/>
      <c r="S744" s="475"/>
      <c r="T744" s="475"/>
      <c r="U744" s="475"/>
      <c r="V744" s="475"/>
      <c r="W744" s="475"/>
      <c r="X744" s="475"/>
      <c r="Y744" s="475"/>
      <c r="Z744" s="475"/>
      <c r="AA744" s="475"/>
      <c r="AB744" s="475"/>
      <c r="AC744" s="475"/>
      <c r="AD744" s="475"/>
      <c r="AE744" s="475"/>
      <c r="AF744" s="475"/>
    </row>
    <row r="745" spans="2:32">
      <c r="B745" s="471"/>
      <c r="C745" s="475"/>
      <c r="D745" s="475"/>
      <c r="E745" s="475"/>
      <c r="F745" s="474"/>
      <c r="G745" s="475"/>
      <c r="H745" s="474"/>
      <c r="I745" s="474"/>
      <c r="J745" s="475"/>
      <c r="K745" s="475"/>
      <c r="L745" s="475"/>
      <c r="M745" s="475"/>
      <c r="N745" s="475"/>
      <c r="O745" s="475"/>
      <c r="P745" s="475"/>
      <c r="Q745" s="475"/>
      <c r="R745" s="475"/>
      <c r="S745" s="475"/>
      <c r="T745" s="475"/>
      <c r="U745" s="475"/>
      <c r="V745" s="475"/>
      <c r="W745" s="475"/>
      <c r="X745" s="475"/>
      <c r="Y745" s="475"/>
      <c r="Z745" s="475"/>
      <c r="AA745" s="475"/>
      <c r="AB745" s="475"/>
      <c r="AC745" s="475"/>
      <c r="AD745" s="475"/>
      <c r="AE745" s="475"/>
      <c r="AF745" s="475"/>
    </row>
    <row r="746" spans="2:32">
      <c r="B746" s="471"/>
      <c r="C746" s="475"/>
      <c r="D746" s="475"/>
      <c r="E746" s="475"/>
      <c r="F746" s="474"/>
      <c r="G746" s="475"/>
      <c r="H746" s="474"/>
      <c r="I746" s="474"/>
      <c r="J746" s="475"/>
      <c r="K746" s="475"/>
      <c r="L746" s="475"/>
      <c r="M746" s="475"/>
      <c r="N746" s="475"/>
      <c r="O746" s="475"/>
      <c r="P746" s="475"/>
      <c r="Q746" s="475"/>
      <c r="R746" s="475"/>
      <c r="S746" s="475"/>
      <c r="T746" s="475"/>
      <c r="U746" s="475"/>
      <c r="V746" s="475"/>
      <c r="W746" s="475"/>
      <c r="X746" s="475"/>
      <c r="Y746" s="475"/>
      <c r="Z746" s="475"/>
      <c r="AA746" s="475"/>
      <c r="AB746" s="475"/>
      <c r="AC746" s="475"/>
      <c r="AD746" s="475"/>
      <c r="AE746" s="475"/>
      <c r="AF746" s="475"/>
    </row>
    <row r="747" spans="2:32">
      <c r="B747" s="471"/>
      <c r="C747" s="475"/>
      <c r="D747" s="475"/>
      <c r="E747" s="475"/>
      <c r="F747" s="474"/>
      <c r="G747" s="475"/>
      <c r="H747" s="474"/>
      <c r="I747" s="474"/>
      <c r="J747" s="475"/>
      <c r="K747" s="475"/>
      <c r="L747" s="475"/>
      <c r="M747" s="475"/>
      <c r="N747" s="475"/>
      <c r="O747" s="475"/>
      <c r="P747" s="475"/>
      <c r="Q747" s="475"/>
      <c r="R747" s="475"/>
      <c r="S747" s="475"/>
      <c r="T747" s="475"/>
      <c r="U747" s="475"/>
      <c r="V747" s="475"/>
      <c r="W747" s="475"/>
      <c r="X747" s="475"/>
      <c r="Y747" s="475"/>
      <c r="Z747" s="475"/>
      <c r="AA747" s="475"/>
      <c r="AB747" s="475"/>
      <c r="AC747" s="475"/>
      <c r="AD747" s="475"/>
      <c r="AE747" s="475"/>
      <c r="AF747" s="475"/>
    </row>
    <row r="748" spans="2:32">
      <c r="B748" s="471"/>
      <c r="C748" s="475"/>
      <c r="D748" s="475"/>
      <c r="E748" s="475"/>
      <c r="F748" s="474"/>
      <c r="G748" s="475"/>
      <c r="H748" s="474"/>
      <c r="I748" s="474"/>
      <c r="J748" s="475"/>
      <c r="K748" s="475"/>
      <c r="L748" s="475"/>
      <c r="M748" s="475"/>
      <c r="N748" s="475"/>
      <c r="O748" s="475"/>
      <c r="P748" s="475"/>
      <c r="Q748" s="475"/>
      <c r="R748" s="475"/>
      <c r="S748" s="475"/>
      <c r="T748" s="475"/>
      <c r="U748" s="475"/>
      <c r="V748" s="475"/>
      <c r="W748" s="475"/>
      <c r="X748" s="475"/>
      <c r="Y748" s="475"/>
      <c r="Z748" s="475"/>
      <c r="AA748" s="475"/>
      <c r="AB748" s="475"/>
      <c r="AC748" s="475"/>
      <c r="AD748" s="475"/>
      <c r="AE748" s="475"/>
      <c r="AF748" s="475"/>
    </row>
    <row r="749" spans="2:32">
      <c r="B749" s="471"/>
      <c r="C749" s="475"/>
      <c r="D749" s="475"/>
      <c r="E749" s="475"/>
      <c r="F749" s="474"/>
      <c r="G749" s="475"/>
      <c r="H749" s="474"/>
      <c r="I749" s="474"/>
      <c r="J749" s="475"/>
      <c r="K749" s="475"/>
      <c r="L749" s="475"/>
      <c r="M749" s="475"/>
      <c r="N749" s="475"/>
      <c r="O749" s="475"/>
      <c r="P749" s="475"/>
      <c r="Q749" s="475"/>
      <c r="R749" s="475"/>
      <c r="S749" s="475"/>
      <c r="T749" s="475"/>
      <c r="U749" s="475"/>
      <c r="V749" s="475"/>
      <c r="W749" s="475"/>
      <c r="X749" s="475"/>
      <c r="Y749" s="475"/>
      <c r="Z749" s="475"/>
      <c r="AA749" s="475"/>
      <c r="AB749" s="475"/>
      <c r="AC749" s="475"/>
      <c r="AD749" s="475"/>
      <c r="AE749" s="475"/>
      <c r="AF749" s="475"/>
    </row>
    <row r="750" spans="2:32">
      <c r="B750" s="471"/>
      <c r="C750" s="475"/>
      <c r="D750" s="475"/>
      <c r="E750" s="475"/>
      <c r="F750" s="474"/>
      <c r="G750" s="475"/>
      <c r="H750" s="474"/>
      <c r="I750" s="474"/>
      <c r="J750" s="475"/>
      <c r="K750" s="475"/>
      <c r="L750" s="475"/>
      <c r="M750" s="475"/>
      <c r="N750" s="475"/>
      <c r="O750" s="475"/>
      <c r="P750" s="475"/>
      <c r="Q750" s="475"/>
      <c r="R750" s="475"/>
      <c r="S750" s="475"/>
      <c r="T750" s="475"/>
      <c r="U750" s="475"/>
      <c r="V750" s="475"/>
      <c r="W750" s="475"/>
      <c r="X750" s="475"/>
      <c r="Y750" s="475"/>
      <c r="Z750" s="475"/>
      <c r="AA750" s="475"/>
      <c r="AB750" s="475"/>
      <c r="AC750" s="475"/>
      <c r="AD750" s="475"/>
      <c r="AE750" s="475"/>
      <c r="AF750" s="475"/>
    </row>
    <row r="751" spans="2:32">
      <c r="B751" s="471"/>
      <c r="C751" s="475"/>
      <c r="D751" s="475"/>
      <c r="E751" s="475"/>
      <c r="F751" s="474"/>
      <c r="G751" s="475"/>
      <c r="H751" s="474"/>
      <c r="I751" s="474"/>
      <c r="J751" s="475"/>
      <c r="K751" s="475"/>
      <c r="L751" s="475"/>
      <c r="M751" s="475"/>
      <c r="N751" s="475"/>
      <c r="O751" s="475"/>
      <c r="P751" s="475"/>
      <c r="Q751" s="475"/>
      <c r="R751" s="475"/>
      <c r="S751" s="475"/>
      <c r="T751" s="475"/>
      <c r="U751" s="475"/>
      <c r="V751" s="475"/>
      <c r="W751" s="475"/>
      <c r="X751" s="475"/>
      <c r="Y751" s="475"/>
      <c r="Z751" s="475"/>
      <c r="AA751" s="475"/>
      <c r="AB751" s="475"/>
      <c r="AC751" s="475"/>
      <c r="AD751" s="475"/>
      <c r="AE751" s="475"/>
      <c r="AF751" s="475"/>
    </row>
    <row r="752" spans="2:32">
      <c r="B752" s="471"/>
      <c r="C752" s="475"/>
      <c r="D752" s="475"/>
      <c r="E752" s="475"/>
      <c r="F752" s="474"/>
      <c r="G752" s="475"/>
      <c r="H752" s="474"/>
      <c r="I752" s="474"/>
      <c r="J752" s="475"/>
      <c r="K752" s="475"/>
      <c r="L752" s="475"/>
      <c r="M752" s="475"/>
      <c r="N752" s="475"/>
      <c r="O752" s="475"/>
      <c r="P752" s="475"/>
      <c r="Q752" s="475"/>
      <c r="R752" s="475"/>
      <c r="S752" s="475"/>
      <c r="T752" s="475"/>
      <c r="U752" s="475"/>
      <c r="V752" s="475"/>
      <c r="W752" s="475"/>
      <c r="X752" s="475"/>
      <c r="Y752" s="475"/>
      <c r="Z752" s="475"/>
      <c r="AA752" s="475"/>
      <c r="AB752" s="475"/>
      <c r="AC752" s="475"/>
      <c r="AD752" s="475"/>
      <c r="AE752" s="475"/>
      <c r="AF752" s="475"/>
    </row>
    <row r="753" spans="2:32">
      <c r="B753" s="471"/>
      <c r="C753" s="475"/>
      <c r="D753" s="475"/>
      <c r="E753" s="475"/>
      <c r="F753" s="474"/>
      <c r="G753" s="475"/>
      <c r="H753" s="474"/>
      <c r="I753" s="474"/>
      <c r="J753" s="475"/>
      <c r="K753" s="475"/>
      <c r="L753" s="475"/>
      <c r="M753" s="475"/>
      <c r="N753" s="475"/>
      <c r="O753" s="475"/>
      <c r="P753" s="475"/>
      <c r="Q753" s="475"/>
      <c r="R753" s="475"/>
      <c r="S753" s="475"/>
      <c r="T753" s="475"/>
      <c r="U753" s="475"/>
      <c r="V753" s="475"/>
      <c r="W753" s="475"/>
      <c r="X753" s="475"/>
      <c r="Y753" s="475"/>
      <c r="Z753" s="475"/>
      <c r="AA753" s="475"/>
      <c r="AB753" s="475"/>
      <c r="AC753" s="475"/>
      <c r="AD753" s="475"/>
      <c r="AE753" s="475"/>
      <c r="AF753" s="475"/>
    </row>
    <row r="754" spans="2:32">
      <c r="B754" s="471"/>
      <c r="C754" s="475"/>
      <c r="D754" s="475"/>
      <c r="E754" s="475"/>
      <c r="F754" s="474"/>
      <c r="G754" s="475"/>
      <c r="H754" s="474"/>
      <c r="I754" s="474"/>
      <c r="J754" s="475"/>
      <c r="K754" s="475"/>
      <c r="L754" s="475"/>
      <c r="M754" s="475"/>
      <c r="N754" s="475"/>
      <c r="O754" s="475"/>
      <c r="P754" s="475"/>
      <c r="Q754" s="475"/>
      <c r="R754" s="475"/>
      <c r="S754" s="475"/>
      <c r="T754" s="475"/>
      <c r="U754" s="475"/>
      <c r="V754" s="475"/>
      <c r="W754" s="475"/>
      <c r="X754" s="475"/>
      <c r="Y754" s="475"/>
      <c r="Z754" s="475"/>
      <c r="AA754" s="475"/>
      <c r="AB754" s="475"/>
      <c r="AC754" s="475"/>
      <c r="AD754" s="475"/>
      <c r="AE754" s="475"/>
      <c r="AF754" s="475"/>
    </row>
    <row r="755" spans="2:32">
      <c r="B755" s="471"/>
      <c r="C755" s="475"/>
      <c r="D755" s="475"/>
      <c r="E755" s="475"/>
      <c r="F755" s="474"/>
      <c r="G755" s="475"/>
      <c r="H755" s="474"/>
      <c r="I755" s="474"/>
      <c r="J755" s="475"/>
      <c r="K755" s="475"/>
      <c r="L755" s="475"/>
      <c r="M755" s="475"/>
      <c r="N755" s="475"/>
      <c r="O755" s="475"/>
      <c r="P755" s="475"/>
      <c r="Q755" s="475"/>
      <c r="R755" s="475"/>
      <c r="S755" s="475"/>
      <c r="T755" s="475"/>
      <c r="U755" s="475"/>
      <c r="V755" s="475"/>
      <c r="W755" s="475"/>
      <c r="X755" s="475"/>
      <c r="Y755" s="475"/>
      <c r="Z755" s="475"/>
      <c r="AA755" s="475"/>
      <c r="AB755" s="475"/>
      <c r="AC755" s="475"/>
      <c r="AD755" s="475"/>
      <c r="AE755" s="475"/>
      <c r="AF755" s="475"/>
    </row>
    <row r="756" spans="2:32">
      <c r="B756" s="471"/>
      <c r="C756" s="475"/>
      <c r="D756" s="475"/>
      <c r="E756" s="475"/>
      <c r="F756" s="474"/>
      <c r="G756" s="475"/>
      <c r="H756" s="474"/>
      <c r="I756" s="474"/>
      <c r="J756" s="475"/>
      <c r="K756" s="475"/>
      <c r="L756" s="475"/>
      <c r="M756" s="475"/>
      <c r="N756" s="475"/>
      <c r="O756" s="475"/>
      <c r="P756" s="475"/>
      <c r="Q756" s="475"/>
      <c r="R756" s="475"/>
      <c r="S756" s="475"/>
      <c r="T756" s="475"/>
      <c r="U756" s="475"/>
      <c r="V756" s="475"/>
      <c r="W756" s="475"/>
      <c r="X756" s="475"/>
      <c r="Y756" s="475"/>
      <c r="Z756" s="475"/>
      <c r="AA756" s="475"/>
      <c r="AB756" s="475"/>
      <c r="AC756" s="475"/>
      <c r="AD756" s="475"/>
      <c r="AE756" s="475"/>
      <c r="AF756" s="475"/>
    </row>
    <row r="757" spans="2:32">
      <c r="B757" s="471"/>
      <c r="C757" s="475"/>
      <c r="D757" s="475"/>
      <c r="E757" s="475"/>
      <c r="F757" s="474"/>
      <c r="G757" s="475"/>
      <c r="H757" s="474"/>
      <c r="I757" s="474"/>
      <c r="J757" s="475"/>
      <c r="K757" s="475"/>
      <c r="L757" s="475"/>
      <c r="M757" s="475"/>
      <c r="N757" s="475"/>
      <c r="O757" s="475"/>
      <c r="P757" s="475"/>
      <c r="Q757" s="475"/>
      <c r="R757" s="475"/>
      <c r="S757" s="475"/>
      <c r="T757" s="475"/>
      <c r="U757" s="475"/>
      <c r="V757" s="475"/>
      <c r="W757" s="475"/>
      <c r="X757" s="475"/>
      <c r="Y757" s="475"/>
      <c r="Z757" s="475"/>
      <c r="AA757" s="475"/>
      <c r="AB757" s="475"/>
      <c r="AC757" s="475"/>
      <c r="AD757" s="475"/>
      <c r="AE757" s="475"/>
      <c r="AF757" s="475"/>
    </row>
    <row r="758" spans="2:32">
      <c r="B758" s="471"/>
      <c r="C758" s="475"/>
      <c r="D758" s="475"/>
      <c r="E758" s="475"/>
      <c r="F758" s="474"/>
      <c r="G758" s="475"/>
      <c r="H758" s="474"/>
      <c r="I758" s="474"/>
      <c r="J758" s="475"/>
      <c r="K758" s="475"/>
      <c r="L758" s="475"/>
      <c r="M758" s="475"/>
      <c r="N758" s="475"/>
      <c r="O758" s="475"/>
      <c r="P758" s="475"/>
      <c r="Q758" s="475"/>
      <c r="R758" s="475"/>
      <c r="S758" s="475"/>
      <c r="T758" s="475"/>
      <c r="U758" s="475"/>
      <c r="V758" s="475"/>
      <c r="W758" s="475"/>
      <c r="X758" s="475"/>
      <c r="Y758" s="475"/>
      <c r="Z758" s="475"/>
      <c r="AA758" s="475"/>
      <c r="AB758" s="475"/>
      <c r="AC758" s="475"/>
      <c r="AD758" s="475"/>
      <c r="AE758" s="475"/>
      <c r="AF758" s="475"/>
    </row>
    <row r="759" spans="2:32">
      <c r="B759" s="471"/>
      <c r="C759" s="475"/>
      <c r="D759" s="475"/>
      <c r="E759" s="475"/>
      <c r="F759" s="474"/>
      <c r="G759" s="475"/>
      <c r="H759" s="474"/>
      <c r="I759" s="474"/>
      <c r="J759" s="475"/>
      <c r="K759" s="475"/>
      <c r="L759" s="475"/>
      <c r="M759" s="475"/>
      <c r="N759" s="475"/>
      <c r="O759" s="475"/>
      <c r="P759" s="475"/>
      <c r="Q759" s="475"/>
      <c r="R759" s="475"/>
      <c r="S759" s="475"/>
      <c r="T759" s="475"/>
      <c r="U759" s="475"/>
      <c r="V759" s="475"/>
      <c r="W759" s="475"/>
      <c r="X759" s="475"/>
      <c r="Y759" s="475"/>
      <c r="Z759" s="475"/>
      <c r="AA759" s="475"/>
      <c r="AB759" s="475"/>
      <c r="AC759" s="475"/>
      <c r="AD759" s="475"/>
      <c r="AE759" s="475"/>
      <c r="AF759" s="475"/>
    </row>
    <row r="760" spans="2:32">
      <c r="B760" s="471"/>
      <c r="C760" s="475"/>
      <c r="D760" s="475"/>
      <c r="E760" s="475"/>
      <c r="F760" s="474"/>
      <c r="G760" s="475"/>
      <c r="H760" s="474"/>
      <c r="I760" s="474"/>
      <c r="J760" s="475"/>
      <c r="K760" s="475"/>
      <c r="L760" s="475"/>
      <c r="M760" s="475"/>
      <c r="N760" s="475"/>
      <c r="O760" s="475"/>
      <c r="P760" s="475"/>
      <c r="Q760" s="475"/>
      <c r="R760" s="475"/>
      <c r="S760" s="475"/>
      <c r="T760" s="475"/>
      <c r="U760" s="475"/>
      <c r="V760" s="475"/>
      <c r="W760" s="475"/>
      <c r="X760" s="475"/>
      <c r="Y760" s="475"/>
      <c r="Z760" s="475"/>
      <c r="AA760" s="475"/>
      <c r="AB760" s="475"/>
      <c r="AC760" s="475"/>
      <c r="AD760" s="475"/>
      <c r="AE760" s="475"/>
      <c r="AF760" s="475"/>
    </row>
    <row r="761" spans="2:32">
      <c r="B761" s="471"/>
      <c r="C761" s="475"/>
      <c r="D761" s="475"/>
      <c r="E761" s="475"/>
      <c r="F761" s="474"/>
      <c r="G761" s="475"/>
      <c r="H761" s="474"/>
      <c r="I761" s="474"/>
      <c r="J761" s="475"/>
      <c r="K761" s="475"/>
      <c r="L761" s="475"/>
      <c r="M761" s="475"/>
      <c r="N761" s="475"/>
      <c r="O761" s="475"/>
      <c r="P761" s="475"/>
      <c r="Q761" s="475"/>
      <c r="R761" s="475"/>
      <c r="S761" s="475"/>
      <c r="T761" s="475"/>
      <c r="U761" s="475"/>
      <c r="V761" s="475"/>
      <c r="W761" s="475"/>
      <c r="X761" s="475"/>
      <c r="Y761" s="475"/>
      <c r="Z761" s="475"/>
      <c r="AA761" s="475"/>
      <c r="AB761" s="475"/>
      <c r="AC761" s="475"/>
      <c r="AD761" s="475"/>
      <c r="AE761" s="475"/>
      <c r="AF761" s="475"/>
    </row>
    <row r="762" spans="2:32">
      <c r="B762" s="471"/>
      <c r="C762" s="475"/>
      <c r="D762" s="475"/>
      <c r="E762" s="475"/>
      <c r="F762" s="474"/>
      <c r="G762" s="475"/>
      <c r="H762" s="474"/>
      <c r="I762" s="474"/>
      <c r="J762" s="475"/>
      <c r="K762" s="475"/>
      <c r="L762" s="475"/>
      <c r="M762" s="475"/>
      <c r="N762" s="475"/>
      <c r="O762" s="475"/>
      <c r="P762" s="475"/>
      <c r="Q762" s="475"/>
      <c r="R762" s="475"/>
      <c r="S762" s="475"/>
      <c r="T762" s="475"/>
      <c r="U762" s="475"/>
      <c r="V762" s="475"/>
      <c r="W762" s="475"/>
      <c r="X762" s="475"/>
      <c r="Y762" s="475"/>
      <c r="Z762" s="475"/>
      <c r="AA762" s="475"/>
      <c r="AB762" s="475"/>
      <c r="AC762" s="475"/>
      <c r="AD762" s="475"/>
      <c r="AE762" s="475"/>
      <c r="AF762" s="475"/>
    </row>
    <row r="763" spans="2:32">
      <c r="B763" s="471"/>
      <c r="C763" s="475"/>
      <c r="D763" s="475"/>
      <c r="E763" s="475"/>
      <c r="F763" s="474"/>
      <c r="G763" s="475"/>
      <c r="H763" s="474"/>
      <c r="I763" s="474"/>
      <c r="J763" s="475"/>
      <c r="K763" s="475"/>
      <c r="L763" s="475"/>
      <c r="M763" s="475"/>
      <c r="N763" s="475"/>
      <c r="O763" s="475"/>
      <c r="P763" s="475"/>
      <c r="Q763" s="475"/>
      <c r="R763" s="475"/>
      <c r="S763" s="475"/>
      <c r="T763" s="475"/>
      <c r="U763" s="475"/>
      <c r="V763" s="475"/>
      <c r="W763" s="475"/>
      <c r="X763" s="475"/>
      <c r="Y763" s="475"/>
      <c r="Z763" s="475"/>
      <c r="AA763" s="475"/>
      <c r="AB763" s="475"/>
      <c r="AC763" s="475"/>
      <c r="AD763" s="475"/>
      <c r="AE763" s="475"/>
      <c r="AF763" s="475"/>
    </row>
    <row r="764" spans="2:32">
      <c r="B764" s="471"/>
      <c r="C764" s="475"/>
      <c r="D764" s="475"/>
      <c r="E764" s="475"/>
      <c r="F764" s="474"/>
      <c r="G764" s="475"/>
      <c r="H764" s="474"/>
      <c r="I764" s="474"/>
      <c r="J764" s="475"/>
      <c r="K764" s="475"/>
      <c r="L764" s="475"/>
      <c r="M764" s="475"/>
      <c r="N764" s="475"/>
      <c r="O764" s="475"/>
      <c r="P764" s="475"/>
      <c r="Q764" s="475"/>
      <c r="R764" s="475"/>
      <c r="S764" s="475"/>
      <c r="T764" s="475"/>
      <c r="U764" s="475"/>
      <c r="V764" s="475"/>
      <c r="W764" s="475"/>
      <c r="X764" s="475"/>
      <c r="Y764" s="475"/>
      <c r="Z764" s="475"/>
      <c r="AA764" s="475"/>
      <c r="AB764" s="475"/>
      <c r="AC764" s="475"/>
      <c r="AD764" s="475"/>
      <c r="AE764" s="475"/>
      <c r="AF764" s="475"/>
    </row>
    <row r="765" spans="2:32">
      <c r="B765" s="471"/>
      <c r="C765" s="475"/>
      <c r="D765" s="475"/>
      <c r="E765" s="475"/>
      <c r="F765" s="474"/>
      <c r="G765" s="475"/>
      <c r="H765" s="474"/>
      <c r="I765" s="474"/>
      <c r="J765" s="475"/>
      <c r="K765" s="475"/>
      <c r="L765" s="475"/>
      <c r="M765" s="475"/>
      <c r="N765" s="475"/>
      <c r="O765" s="475"/>
      <c r="P765" s="475"/>
      <c r="Q765" s="475"/>
      <c r="R765" s="475"/>
      <c r="S765" s="475"/>
      <c r="T765" s="475"/>
      <c r="U765" s="475"/>
      <c r="V765" s="475"/>
      <c r="W765" s="475"/>
      <c r="X765" s="475"/>
      <c r="Y765" s="475"/>
      <c r="Z765" s="475"/>
      <c r="AA765" s="475"/>
      <c r="AB765" s="475"/>
      <c r="AC765" s="475"/>
      <c r="AD765" s="475"/>
      <c r="AE765" s="475"/>
      <c r="AF765" s="475"/>
    </row>
    <row r="766" spans="2:32">
      <c r="B766" s="471"/>
      <c r="C766" s="475"/>
      <c r="D766" s="475"/>
      <c r="E766" s="475"/>
      <c r="F766" s="474"/>
      <c r="G766" s="475"/>
      <c r="H766" s="474"/>
      <c r="I766" s="474"/>
      <c r="J766" s="475"/>
      <c r="K766" s="475"/>
      <c r="L766" s="475"/>
      <c r="M766" s="475"/>
      <c r="N766" s="475"/>
      <c r="O766" s="475"/>
      <c r="P766" s="475"/>
      <c r="Q766" s="475"/>
      <c r="R766" s="475"/>
      <c r="S766" s="475"/>
      <c r="T766" s="475"/>
      <c r="U766" s="475"/>
      <c r="V766" s="475"/>
      <c r="W766" s="475"/>
      <c r="X766" s="475"/>
      <c r="Y766" s="475"/>
      <c r="Z766" s="475"/>
      <c r="AA766" s="475"/>
      <c r="AB766" s="475"/>
      <c r="AC766" s="475"/>
      <c r="AD766" s="475"/>
      <c r="AE766" s="475"/>
      <c r="AF766" s="475"/>
    </row>
    <row r="767" spans="2:32">
      <c r="B767" s="471"/>
      <c r="C767" s="475"/>
      <c r="D767" s="475"/>
      <c r="E767" s="475"/>
      <c r="F767" s="474"/>
      <c r="G767" s="475"/>
      <c r="H767" s="474"/>
      <c r="I767" s="474"/>
      <c r="J767" s="475"/>
      <c r="K767" s="475"/>
      <c r="L767" s="475"/>
      <c r="M767" s="475"/>
      <c r="N767" s="475"/>
      <c r="O767" s="475"/>
      <c r="P767" s="475"/>
      <c r="Q767" s="475"/>
      <c r="R767" s="475"/>
      <c r="S767" s="475"/>
      <c r="T767" s="475"/>
      <c r="U767" s="475"/>
      <c r="V767" s="475"/>
      <c r="W767" s="475"/>
      <c r="X767" s="475"/>
      <c r="Y767" s="475"/>
      <c r="Z767" s="475"/>
      <c r="AA767" s="475"/>
      <c r="AB767" s="475"/>
      <c r="AC767" s="475"/>
      <c r="AD767" s="475"/>
      <c r="AE767" s="475"/>
      <c r="AF767" s="475"/>
    </row>
    <row r="768" spans="2:32">
      <c r="B768" s="471"/>
      <c r="C768" s="475"/>
      <c r="D768" s="475"/>
      <c r="E768" s="475"/>
      <c r="F768" s="474"/>
      <c r="G768" s="475"/>
      <c r="H768" s="474"/>
      <c r="I768" s="474"/>
      <c r="J768" s="475"/>
      <c r="K768" s="475"/>
      <c r="L768" s="475"/>
      <c r="M768" s="475"/>
      <c r="N768" s="475"/>
      <c r="O768" s="475"/>
      <c r="P768" s="475"/>
      <c r="Q768" s="475"/>
      <c r="R768" s="475"/>
      <c r="S768" s="475"/>
      <c r="T768" s="475"/>
      <c r="U768" s="475"/>
      <c r="V768" s="475"/>
      <c r="W768" s="475"/>
      <c r="X768" s="475"/>
      <c r="Y768" s="475"/>
      <c r="Z768" s="475"/>
      <c r="AA768" s="475"/>
      <c r="AB768" s="475"/>
      <c r="AC768" s="475"/>
      <c r="AD768" s="475"/>
      <c r="AE768" s="475"/>
      <c r="AF768" s="475"/>
    </row>
    <row r="769" spans="2:32">
      <c r="B769" s="471"/>
      <c r="C769" s="475"/>
      <c r="D769" s="475"/>
      <c r="E769" s="475"/>
      <c r="F769" s="474"/>
      <c r="G769" s="475"/>
      <c r="H769" s="474"/>
      <c r="I769" s="474"/>
      <c r="J769" s="475"/>
      <c r="K769" s="475"/>
      <c r="L769" s="475"/>
      <c r="M769" s="475"/>
      <c r="N769" s="475"/>
      <c r="O769" s="475"/>
      <c r="P769" s="475"/>
      <c r="Q769" s="475"/>
      <c r="R769" s="475"/>
      <c r="S769" s="475"/>
      <c r="T769" s="475"/>
      <c r="U769" s="475"/>
      <c r="V769" s="475"/>
      <c r="W769" s="475"/>
      <c r="X769" s="475"/>
      <c r="Y769" s="475"/>
      <c r="Z769" s="475"/>
      <c r="AA769" s="475"/>
      <c r="AB769" s="475"/>
      <c r="AC769" s="475"/>
      <c r="AD769" s="475"/>
      <c r="AE769" s="475"/>
      <c r="AF769" s="475"/>
    </row>
    <row r="770" spans="2:32">
      <c r="B770" s="471"/>
      <c r="C770" s="475"/>
      <c r="D770" s="475"/>
      <c r="E770" s="475"/>
      <c r="F770" s="474"/>
      <c r="G770" s="475"/>
      <c r="H770" s="474"/>
      <c r="I770" s="474"/>
      <c r="J770" s="475"/>
      <c r="K770" s="475"/>
      <c r="L770" s="475"/>
      <c r="M770" s="475"/>
      <c r="N770" s="475"/>
      <c r="O770" s="475"/>
      <c r="P770" s="475"/>
      <c r="Q770" s="475"/>
      <c r="R770" s="475"/>
      <c r="S770" s="475"/>
      <c r="T770" s="475"/>
      <c r="U770" s="475"/>
      <c r="V770" s="475"/>
      <c r="W770" s="475"/>
      <c r="X770" s="475"/>
      <c r="Y770" s="475"/>
      <c r="Z770" s="475"/>
      <c r="AA770" s="475"/>
      <c r="AB770" s="475"/>
      <c r="AC770" s="475"/>
      <c r="AD770" s="475"/>
      <c r="AE770" s="475"/>
      <c r="AF770" s="475"/>
    </row>
    <row r="771" spans="2:32">
      <c r="B771" s="471"/>
      <c r="C771" s="475"/>
      <c r="D771" s="475"/>
      <c r="E771" s="475"/>
      <c r="F771" s="474"/>
      <c r="G771" s="475"/>
      <c r="H771" s="474"/>
      <c r="I771" s="474"/>
      <c r="J771" s="475"/>
      <c r="K771" s="475"/>
      <c r="L771" s="475"/>
      <c r="M771" s="475"/>
      <c r="N771" s="475"/>
      <c r="O771" s="475"/>
      <c r="P771" s="475"/>
      <c r="Q771" s="475"/>
      <c r="R771" s="475"/>
      <c r="S771" s="475"/>
      <c r="T771" s="475"/>
      <c r="U771" s="475"/>
      <c r="V771" s="475"/>
      <c r="W771" s="475"/>
      <c r="X771" s="475"/>
      <c r="Y771" s="475"/>
      <c r="Z771" s="475"/>
      <c r="AA771" s="475"/>
      <c r="AB771" s="475"/>
      <c r="AC771" s="475"/>
      <c r="AD771" s="475"/>
      <c r="AE771" s="475"/>
      <c r="AF771" s="475"/>
    </row>
    <row r="772" spans="2:32">
      <c r="B772" s="471"/>
      <c r="C772" s="475"/>
      <c r="D772" s="475"/>
      <c r="E772" s="475"/>
      <c r="F772" s="474"/>
      <c r="G772" s="475"/>
      <c r="H772" s="474"/>
      <c r="I772" s="474"/>
      <c r="J772" s="475"/>
      <c r="K772" s="475"/>
      <c r="L772" s="475"/>
      <c r="M772" s="475"/>
      <c r="N772" s="475"/>
      <c r="O772" s="475"/>
      <c r="P772" s="475"/>
      <c r="Q772" s="475"/>
      <c r="R772" s="475"/>
      <c r="S772" s="475"/>
      <c r="T772" s="475"/>
      <c r="U772" s="475"/>
      <c r="V772" s="475"/>
      <c r="W772" s="475"/>
      <c r="X772" s="475"/>
      <c r="Y772" s="475"/>
      <c r="Z772" s="475"/>
      <c r="AA772" s="475"/>
      <c r="AB772" s="475"/>
      <c r="AC772" s="475"/>
      <c r="AD772" s="475"/>
      <c r="AE772" s="475"/>
      <c r="AF772" s="475"/>
    </row>
    <row r="773" spans="2:32">
      <c r="B773" s="471"/>
      <c r="C773" s="475"/>
      <c r="D773" s="475"/>
      <c r="E773" s="475"/>
      <c r="F773" s="474"/>
      <c r="G773" s="475"/>
      <c r="H773" s="474"/>
      <c r="I773" s="474"/>
      <c r="J773" s="475"/>
      <c r="K773" s="475"/>
      <c r="L773" s="475"/>
      <c r="M773" s="475"/>
      <c r="N773" s="475"/>
      <c r="O773" s="475"/>
      <c r="P773" s="475"/>
      <c r="Q773" s="475"/>
      <c r="R773" s="475"/>
      <c r="S773" s="475"/>
      <c r="T773" s="475"/>
      <c r="U773" s="475"/>
      <c r="V773" s="475"/>
      <c r="W773" s="475"/>
      <c r="X773" s="475"/>
      <c r="Y773" s="475"/>
      <c r="Z773" s="475"/>
      <c r="AA773" s="475"/>
      <c r="AB773" s="475"/>
      <c r="AC773" s="475"/>
      <c r="AD773" s="475"/>
      <c r="AE773" s="475"/>
      <c r="AF773" s="475"/>
    </row>
    <row r="774" spans="2:32">
      <c r="B774" s="471"/>
      <c r="C774" s="475"/>
      <c r="D774" s="475"/>
      <c r="E774" s="475"/>
      <c r="F774" s="474"/>
      <c r="G774" s="475"/>
      <c r="H774" s="474"/>
      <c r="I774" s="474"/>
      <c r="J774" s="475"/>
      <c r="K774" s="475"/>
      <c r="L774" s="475"/>
      <c r="M774" s="475"/>
      <c r="N774" s="475"/>
      <c r="O774" s="475"/>
      <c r="P774" s="475"/>
      <c r="Q774" s="475"/>
      <c r="R774" s="475"/>
      <c r="S774" s="475"/>
      <c r="T774" s="475"/>
      <c r="U774" s="475"/>
      <c r="V774" s="475"/>
      <c r="W774" s="475"/>
      <c r="X774" s="475"/>
      <c r="Y774" s="475"/>
      <c r="Z774" s="475"/>
      <c r="AA774" s="475"/>
      <c r="AB774" s="475"/>
      <c r="AC774" s="475"/>
      <c r="AD774" s="475"/>
      <c r="AE774" s="475"/>
      <c r="AF774" s="475"/>
    </row>
    <row r="775" spans="2:32">
      <c r="B775" s="471"/>
      <c r="C775" s="475"/>
      <c r="D775" s="475"/>
      <c r="E775" s="475"/>
      <c r="F775" s="474"/>
      <c r="G775" s="475"/>
      <c r="H775" s="474"/>
      <c r="I775" s="474"/>
      <c r="J775" s="475"/>
      <c r="K775" s="475"/>
      <c r="L775" s="475"/>
      <c r="M775" s="475"/>
      <c r="N775" s="475"/>
      <c r="O775" s="475"/>
      <c r="P775" s="475"/>
      <c r="Q775" s="475"/>
      <c r="R775" s="475"/>
      <c r="S775" s="475"/>
      <c r="T775" s="475"/>
      <c r="U775" s="475"/>
      <c r="V775" s="475"/>
      <c r="W775" s="475"/>
      <c r="X775" s="475"/>
      <c r="Y775" s="475"/>
      <c r="Z775" s="475"/>
      <c r="AA775" s="475"/>
      <c r="AB775" s="475"/>
      <c r="AC775" s="475"/>
      <c r="AD775" s="475"/>
      <c r="AE775" s="475"/>
      <c r="AF775" s="475"/>
    </row>
    <row r="776" spans="2:32">
      <c r="B776" s="471"/>
      <c r="C776" s="475"/>
      <c r="D776" s="475"/>
      <c r="E776" s="475"/>
      <c r="F776" s="474"/>
      <c r="G776" s="475"/>
      <c r="H776" s="474"/>
      <c r="I776" s="474"/>
      <c r="J776" s="475"/>
      <c r="K776" s="475"/>
      <c r="L776" s="475"/>
      <c r="M776" s="475"/>
      <c r="N776" s="475"/>
      <c r="O776" s="475"/>
      <c r="P776" s="475"/>
      <c r="Q776" s="475"/>
      <c r="R776" s="475"/>
      <c r="S776" s="475"/>
      <c r="T776" s="475"/>
      <c r="U776" s="475"/>
      <c r="V776" s="475"/>
      <c r="W776" s="475"/>
      <c r="X776" s="475"/>
      <c r="Y776" s="475"/>
      <c r="Z776" s="475"/>
      <c r="AA776" s="475"/>
      <c r="AB776" s="475"/>
      <c r="AC776" s="475"/>
      <c r="AD776" s="475"/>
      <c r="AE776" s="475"/>
      <c r="AF776" s="475"/>
    </row>
    <row r="777" spans="2:32">
      <c r="B777" s="471"/>
      <c r="C777" s="475"/>
      <c r="D777" s="475"/>
      <c r="E777" s="475"/>
      <c r="F777" s="474"/>
      <c r="G777" s="475"/>
      <c r="H777" s="474"/>
      <c r="I777" s="474"/>
      <c r="J777" s="475"/>
      <c r="K777" s="475"/>
      <c r="L777" s="475"/>
      <c r="M777" s="475"/>
      <c r="N777" s="475"/>
      <c r="O777" s="475"/>
      <c r="P777" s="475"/>
      <c r="Q777" s="475"/>
      <c r="R777" s="475"/>
      <c r="S777" s="475"/>
      <c r="T777" s="475"/>
      <c r="U777" s="475"/>
      <c r="V777" s="475"/>
      <c r="W777" s="475"/>
      <c r="X777" s="475"/>
      <c r="Y777" s="475"/>
      <c r="Z777" s="475"/>
      <c r="AA777" s="475"/>
      <c r="AB777" s="475"/>
      <c r="AC777" s="475"/>
      <c r="AD777" s="475"/>
      <c r="AE777" s="475"/>
      <c r="AF777" s="475"/>
    </row>
    <row r="778" spans="2:32">
      <c r="B778" s="471"/>
      <c r="C778" s="475"/>
      <c r="D778" s="475"/>
      <c r="E778" s="475"/>
      <c r="F778" s="474"/>
      <c r="G778" s="475"/>
      <c r="H778" s="474"/>
      <c r="I778" s="474"/>
      <c r="J778" s="475"/>
      <c r="K778" s="475"/>
      <c r="L778" s="475"/>
      <c r="M778" s="475"/>
      <c r="N778" s="475"/>
      <c r="O778" s="475"/>
      <c r="P778" s="475"/>
      <c r="Q778" s="475"/>
      <c r="R778" s="475"/>
      <c r="S778" s="475"/>
      <c r="T778" s="475"/>
      <c r="U778" s="475"/>
      <c r="V778" s="475"/>
      <c r="W778" s="475"/>
      <c r="X778" s="475"/>
      <c r="Y778" s="475"/>
      <c r="Z778" s="475"/>
      <c r="AA778" s="475"/>
      <c r="AB778" s="475"/>
      <c r="AC778" s="475"/>
      <c r="AD778" s="475"/>
      <c r="AE778" s="475"/>
      <c r="AF778" s="475"/>
    </row>
    <row r="779" spans="2:32">
      <c r="B779" s="471"/>
      <c r="C779" s="475"/>
      <c r="D779" s="475"/>
      <c r="E779" s="475"/>
      <c r="F779" s="474"/>
      <c r="G779" s="475"/>
      <c r="H779" s="474"/>
      <c r="I779" s="474"/>
      <c r="J779" s="475"/>
      <c r="K779" s="475"/>
      <c r="L779" s="475"/>
      <c r="M779" s="475"/>
      <c r="N779" s="475"/>
      <c r="O779" s="475"/>
      <c r="P779" s="475"/>
      <c r="Q779" s="475"/>
      <c r="R779" s="475"/>
      <c r="S779" s="475"/>
      <c r="T779" s="475"/>
      <c r="U779" s="475"/>
      <c r="V779" s="475"/>
      <c r="W779" s="475"/>
      <c r="X779" s="475"/>
      <c r="Y779" s="475"/>
      <c r="Z779" s="475"/>
      <c r="AA779" s="475"/>
      <c r="AB779" s="475"/>
      <c r="AC779" s="475"/>
      <c r="AD779" s="475"/>
      <c r="AE779" s="475"/>
      <c r="AF779" s="475"/>
    </row>
    <row r="780" spans="2:32">
      <c r="B780" s="471"/>
      <c r="C780" s="475"/>
      <c r="D780" s="475"/>
      <c r="E780" s="475"/>
      <c r="F780" s="474"/>
      <c r="G780" s="475"/>
      <c r="H780" s="474"/>
      <c r="I780" s="474"/>
      <c r="J780" s="475"/>
      <c r="K780" s="475"/>
      <c r="L780" s="475"/>
      <c r="M780" s="475"/>
      <c r="N780" s="475"/>
      <c r="O780" s="475"/>
      <c r="P780" s="475"/>
      <c r="Q780" s="475"/>
      <c r="R780" s="475"/>
      <c r="S780" s="475"/>
      <c r="T780" s="475"/>
      <c r="U780" s="475"/>
      <c r="V780" s="475"/>
      <c r="W780" s="475"/>
      <c r="X780" s="475"/>
      <c r="Y780" s="475"/>
      <c r="Z780" s="475"/>
      <c r="AA780" s="475"/>
      <c r="AB780" s="475"/>
      <c r="AC780" s="475"/>
      <c r="AD780" s="475"/>
      <c r="AE780" s="475"/>
      <c r="AF780" s="475"/>
    </row>
    <row r="781" spans="2:32">
      <c r="B781" s="471"/>
      <c r="C781" s="475"/>
      <c r="D781" s="475"/>
      <c r="E781" s="475"/>
      <c r="F781" s="474"/>
      <c r="G781" s="475"/>
      <c r="H781" s="474"/>
      <c r="I781" s="474"/>
      <c r="J781" s="475"/>
      <c r="K781" s="475"/>
      <c r="L781" s="475"/>
      <c r="M781" s="475"/>
      <c r="N781" s="475"/>
      <c r="O781" s="475"/>
      <c r="P781" s="475"/>
      <c r="Q781" s="475"/>
      <c r="R781" s="475"/>
      <c r="S781" s="475"/>
      <c r="T781" s="475"/>
      <c r="U781" s="475"/>
      <c r="V781" s="475"/>
      <c r="W781" s="475"/>
      <c r="X781" s="475"/>
      <c r="Y781" s="475"/>
      <c r="Z781" s="475"/>
      <c r="AA781" s="475"/>
      <c r="AB781" s="475"/>
      <c r="AC781" s="475"/>
      <c r="AD781" s="475"/>
      <c r="AE781" s="475"/>
      <c r="AF781" s="475"/>
    </row>
    <row r="782" spans="2:32">
      <c r="B782" s="471"/>
      <c r="C782" s="475"/>
      <c r="D782" s="475"/>
      <c r="E782" s="475"/>
      <c r="F782" s="474"/>
      <c r="G782" s="475"/>
      <c r="H782" s="474"/>
      <c r="I782" s="474"/>
      <c r="J782" s="475"/>
      <c r="K782" s="475"/>
      <c r="L782" s="475"/>
      <c r="M782" s="475"/>
      <c r="N782" s="475"/>
      <c r="O782" s="475"/>
      <c r="P782" s="475"/>
      <c r="Q782" s="475"/>
      <c r="R782" s="475"/>
      <c r="S782" s="475"/>
      <c r="T782" s="475"/>
      <c r="U782" s="475"/>
      <c r="V782" s="475"/>
      <c r="W782" s="475"/>
      <c r="X782" s="475"/>
      <c r="Y782" s="475"/>
      <c r="Z782" s="475"/>
      <c r="AA782" s="475"/>
      <c r="AB782" s="475"/>
      <c r="AC782" s="475"/>
      <c r="AD782" s="475"/>
      <c r="AE782" s="475"/>
      <c r="AF782" s="475"/>
    </row>
    <row r="783" spans="2:32">
      <c r="B783" s="471"/>
      <c r="C783" s="475"/>
      <c r="D783" s="475"/>
      <c r="E783" s="475"/>
      <c r="F783" s="474"/>
      <c r="G783" s="475"/>
      <c r="H783" s="474"/>
      <c r="I783" s="474"/>
      <c r="J783" s="475"/>
      <c r="K783" s="475"/>
      <c r="L783" s="475"/>
      <c r="M783" s="475"/>
      <c r="N783" s="475"/>
      <c r="O783" s="475"/>
      <c r="P783" s="475"/>
      <c r="Q783" s="475"/>
      <c r="R783" s="475"/>
      <c r="S783" s="475"/>
      <c r="T783" s="475"/>
      <c r="U783" s="475"/>
      <c r="V783" s="475"/>
      <c r="W783" s="475"/>
      <c r="X783" s="475"/>
      <c r="Y783" s="475"/>
      <c r="Z783" s="475"/>
      <c r="AA783" s="475"/>
      <c r="AB783" s="475"/>
      <c r="AC783" s="475"/>
      <c r="AD783" s="475"/>
      <c r="AE783" s="475"/>
      <c r="AF783" s="475"/>
    </row>
    <row r="784" spans="2:32">
      <c r="B784" s="471"/>
      <c r="C784" s="475"/>
      <c r="D784" s="475"/>
      <c r="E784" s="475"/>
      <c r="F784" s="474"/>
      <c r="G784" s="475"/>
      <c r="H784" s="474"/>
      <c r="I784" s="474"/>
      <c r="J784" s="475"/>
      <c r="K784" s="475"/>
      <c r="L784" s="475"/>
      <c r="M784" s="475"/>
      <c r="N784" s="475"/>
      <c r="O784" s="475"/>
      <c r="P784" s="475"/>
      <c r="Q784" s="475"/>
      <c r="R784" s="475"/>
      <c r="S784" s="475"/>
      <c r="T784" s="475"/>
      <c r="U784" s="475"/>
      <c r="V784" s="475"/>
      <c r="W784" s="475"/>
      <c r="X784" s="475"/>
      <c r="Y784" s="475"/>
      <c r="Z784" s="475"/>
      <c r="AA784" s="475"/>
      <c r="AB784" s="475"/>
      <c r="AC784" s="475"/>
      <c r="AD784" s="475"/>
      <c r="AE784" s="475"/>
      <c r="AF784" s="475"/>
    </row>
    <row r="785" spans="2:32">
      <c r="B785" s="471"/>
      <c r="C785" s="475"/>
      <c r="D785" s="475"/>
      <c r="E785" s="475"/>
      <c r="F785" s="474"/>
      <c r="G785" s="475"/>
      <c r="H785" s="474"/>
      <c r="I785" s="474"/>
      <c r="J785" s="475"/>
      <c r="K785" s="475"/>
      <c r="L785" s="475"/>
      <c r="M785" s="475"/>
      <c r="N785" s="475"/>
      <c r="O785" s="475"/>
      <c r="P785" s="475"/>
      <c r="Q785" s="475"/>
      <c r="R785" s="475"/>
      <c r="S785" s="475"/>
      <c r="T785" s="475"/>
      <c r="U785" s="475"/>
      <c r="V785" s="475"/>
      <c r="W785" s="475"/>
      <c r="X785" s="475"/>
      <c r="Y785" s="475"/>
      <c r="Z785" s="475"/>
      <c r="AA785" s="475"/>
      <c r="AB785" s="475"/>
      <c r="AC785" s="475"/>
      <c r="AD785" s="475"/>
      <c r="AE785" s="475"/>
      <c r="AF785" s="475"/>
    </row>
    <row r="786" spans="2:32">
      <c r="B786" s="471"/>
      <c r="C786" s="475"/>
      <c r="D786" s="475"/>
      <c r="E786" s="475"/>
      <c r="F786" s="474"/>
      <c r="G786" s="475"/>
      <c r="H786" s="474"/>
      <c r="I786" s="474"/>
      <c r="J786" s="475"/>
      <c r="K786" s="475"/>
      <c r="L786" s="475"/>
      <c r="M786" s="475"/>
      <c r="N786" s="475"/>
      <c r="O786" s="475"/>
      <c r="P786" s="475"/>
      <c r="Q786" s="475"/>
      <c r="R786" s="475"/>
      <c r="S786" s="475"/>
      <c r="T786" s="475"/>
      <c r="U786" s="475"/>
      <c r="V786" s="475"/>
      <c r="W786" s="475"/>
      <c r="X786" s="475"/>
      <c r="Y786" s="475"/>
      <c r="Z786" s="475"/>
      <c r="AA786" s="475"/>
      <c r="AB786" s="475"/>
      <c r="AC786" s="475"/>
      <c r="AD786" s="475"/>
      <c r="AE786" s="475"/>
      <c r="AF786" s="475"/>
    </row>
    <row r="787" spans="2:32">
      <c r="B787" s="471"/>
      <c r="C787" s="475"/>
      <c r="D787" s="475"/>
      <c r="E787" s="475"/>
      <c r="F787" s="474"/>
      <c r="G787" s="475"/>
      <c r="H787" s="474"/>
      <c r="I787" s="474"/>
      <c r="J787" s="475"/>
      <c r="K787" s="475"/>
      <c r="L787" s="475"/>
      <c r="M787" s="475"/>
      <c r="N787" s="475"/>
      <c r="O787" s="475"/>
      <c r="P787" s="475"/>
      <c r="Q787" s="475"/>
      <c r="R787" s="475"/>
      <c r="S787" s="475"/>
      <c r="T787" s="475"/>
      <c r="U787" s="475"/>
      <c r="V787" s="475"/>
      <c r="W787" s="475"/>
      <c r="X787" s="475"/>
      <c r="Y787" s="475"/>
      <c r="Z787" s="475"/>
      <c r="AA787" s="475"/>
      <c r="AB787" s="475"/>
      <c r="AC787" s="475"/>
      <c r="AD787" s="475"/>
      <c r="AE787" s="475"/>
      <c r="AF787" s="475"/>
    </row>
    <row r="788" spans="2:32">
      <c r="B788" s="471"/>
      <c r="C788" s="475"/>
      <c r="D788" s="475"/>
      <c r="E788" s="475"/>
      <c r="F788" s="474"/>
      <c r="G788" s="475"/>
      <c r="H788" s="474"/>
      <c r="I788" s="474"/>
      <c r="J788" s="475"/>
      <c r="K788" s="475"/>
      <c r="L788" s="475"/>
      <c r="M788" s="475"/>
      <c r="N788" s="475"/>
      <c r="O788" s="475"/>
      <c r="P788" s="475"/>
      <c r="Q788" s="475"/>
      <c r="R788" s="475"/>
      <c r="S788" s="475"/>
      <c r="T788" s="475"/>
      <c r="U788" s="475"/>
      <c r="V788" s="475"/>
      <c r="W788" s="475"/>
      <c r="X788" s="475"/>
      <c r="Y788" s="475"/>
      <c r="Z788" s="475"/>
      <c r="AA788" s="475"/>
      <c r="AB788" s="475"/>
      <c r="AC788" s="475"/>
      <c r="AD788" s="475"/>
      <c r="AE788" s="475"/>
      <c r="AF788" s="475"/>
    </row>
    <row r="789" spans="2:32">
      <c r="B789" s="471"/>
      <c r="C789" s="475"/>
      <c r="D789" s="475"/>
      <c r="E789" s="475"/>
      <c r="F789" s="474"/>
      <c r="G789" s="475"/>
      <c r="H789" s="474"/>
      <c r="I789" s="474"/>
      <c r="J789" s="475"/>
      <c r="K789" s="475"/>
      <c r="L789" s="475"/>
      <c r="M789" s="475"/>
      <c r="N789" s="475"/>
      <c r="O789" s="475"/>
      <c r="P789" s="475"/>
      <c r="Q789" s="475"/>
      <c r="R789" s="475"/>
      <c r="S789" s="475"/>
      <c r="T789" s="475"/>
      <c r="U789" s="475"/>
      <c r="V789" s="475"/>
      <c r="W789" s="475"/>
      <c r="X789" s="475"/>
      <c r="Y789" s="475"/>
      <c r="Z789" s="475"/>
      <c r="AA789" s="475"/>
      <c r="AB789" s="475"/>
      <c r="AC789" s="475"/>
      <c r="AD789" s="475"/>
      <c r="AE789" s="475"/>
      <c r="AF789" s="475"/>
    </row>
    <row r="790" spans="2:32">
      <c r="B790" s="471"/>
      <c r="C790" s="475"/>
      <c r="D790" s="475"/>
      <c r="E790" s="475"/>
      <c r="F790" s="474"/>
      <c r="G790" s="475"/>
      <c r="H790" s="474"/>
      <c r="I790" s="474"/>
      <c r="J790" s="475"/>
      <c r="K790" s="475"/>
      <c r="L790" s="475"/>
      <c r="M790" s="475"/>
      <c r="N790" s="475"/>
      <c r="O790" s="475"/>
      <c r="P790" s="475"/>
      <c r="Q790" s="475"/>
      <c r="R790" s="475"/>
      <c r="S790" s="475"/>
      <c r="T790" s="475"/>
      <c r="U790" s="475"/>
      <c r="V790" s="475"/>
      <c r="W790" s="475"/>
      <c r="X790" s="475"/>
      <c r="Y790" s="475"/>
      <c r="Z790" s="475"/>
      <c r="AA790" s="475"/>
      <c r="AB790" s="475"/>
      <c r="AC790" s="475"/>
      <c r="AD790" s="475"/>
      <c r="AE790" s="475"/>
      <c r="AF790" s="475"/>
    </row>
    <row r="791" spans="2:32">
      <c r="B791" s="471"/>
      <c r="C791" s="475"/>
      <c r="D791" s="475"/>
      <c r="E791" s="475"/>
      <c r="F791" s="474"/>
      <c r="G791" s="475"/>
      <c r="H791" s="474"/>
      <c r="I791" s="474"/>
      <c r="J791" s="475"/>
      <c r="K791" s="475"/>
      <c r="L791" s="475"/>
      <c r="M791" s="475"/>
      <c r="N791" s="475"/>
      <c r="O791" s="475"/>
      <c r="P791" s="475"/>
      <c r="Q791" s="475"/>
      <c r="R791" s="475"/>
      <c r="S791" s="475"/>
      <c r="T791" s="475"/>
      <c r="U791" s="475"/>
      <c r="V791" s="475"/>
      <c r="W791" s="475"/>
      <c r="X791" s="475"/>
      <c r="Y791" s="475"/>
      <c r="Z791" s="475"/>
      <c r="AA791" s="475"/>
      <c r="AB791" s="475"/>
      <c r="AC791" s="475"/>
      <c r="AD791" s="475"/>
      <c r="AE791" s="475"/>
      <c r="AF791" s="475"/>
    </row>
    <row r="792" spans="2:32">
      <c r="B792" s="471"/>
      <c r="C792" s="475"/>
      <c r="D792" s="475"/>
      <c r="E792" s="475"/>
      <c r="F792" s="474"/>
      <c r="G792" s="475"/>
      <c r="H792" s="474"/>
      <c r="I792" s="474"/>
      <c r="J792" s="475"/>
      <c r="K792" s="475"/>
      <c r="L792" s="475"/>
      <c r="M792" s="475"/>
      <c r="N792" s="475"/>
      <c r="O792" s="475"/>
      <c r="P792" s="475"/>
      <c r="Q792" s="475"/>
      <c r="R792" s="475"/>
      <c r="S792" s="475"/>
      <c r="T792" s="475"/>
      <c r="U792" s="475"/>
      <c r="V792" s="475"/>
      <c r="W792" s="475"/>
      <c r="X792" s="475"/>
      <c r="Y792" s="475"/>
      <c r="Z792" s="475"/>
      <c r="AA792" s="475"/>
      <c r="AB792" s="475"/>
      <c r="AC792" s="475"/>
      <c r="AD792" s="475"/>
      <c r="AE792" s="475"/>
      <c r="AF792" s="475"/>
    </row>
    <row r="793" spans="2:32">
      <c r="B793" s="471"/>
      <c r="C793" s="475"/>
      <c r="D793" s="475"/>
      <c r="E793" s="475"/>
      <c r="F793" s="474"/>
      <c r="G793" s="475"/>
      <c r="H793" s="474"/>
      <c r="I793" s="474"/>
      <c r="J793" s="475"/>
      <c r="K793" s="475"/>
      <c r="L793" s="475"/>
      <c r="M793" s="475"/>
      <c r="N793" s="475"/>
      <c r="O793" s="475"/>
      <c r="P793" s="475"/>
      <c r="Q793" s="475"/>
      <c r="R793" s="475"/>
      <c r="S793" s="475"/>
      <c r="T793" s="475"/>
      <c r="U793" s="475"/>
      <c r="V793" s="475"/>
      <c r="W793" s="475"/>
      <c r="X793" s="475"/>
      <c r="Y793" s="475"/>
      <c r="Z793" s="475"/>
      <c r="AA793" s="475"/>
      <c r="AB793" s="475"/>
      <c r="AC793" s="475"/>
      <c r="AD793" s="475"/>
      <c r="AE793" s="475"/>
      <c r="AF793" s="475"/>
    </row>
    <row r="794" spans="2:32">
      <c r="B794" s="471"/>
      <c r="C794" s="475"/>
      <c r="D794" s="475"/>
      <c r="E794" s="475"/>
      <c r="F794" s="474"/>
      <c r="G794" s="475"/>
      <c r="H794" s="474"/>
      <c r="I794" s="474"/>
      <c r="J794" s="475"/>
      <c r="K794" s="475"/>
      <c r="L794" s="475"/>
      <c r="M794" s="475"/>
      <c r="N794" s="475"/>
      <c r="O794" s="475"/>
      <c r="P794" s="475"/>
      <c r="Q794" s="475"/>
      <c r="R794" s="475"/>
      <c r="S794" s="475"/>
      <c r="T794" s="475"/>
      <c r="U794" s="475"/>
      <c r="V794" s="475"/>
      <c r="W794" s="475"/>
      <c r="X794" s="475"/>
      <c r="Y794" s="475"/>
      <c r="Z794" s="475"/>
      <c r="AA794" s="475"/>
      <c r="AB794" s="475"/>
      <c r="AC794" s="475"/>
      <c r="AD794" s="475"/>
      <c r="AE794" s="475"/>
      <c r="AF794" s="475"/>
    </row>
    <row r="795" spans="2:32">
      <c r="B795" s="471"/>
      <c r="C795" s="475"/>
      <c r="D795" s="475"/>
      <c r="E795" s="475"/>
      <c r="F795" s="474"/>
      <c r="G795" s="475"/>
      <c r="H795" s="474"/>
      <c r="I795" s="474"/>
      <c r="J795" s="475"/>
      <c r="K795" s="475"/>
      <c r="L795" s="475"/>
      <c r="M795" s="475"/>
      <c r="N795" s="475"/>
      <c r="O795" s="475"/>
      <c r="P795" s="475"/>
      <c r="Q795" s="475"/>
      <c r="R795" s="475"/>
      <c r="S795" s="475"/>
      <c r="T795" s="475"/>
      <c r="U795" s="475"/>
      <c r="V795" s="475"/>
      <c r="W795" s="475"/>
      <c r="X795" s="475"/>
      <c r="Y795" s="475"/>
      <c r="Z795" s="475"/>
      <c r="AA795" s="475"/>
      <c r="AB795" s="475"/>
      <c r="AC795" s="475"/>
      <c r="AD795" s="475"/>
      <c r="AE795" s="475"/>
      <c r="AF795" s="475"/>
    </row>
    <row r="796" spans="2:32">
      <c r="B796" s="471"/>
      <c r="C796" s="475"/>
      <c r="D796" s="475"/>
      <c r="E796" s="475"/>
      <c r="F796" s="474"/>
      <c r="G796" s="475"/>
      <c r="H796" s="474"/>
      <c r="I796" s="474"/>
      <c r="J796" s="475"/>
      <c r="K796" s="475"/>
      <c r="L796" s="475"/>
      <c r="M796" s="475"/>
      <c r="N796" s="475"/>
      <c r="O796" s="475"/>
      <c r="P796" s="475"/>
      <c r="Q796" s="475"/>
      <c r="R796" s="475"/>
      <c r="S796" s="475"/>
      <c r="T796" s="475"/>
      <c r="U796" s="475"/>
      <c r="V796" s="475"/>
      <c r="W796" s="475"/>
      <c r="X796" s="475"/>
      <c r="Y796" s="475"/>
      <c r="Z796" s="475"/>
      <c r="AA796" s="475"/>
      <c r="AB796" s="475"/>
      <c r="AC796" s="475"/>
      <c r="AD796" s="475"/>
      <c r="AE796" s="475"/>
      <c r="AF796" s="475"/>
    </row>
    <row r="797" spans="2:32">
      <c r="B797" s="471"/>
      <c r="C797" s="475"/>
      <c r="D797" s="475"/>
      <c r="E797" s="475"/>
      <c r="F797" s="474"/>
      <c r="G797" s="475"/>
      <c r="H797" s="474"/>
      <c r="I797" s="474"/>
      <c r="J797" s="475"/>
      <c r="K797" s="475"/>
      <c r="L797" s="475"/>
      <c r="M797" s="475"/>
      <c r="N797" s="475"/>
      <c r="O797" s="475"/>
      <c r="P797" s="475"/>
      <c r="Q797" s="475"/>
      <c r="R797" s="475"/>
      <c r="S797" s="475"/>
      <c r="T797" s="475"/>
      <c r="U797" s="475"/>
      <c r="V797" s="475"/>
      <c r="W797" s="475"/>
      <c r="X797" s="475"/>
      <c r="Y797" s="475"/>
      <c r="Z797" s="475"/>
      <c r="AA797" s="475"/>
      <c r="AB797" s="475"/>
      <c r="AC797" s="475"/>
      <c r="AD797" s="475"/>
      <c r="AE797" s="475"/>
      <c r="AF797" s="475"/>
    </row>
    <row r="798" spans="2:32">
      <c r="B798" s="471"/>
      <c r="C798" s="475"/>
      <c r="D798" s="475"/>
      <c r="E798" s="475"/>
      <c r="F798" s="474"/>
      <c r="G798" s="475"/>
      <c r="H798" s="474"/>
      <c r="I798" s="474"/>
      <c r="J798" s="475"/>
      <c r="K798" s="475"/>
      <c r="L798" s="475"/>
      <c r="M798" s="475"/>
      <c r="N798" s="475"/>
      <c r="O798" s="475"/>
      <c r="P798" s="475"/>
      <c r="Q798" s="475"/>
      <c r="R798" s="475"/>
      <c r="S798" s="475"/>
      <c r="T798" s="475"/>
      <c r="U798" s="475"/>
      <c r="V798" s="475"/>
      <c r="W798" s="475"/>
      <c r="X798" s="475"/>
      <c r="Y798" s="475"/>
      <c r="Z798" s="475"/>
      <c r="AA798" s="475"/>
      <c r="AB798" s="475"/>
      <c r="AC798" s="475"/>
      <c r="AD798" s="475"/>
      <c r="AE798" s="475"/>
      <c r="AF798" s="475"/>
    </row>
    <row r="799" spans="2:32">
      <c r="B799" s="471"/>
      <c r="C799" s="475"/>
      <c r="D799" s="475"/>
      <c r="E799" s="475"/>
      <c r="F799" s="474"/>
      <c r="G799" s="475"/>
      <c r="H799" s="474"/>
      <c r="I799" s="474"/>
      <c r="J799" s="475"/>
      <c r="K799" s="475"/>
      <c r="L799" s="475"/>
      <c r="M799" s="475"/>
      <c r="N799" s="475"/>
      <c r="O799" s="475"/>
      <c r="P799" s="475"/>
      <c r="Q799" s="475"/>
      <c r="R799" s="475"/>
      <c r="S799" s="475"/>
      <c r="T799" s="475"/>
      <c r="U799" s="475"/>
      <c r="V799" s="475"/>
      <c r="W799" s="475"/>
      <c r="X799" s="475"/>
      <c r="Y799" s="475"/>
      <c r="Z799" s="475"/>
      <c r="AA799" s="475"/>
      <c r="AB799" s="475"/>
      <c r="AC799" s="475"/>
      <c r="AD799" s="475"/>
      <c r="AE799" s="475"/>
      <c r="AF799" s="475"/>
    </row>
    <row r="800" spans="2:32">
      <c r="B800" s="471"/>
      <c r="C800" s="475"/>
      <c r="D800" s="475"/>
      <c r="E800" s="475"/>
      <c r="F800" s="474"/>
      <c r="G800" s="475"/>
      <c r="H800" s="474"/>
      <c r="I800" s="474"/>
      <c r="J800" s="475"/>
      <c r="K800" s="475"/>
      <c r="L800" s="475"/>
      <c r="M800" s="475"/>
      <c r="N800" s="475"/>
      <c r="O800" s="475"/>
      <c r="P800" s="475"/>
      <c r="Q800" s="475"/>
      <c r="R800" s="475"/>
      <c r="S800" s="475"/>
      <c r="T800" s="475"/>
      <c r="U800" s="475"/>
      <c r="V800" s="475"/>
      <c r="W800" s="475"/>
      <c r="X800" s="475"/>
      <c r="Y800" s="475"/>
      <c r="Z800" s="475"/>
      <c r="AA800" s="475"/>
      <c r="AB800" s="475"/>
      <c r="AC800" s="475"/>
      <c r="AD800" s="475"/>
      <c r="AE800" s="475"/>
      <c r="AF800" s="475"/>
    </row>
    <row r="801" spans="2:32">
      <c r="B801" s="471"/>
      <c r="C801" s="475"/>
      <c r="D801" s="475"/>
      <c r="E801" s="475"/>
      <c r="F801" s="474"/>
      <c r="G801" s="475"/>
      <c r="H801" s="474"/>
      <c r="I801" s="474"/>
      <c r="J801" s="475"/>
      <c r="K801" s="475"/>
      <c r="L801" s="475"/>
      <c r="M801" s="475"/>
      <c r="N801" s="475"/>
      <c r="O801" s="475"/>
      <c r="P801" s="475"/>
      <c r="Q801" s="475"/>
      <c r="R801" s="475"/>
      <c r="S801" s="475"/>
      <c r="T801" s="475"/>
      <c r="U801" s="475"/>
      <c r="V801" s="475"/>
      <c r="W801" s="475"/>
      <c r="X801" s="475"/>
      <c r="Y801" s="475"/>
      <c r="Z801" s="475"/>
      <c r="AA801" s="475"/>
      <c r="AB801" s="475"/>
      <c r="AC801" s="475"/>
      <c r="AD801" s="475"/>
      <c r="AE801" s="475"/>
      <c r="AF801" s="475"/>
    </row>
    <row r="802" spans="2:32">
      <c r="B802" s="471"/>
      <c r="C802" s="475"/>
      <c r="D802" s="475"/>
      <c r="E802" s="475"/>
      <c r="F802" s="474"/>
      <c r="G802" s="475"/>
      <c r="H802" s="474"/>
      <c r="I802" s="474"/>
      <c r="J802" s="475"/>
      <c r="K802" s="475"/>
      <c r="L802" s="475"/>
      <c r="M802" s="475"/>
      <c r="N802" s="475"/>
      <c r="O802" s="475"/>
      <c r="P802" s="475"/>
      <c r="Q802" s="475"/>
      <c r="R802" s="475"/>
      <c r="S802" s="475"/>
      <c r="T802" s="475"/>
      <c r="U802" s="475"/>
      <c r="V802" s="475"/>
      <c r="W802" s="475"/>
      <c r="X802" s="475"/>
      <c r="Y802" s="475"/>
      <c r="Z802" s="475"/>
      <c r="AA802" s="475"/>
      <c r="AB802" s="475"/>
      <c r="AC802" s="475"/>
      <c r="AD802" s="475"/>
      <c r="AE802" s="475"/>
      <c r="AF802" s="475"/>
    </row>
    <row r="803" spans="2:32">
      <c r="B803" s="471"/>
      <c r="C803" s="475"/>
      <c r="D803" s="475"/>
      <c r="E803" s="475"/>
      <c r="F803" s="474"/>
      <c r="G803" s="475"/>
      <c r="H803" s="474"/>
      <c r="I803" s="474"/>
      <c r="J803" s="475"/>
      <c r="K803" s="475"/>
      <c r="L803" s="475"/>
      <c r="M803" s="475"/>
      <c r="N803" s="475"/>
      <c r="O803" s="475"/>
      <c r="P803" s="475"/>
      <c r="Q803" s="475"/>
      <c r="R803" s="475"/>
      <c r="S803" s="475"/>
      <c r="T803" s="475"/>
      <c r="U803" s="475"/>
      <c r="V803" s="475"/>
      <c r="W803" s="475"/>
      <c r="X803" s="475"/>
      <c r="Y803" s="475"/>
      <c r="Z803" s="475"/>
      <c r="AA803" s="475"/>
      <c r="AB803" s="475"/>
      <c r="AC803" s="475"/>
      <c r="AD803" s="475"/>
      <c r="AE803" s="475"/>
      <c r="AF803" s="475"/>
    </row>
    <row r="804" spans="2:32">
      <c r="B804" s="471"/>
      <c r="C804" s="475"/>
      <c r="D804" s="475"/>
      <c r="E804" s="475"/>
      <c r="F804" s="474"/>
      <c r="G804" s="475"/>
      <c r="H804" s="474"/>
      <c r="I804" s="474"/>
      <c r="J804" s="475"/>
      <c r="K804" s="475"/>
      <c r="L804" s="475"/>
      <c r="M804" s="475"/>
      <c r="N804" s="475"/>
      <c r="O804" s="475"/>
      <c r="P804" s="475"/>
      <c r="Q804" s="475"/>
      <c r="R804" s="475"/>
      <c r="S804" s="475"/>
      <c r="T804" s="475"/>
      <c r="U804" s="475"/>
      <c r="V804" s="475"/>
      <c r="W804" s="475"/>
      <c r="X804" s="475"/>
      <c r="Y804" s="475"/>
      <c r="Z804" s="475"/>
      <c r="AA804" s="475"/>
      <c r="AB804" s="475"/>
      <c r="AC804" s="475"/>
      <c r="AD804" s="475"/>
      <c r="AE804" s="475"/>
      <c r="AF804" s="475"/>
    </row>
    <row r="805" spans="2:32">
      <c r="B805" s="471"/>
      <c r="C805" s="475"/>
      <c r="D805" s="475"/>
      <c r="E805" s="475"/>
      <c r="F805" s="474"/>
      <c r="G805" s="475"/>
      <c r="H805" s="474"/>
      <c r="I805" s="474"/>
      <c r="J805" s="475"/>
      <c r="K805" s="475"/>
      <c r="L805" s="475"/>
      <c r="M805" s="475"/>
      <c r="N805" s="475"/>
      <c r="O805" s="475"/>
      <c r="P805" s="475"/>
      <c r="Q805" s="475"/>
      <c r="R805" s="475"/>
      <c r="S805" s="475"/>
      <c r="T805" s="475"/>
      <c r="U805" s="475"/>
      <c r="V805" s="475"/>
      <c r="W805" s="475"/>
      <c r="X805" s="475"/>
      <c r="Y805" s="475"/>
      <c r="Z805" s="475"/>
      <c r="AA805" s="475"/>
      <c r="AB805" s="475"/>
      <c r="AC805" s="475"/>
      <c r="AD805" s="475"/>
      <c r="AE805" s="475"/>
      <c r="AF805" s="475"/>
    </row>
    <row r="806" spans="2:32">
      <c r="B806" s="471"/>
      <c r="C806" s="475"/>
      <c r="D806" s="475"/>
      <c r="E806" s="475"/>
      <c r="F806" s="474"/>
      <c r="G806" s="475"/>
      <c r="H806" s="474"/>
      <c r="I806" s="474"/>
      <c r="J806" s="475"/>
      <c r="K806" s="475"/>
      <c r="L806" s="475"/>
      <c r="M806" s="475"/>
      <c r="N806" s="475"/>
      <c r="O806" s="475"/>
      <c r="P806" s="475"/>
      <c r="Q806" s="475"/>
      <c r="R806" s="475"/>
      <c r="S806" s="475"/>
      <c r="T806" s="475"/>
      <c r="U806" s="475"/>
      <c r="V806" s="475"/>
      <c r="W806" s="475"/>
      <c r="X806" s="475"/>
      <c r="Y806" s="475"/>
      <c r="Z806" s="475"/>
      <c r="AA806" s="475"/>
      <c r="AB806" s="475"/>
      <c r="AC806" s="475"/>
      <c r="AD806" s="475"/>
      <c r="AE806" s="475"/>
      <c r="AF806" s="475"/>
    </row>
    <row r="807" spans="2:32">
      <c r="B807" s="471"/>
      <c r="C807" s="475"/>
      <c r="D807" s="475"/>
      <c r="E807" s="475"/>
      <c r="F807" s="474"/>
      <c r="G807" s="475"/>
      <c r="H807" s="474"/>
      <c r="I807" s="474"/>
      <c r="J807" s="475"/>
      <c r="K807" s="475"/>
      <c r="L807" s="475"/>
      <c r="M807" s="475"/>
      <c r="N807" s="475"/>
      <c r="O807" s="475"/>
      <c r="P807" s="475"/>
      <c r="Q807" s="475"/>
      <c r="R807" s="475"/>
      <c r="S807" s="475"/>
      <c r="T807" s="475"/>
      <c r="U807" s="475"/>
      <c r="V807" s="475"/>
      <c r="W807" s="475"/>
      <c r="X807" s="475"/>
      <c r="Y807" s="475"/>
      <c r="Z807" s="475"/>
      <c r="AA807" s="475"/>
      <c r="AB807" s="475"/>
      <c r="AC807" s="475"/>
      <c r="AD807" s="475"/>
      <c r="AE807" s="475"/>
      <c r="AF807" s="475"/>
    </row>
    <row r="808" spans="2:32">
      <c r="B808" s="471"/>
      <c r="C808" s="475"/>
      <c r="D808" s="475"/>
      <c r="E808" s="475"/>
      <c r="F808" s="474"/>
      <c r="G808" s="475"/>
      <c r="H808" s="474"/>
      <c r="I808" s="474"/>
      <c r="J808" s="475"/>
      <c r="K808" s="475"/>
      <c r="L808" s="475"/>
      <c r="M808" s="475"/>
      <c r="N808" s="475"/>
      <c r="O808" s="475"/>
      <c r="P808" s="475"/>
      <c r="Q808" s="475"/>
      <c r="R808" s="475"/>
      <c r="S808" s="475"/>
      <c r="T808" s="475"/>
      <c r="U808" s="475"/>
      <c r="V808" s="475"/>
      <c r="W808" s="475"/>
      <c r="X808" s="475"/>
      <c r="Y808" s="475"/>
      <c r="Z808" s="475"/>
      <c r="AA808" s="475"/>
      <c r="AB808" s="475"/>
      <c r="AC808" s="475"/>
      <c r="AD808" s="475"/>
      <c r="AE808" s="475"/>
      <c r="AF808" s="475"/>
    </row>
    <row r="809" spans="2:32">
      <c r="B809" s="471"/>
      <c r="C809" s="475"/>
      <c r="D809" s="475"/>
      <c r="E809" s="475"/>
      <c r="F809" s="474"/>
      <c r="G809" s="475"/>
      <c r="H809" s="474"/>
      <c r="I809" s="474"/>
      <c r="J809" s="475"/>
      <c r="K809" s="475"/>
      <c r="L809" s="475"/>
      <c r="M809" s="475"/>
      <c r="N809" s="475"/>
      <c r="O809" s="475"/>
      <c r="P809" s="475"/>
      <c r="Q809" s="475"/>
      <c r="R809" s="475"/>
      <c r="S809" s="475"/>
      <c r="T809" s="475"/>
      <c r="U809" s="475"/>
      <c r="V809" s="475"/>
      <c r="W809" s="475"/>
      <c r="X809" s="475"/>
      <c r="Y809" s="475"/>
      <c r="Z809" s="475"/>
      <c r="AA809" s="475"/>
      <c r="AB809" s="475"/>
      <c r="AC809" s="475"/>
      <c r="AD809" s="475"/>
      <c r="AE809" s="475"/>
      <c r="AF809" s="475"/>
    </row>
    <row r="810" spans="2:32">
      <c r="B810" s="471"/>
      <c r="C810" s="475"/>
      <c r="D810" s="475"/>
      <c r="E810" s="475"/>
      <c r="F810" s="474"/>
      <c r="G810" s="475"/>
      <c r="H810" s="474"/>
      <c r="I810" s="474"/>
      <c r="J810" s="475"/>
      <c r="K810" s="475"/>
      <c r="L810" s="475"/>
      <c r="M810" s="475"/>
      <c r="N810" s="475"/>
      <c r="O810" s="475"/>
      <c r="P810" s="475"/>
      <c r="Q810" s="475"/>
      <c r="R810" s="475"/>
      <c r="S810" s="475"/>
      <c r="T810" s="475"/>
      <c r="U810" s="475"/>
      <c r="V810" s="475"/>
      <c r="W810" s="475"/>
      <c r="X810" s="475"/>
      <c r="Y810" s="475"/>
      <c r="Z810" s="475"/>
      <c r="AA810" s="475"/>
      <c r="AB810" s="475"/>
      <c r="AC810" s="475"/>
      <c r="AD810" s="475"/>
      <c r="AE810" s="475"/>
      <c r="AF810" s="475"/>
    </row>
    <row r="811" spans="2:32">
      <c r="B811" s="471"/>
      <c r="C811" s="475"/>
      <c r="D811" s="475"/>
      <c r="E811" s="475"/>
      <c r="F811" s="474"/>
      <c r="G811" s="475"/>
      <c r="H811" s="474"/>
      <c r="I811" s="474"/>
      <c r="J811" s="475"/>
      <c r="K811" s="475"/>
      <c r="L811" s="475"/>
      <c r="M811" s="475"/>
      <c r="N811" s="475"/>
      <c r="O811" s="475"/>
      <c r="P811" s="475"/>
      <c r="Q811" s="475"/>
      <c r="R811" s="475"/>
      <c r="S811" s="475"/>
      <c r="T811" s="475"/>
      <c r="U811" s="475"/>
      <c r="V811" s="475"/>
      <c r="W811" s="475"/>
      <c r="X811" s="475"/>
      <c r="Y811" s="475"/>
      <c r="Z811" s="475"/>
      <c r="AA811" s="475"/>
      <c r="AB811" s="475"/>
      <c r="AC811" s="475"/>
      <c r="AD811" s="475"/>
      <c r="AE811" s="475"/>
      <c r="AF811" s="475"/>
    </row>
    <row r="812" spans="2:32">
      <c r="B812" s="471"/>
      <c r="C812" s="475"/>
      <c r="D812" s="475"/>
      <c r="E812" s="475"/>
      <c r="F812" s="474"/>
      <c r="G812" s="475"/>
      <c r="H812" s="474"/>
      <c r="I812" s="474"/>
      <c r="J812" s="475"/>
      <c r="K812" s="475"/>
      <c r="L812" s="475"/>
      <c r="M812" s="475"/>
      <c r="N812" s="475"/>
      <c r="O812" s="475"/>
      <c r="P812" s="475"/>
      <c r="Q812" s="475"/>
      <c r="R812" s="475"/>
      <c r="S812" s="475"/>
      <c r="T812" s="475"/>
      <c r="U812" s="475"/>
      <c r="V812" s="475"/>
      <c r="W812" s="475"/>
      <c r="X812" s="475"/>
      <c r="Y812" s="475"/>
      <c r="Z812" s="475"/>
      <c r="AA812" s="475"/>
      <c r="AB812" s="475"/>
      <c r="AC812" s="475"/>
      <c r="AD812" s="475"/>
      <c r="AE812" s="475"/>
      <c r="AF812" s="475"/>
    </row>
    <row r="813" spans="2:32">
      <c r="B813" s="471"/>
      <c r="C813" s="475"/>
      <c r="D813" s="475"/>
      <c r="E813" s="475"/>
      <c r="F813" s="474"/>
      <c r="G813" s="475"/>
      <c r="H813" s="474"/>
      <c r="I813" s="474"/>
      <c r="J813" s="475"/>
      <c r="K813" s="475"/>
      <c r="L813" s="475"/>
      <c r="M813" s="475"/>
      <c r="N813" s="475"/>
      <c r="O813" s="475"/>
      <c r="P813" s="475"/>
      <c r="Q813" s="475"/>
      <c r="R813" s="475"/>
      <c r="S813" s="475"/>
      <c r="T813" s="475"/>
      <c r="U813" s="475"/>
      <c r="V813" s="475"/>
      <c r="W813" s="475"/>
      <c r="X813" s="475"/>
      <c r="Y813" s="475"/>
      <c r="Z813" s="475"/>
      <c r="AA813" s="475"/>
      <c r="AB813" s="475"/>
      <c r="AC813" s="475"/>
      <c r="AD813" s="475"/>
      <c r="AE813" s="475"/>
      <c r="AF813" s="475"/>
    </row>
    <row r="814" spans="2:32">
      <c r="B814" s="471"/>
      <c r="C814" s="475"/>
      <c r="D814" s="475"/>
      <c r="E814" s="475"/>
      <c r="F814" s="474"/>
      <c r="G814" s="475"/>
      <c r="H814" s="474"/>
      <c r="I814" s="474"/>
      <c r="J814" s="475"/>
      <c r="K814" s="475"/>
      <c r="L814" s="475"/>
      <c r="M814" s="475"/>
      <c r="N814" s="475"/>
      <c r="O814" s="475"/>
      <c r="P814" s="475"/>
      <c r="Q814" s="475"/>
      <c r="R814" s="475"/>
      <c r="S814" s="475"/>
      <c r="T814" s="475"/>
      <c r="U814" s="475"/>
      <c r="V814" s="475"/>
      <c r="W814" s="475"/>
      <c r="X814" s="475"/>
      <c r="Y814" s="475"/>
      <c r="Z814" s="475"/>
      <c r="AA814" s="475"/>
      <c r="AB814" s="475"/>
      <c r="AC814" s="475"/>
      <c r="AD814" s="475"/>
      <c r="AE814" s="475"/>
      <c r="AF814" s="475"/>
    </row>
    <row r="815" spans="2:32">
      <c r="B815" s="471"/>
      <c r="C815" s="475"/>
      <c r="D815" s="475"/>
      <c r="E815" s="475"/>
      <c r="F815" s="474"/>
      <c r="G815" s="475"/>
      <c r="H815" s="474"/>
      <c r="I815" s="474"/>
      <c r="J815" s="475"/>
      <c r="K815" s="475"/>
      <c r="L815" s="475"/>
      <c r="M815" s="475"/>
      <c r="N815" s="475"/>
      <c r="O815" s="475"/>
      <c r="P815" s="475"/>
      <c r="Q815" s="475"/>
      <c r="R815" s="475"/>
      <c r="S815" s="475"/>
      <c r="T815" s="475"/>
      <c r="U815" s="475"/>
      <c r="V815" s="475"/>
      <c r="W815" s="475"/>
      <c r="X815" s="475"/>
      <c r="Y815" s="475"/>
      <c r="Z815" s="475"/>
      <c r="AA815" s="475"/>
      <c r="AB815" s="475"/>
      <c r="AC815" s="475"/>
      <c r="AD815" s="475"/>
      <c r="AE815" s="475"/>
      <c r="AF815" s="475"/>
    </row>
    <row r="816" spans="2:32">
      <c r="B816" s="471"/>
      <c r="C816" s="475"/>
      <c r="D816" s="475"/>
      <c r="E816" s="475"/>
      <c r="F816" s="474"/>
      <c r="G816" s="475"/>
      <c r="H816" s="474"/>
      <c r="I816" s="474"/>
      <c r="J816" s="475"/>
      <c r="K816" s="475"/>
      <c r="L816" s="475"/>
      <c r="M816" s="475"/>
      <c r="N816" s="475"/>
      <c r="O816" s="475"/>
      <c r="P816" s="475"/>
      <c r="Q816" s="475"/>
      <c r="R816" s="475"/>
      <c r="S816" s="475"/>
      <c r="T816" s="475"/>
      <c r="U816" s="475"/>
      <c r="V816" s="475"/>
      <c r="W816" s="475"/>
      <c r="X816" s="475"/>
      <c r="Y816" s="475"/>
      <c r="Z816" s="475"/>
      <c r="AA816" s="475"/>
      <c r="AB816" s="475"/>
      <c r="AC816" s="475"/>
      <c r="AD816" s="475"/>
      <c r="AE816" s="475"/>
      <c r="AF816" s="475"/>
    </row>
    <row r="817" spans="2:32">
      <c r="B817" s="471"/>
      <c r="C817" s="475"/>
      <c r="D817" s="475"/>
      <c r="E817" s="475"/>
      <c r="F817" s="474"/>
      <c r="G817" s="475"/>
      <c r="H817" s="474"/>
      <c r="I817" s="474"/>
      <c r="J817" s="475"/>
      <c r="K817" s="475"/>
      <c r="L817" s="475"/>
      <c r="M817" s="475"/>
      <c r="N817" s="475"/>
      <c r="O817" s="475"/>
      <c r="P817" s="475"/>
      <c r="Q817" s="475"/>
      <c r="R817" s="475"/>
      <c r="S817" s="475"/>
      <c r="T817" s="475"/>
      <c r="U817" s="475"/>
      <c r="V817" s="475"/>
      <c r="W817" s="475"/>
      <c r="X817" s="475"/>
      <c r="Y817" s="475"/>
      <c r="Z817" s="475"/>
      <c r="AA817" s="475"/>
      <c r="AB817" s="475"/>
      <c r="AC817" s="475"/>
      <c r="AD817" s="475"/>
      <c r="AE817" s="475"/>
      <c r="AF817" s="475"/>
    </row>
    <row r="818" spans="2:32">
      <c r="B818" s="471"/>
      <c r="C818" s="475"/>
      <c r="D818" s="475"/>
      <c r="E818" s="475"/>
      <c r="F818" s="474"/>
      <c r="G818" s="475"/>
      <c r="H818" s="474"/>
      <c r="I818" s="474"/>
      <c r="J818" s="475"/>
      <c r="K818" s="475"/>
      <c r="L818" s="475"/>
      <c r="M818" s="475"/>
      <c r="N818" s="475"/>
      <c r="O818" s="475"/>
      <c r="P818" s="475"/>
      <c r="Q818" s="475"/>
      <c r="R818" s="475"/>
      <c r="S818" s="475"/>
      <c r="T818" s="475"/>
      <c r="U818" s="475"/>
      <c r="V818" s="475"/>
      <c r="W818" s="475"/>
      <c r="X818" s="475"/>
      <c r="Y818" s="475"/>
      <c r="Z818" s="475"/>
      <c r="AA818" s="475"/>
      <c r="AB818" s="475"/>
      <c r="AC818" s="475"/>
      <c r="AD818" s="475"/>
      <c r="AE818" s="475"/>
      <c r="AF818" s="475"/>
    </row>
    <row r="819" spans="2:32">
      <c r="B819" s="471"/>
      <c r="C819" s="475"/>
      <c r="D819" s="475"/>
      <c r="E819" s="475"/>
      <c r="F819" s="474"/>
      <c r="G819" s="475"/>
      <c r="H819" s="474"/>
      <c r="I819" s="474"/>
      <c r="J819" s="475"/>
      <c r="K819" s="475"/>
      <c r="L819" s="475"/>
      <c r="M819" s="475"/>
      <c r="N819" s="475"/>
      <c r="O819" s="475"/>
      <c r="P819" s="475"/>
      <c r="Q819" s="475"/>
      <c r="R819" s="475"/>
      <c r="S819" s="475"/>
      <c r="T819" s="475"/>
      <c r="U819" s="475"/>
      <c r="V819" s="475"/>
      <c r="W819" s="475"/>
      <c r="X819" s="475"/>
      <c r="Y819" s="475"/>
      <c r="Z819" s="475"/>
      <c r="AA819" s="475"/>
      <c r="AB819" s="475"/>
      <c r="AC819" s="475"/>
      <c r="AD819" s="475"/>
      <c r="AE819" s="475"/>
      <c r="AF819" s="475"/>
    </row>
    <row r="820" spans="2:32">
      <c r="B820" s="471"/>
      <c r="C820" s="475"/>
      <c r="D820" s="475"/>
      <c r="E820" s="475"/>
      <c r="F820" s="474"/>
      <c r="G820" s="475"/>
      <c r="H820" s="474"/>
      <c r="I820" s="474"/>
      <c r="J820" s="475"/>
      <c r="K820" s="475"/>
      <c r="L820" s="475"/>
      <c r="M820" s="475"/>
      <c r="N820" s="475"/>
      <c r="O820" s="475"/>
      <c r="P820" s="475"/>
      <c r="Q820" s="475"/>
      <c r="R820" s="475"/>
      <c r="S820" s="475"/>
      <c r="T820" s="475"/>
      <c r="U820" s="475"/>
      <c r="V820" s="475"/>
      <c r="W820" s="475"/>
      <c r="X820" s="475"/>
      <c r="Y820" s="475"/>
      <c r="Z820" s="475"/>
      <c r="AA820" s="475"/>
      <c r="AB820" s="475"/>
      <c r="AC820" s="475"/>
      <c r="AD820" s="475"/>
      <c r="AE820" s="475"/>
      <c r="AF820" s="475"/>
    </row>
    <row r="821" spans="2:32">
      <c r="B821" s="471"/>
      <c r="C821" s="475"/>
      <c r="D821" s="475"/>
      <c r="E821" s="475"/>
      <c r="F821" s="474"/>
      <c r="G821" s="475"/>
      <c r="H821" s="474"/>
      <c r="I821" s="474"/>
      <c r="J821" s="475"/>
      <c r="K821" s="475"/>
      <c r="L821" s="475"/>
      <c r="M821" s="475"/>
      <c r="N821" s="475"/>
      <c r="O821" s="475"/>
      <c r="P821" s="475"/>
      <c r="Q821" s="475"/>
      <c r="R821" s="475"/>
      <c r="S821" s="475"/>
      <c r="T821" s="475"/>
      <c r="U821" s="475"/>
      <c r="V821" s="475"/>
      <c r="W821" s="475"/>
      <c r="X821" s="475"/>
      <c r="Y821" s="475"/>
      <c r="Z821" s="475"/>
      <c r="AA821" s="475"/>
      <c r="AB821" s="475"/>
      <c r="AC821" s="475"/>
      <c r="AD821" s="475"/>
      <c r="AE821" s="475"/>
      <c r="AF821" s="475"/>
    </row>
    <row r="822" spans="2:32">
      <c r="B822" s="471"/>
      <c r="C822" s="475"/>
      <c r="D822" s="475"/>
      <c r="E822" s="475"/>
      <c r="F822" s="474"/>
      <c r="G822" s="475"/>
      <c r="H822" s="474"/>
      <c r="I822" s="474"/>
      <c r="J822" s="475"/>
      <c r="K822" s="475"/>
      <c r="L822" s="475"/>
      <c r="M822" s="475"/>
      <c r="N822" s="475"/>
      <c r="O822" s="475"/>
      <c r="P822" s="475"/>
      <c r="Q822" s="475"/>
      <c r="R822" s="475"/>
      <c r="S822" s="475"/>
      <c r="T822" s="475"/>
      <c r="U822" s="475"/>
      <c r="V822" s="475"/>
      <c r="W822" s="475"/>
      <c r="X822" s="475"/>
      <c r="Y822" s="475"/>
      <c r="Z822" s="475"/>
      <c r="AA822" s="475"/>
      <c r="AB822" s="475"/>
      <c r="AC822" s="475"/>
      <c r="AD822" s="475"/>
      <c r="AE822" s="475"/>
      <c r="AF822" s="475"/>
    </row>
    <row r="823" spans="2:32">
      <c r="B823" s="471"/>
      <c r="C823" s="475"/>
      <c r="D823" s="475"/>
      <c r="E823" s="475"/>
      <c r="F823" s="474"/>
      <c r="G823" s="475"/>
      <c r="H823" s="474"/>
      <c r="I823" s="474"/>
      <c r="J823" s="475"/>
      <c r="K823" s="475"/>
      <c r="L823" s="475"/>
      <c r="M823" s="475"/>
      <c r="N823" s="475"/>
      <c r="O823" s="475"/>
      <c r="P823" s="475"/>
      <c r="Q823" s="475"/>
      <c r="R823" s="475"/>
      <c r="S823" s="475"/>
      <c r="T823" s="475"/>
      <c r="U823" s="475"/>
      <c r="V823" s="475"/>
      <c r="W823" s="475"/>
      <c r="X823" s="475"/>
      <c r="Y823" s="475"/>
      <c r="Z823" s="475"/>
      <c r="AA823" s="475"/>
      <c r="AB823" s="475"/>
      <c r="AC823" s="475"/>
      <c r="AD823" s="475"/>
      <c r="AE823" s="475"/>
      <c r="AF823" s="475"/>
    </row>
    <row r="824" spans="2:32">
      <c r="B824" s="471"/>
      <c r="C824" s="475"/>
      <c r="D824" s="475"/>
      <c r="E824" s="475"/>
      <c r="F824" s="474"/>
      <c r="G824" s="475"/>
      <c r="H824" s="474"/>
      <c r="I824" s="474"/>
      <c r="J824" s="475"/>
      <c r="K824" s="475"/>
      <c r="L824" s="475"/>
      <c r="M824" s="475"/>
      <c r="N824" s="475"/>
      <c r="O824" s="475"/>
      <c r="P824" s="475"/>
      <c r="Q824" s="475"/>
      <c r="R824" s="475"/>
      <c r="S824" s="475"/>
      <c r="T824" s="475"/>
      <c r="U824" s="475"/>
      <c r="V824" s="475"/>
      <c r="W824" s="475"/>
      <c r="X824" s="475"/>
      <c r="Y824" s="475"/>
      <c r="Z824" s="475"/>
      <c r="AA824" s="475"/>
      <c r="AB824" s="475"/>
      <c r="AC824" s="475"/>
      <c r="AD824" s="475"/>
      <c r="AE824" s="475"/>
      <c r="AF824" s="475"/>
    </row>
    <row r="825" spans="2:32">
      <c r="B825" s="471"/>
      <c r="C825" s="475"/>
      <c r="D825" s="475"/>
      <c r="E825" s="475"/>
      <c r="F825" s="474"/>
      <c r="G825" s="475"/>
      <c r="H825" s="474"/>
      <c r="I825" s="474"/>
      <c r="J825" s="475"/>
      <c r="K825" s="475"/>
      <c r="L825" s="475"/>
      <c r="M825" s="475"/>
      <c r="N825" s="475"/>
      <c r="O825" s="475"/>
      <c r="P825" s="475"/>
      <c r="Q825" s="475"/>
      <c r="R825" s="475"/>
      <c r="S825" s="475"/>
      <c r="T825" s="475"/>
      <c r="U825" s="475"/>
      <c r="V825" s="475"/>
      <c r="W825" s="475"/>
      <c r="X825" s="475"/>
      <c r="Y825" s="475"/>
      <c r="Z825" s="475"/>
      <c r="AA825" s="475"/>
      <c r="AB825" s="475"/>
      <c r="AC825" s="475"/>
      <c r="AD825" s="475"/>
      <c r="AE825" s="475"/>
      <c r="AF825" s="475"/>
    </row>
    <row r="826" spans="2:32">
      <c r="B826" s="471"/>
      <c r="C826" s="475"/>
      <c r="D826" s="475"/>
      <c r="E826" s="475"/>
      <c r="F826" s="474"/>
      <c r="G826" s="475"/>
      <c r="H826" s="474"/>
      <c r="I826" s="474"/>
      <c r="J826" s="475"/>
      <c r="K826" s="475"/>
      <c r="L826" s="475"/>
      <c r="M826" s="475"/>
      <c r="N826" s="475"/>
      <c r="O826" s="475"/>
      <c r="P826" s="475"/>
      <c r="Q826" s="475"/>
      <c r="R826" s="475"/>
      <c r="S826" s="475"/>
      <c r="T826" s="475"/>
      <c r="U826" s="475"/>
      <c r="V826" s="475"/>
      <c r="W826" s="475"/>
      <c r="X826" s="475"/>
      <c r="Y826" s="475"/>
      <c r="Z826" s="475"/>
      <c r="AA826" s="475"/>
      <c r="AB826" s="475"/>
      <c r="AC826" s="475"/>
      <c r="AD826" s="475"/>
      <c r="AE826" s="475"/>
      <c r="AF826" s="475"/>
    </row>
    <row r="827" spans="2:32">
      <c r="B827" s="471"/>
      <c r="C827" s="475"/>
      <c r="D827" s="475"/>
      <c r="E827" s="475"/>
      <c r="F827" s="474"/>
      <c r="G827" s="475"/>
      <c r="H827" s="474"/>
      <c r="I827" s="474"/>
      <c r="J827" s="475"/>
      <c r="K827" s="475"/>
      <c r="L827" s="475"/>
      <c r="M827" s="475"/>
      <c r="N827" s="475"/>
      <c r="O827" s="475"/>
      <c r="P827" s="475"/>
      <c r="Q827" s="475"/>
      <c r="R827" s="475"/>
      <c r="S827" s="475"/>
      <c r="T827" s="475"/>
      <c r="U827" s="475"/>
      <c r="V827" s="475"/>
      <c r="W827" s="475"/>
      <c r="X827" s="475"/>
      <c r="Y827" s="475"/>
      <c r="Z827" s="475"/>
      <c r="AA827" s="475"/>
      <c r="AB827" s="475"/>
      <c r="AC827" s="475"/>
      <c r="AD827" s="475"/>
      <c r="AE827" s="475"/>
      <c r="AF827" s="475"/>
    </row>
    <row r="828" spans="2:32">
      <c r="B828" s="471"/>
      <c r="C828" s="475"/>
      <c r="D828" s="475"/>
      <c r="E828" s="475"/>
      <c r="F828" s="474"/>
      <c r="G828" s="475"/>
      <c r="H828" s="474"/>
      <c r="I828" s="474"/>
      <c r="J828" s="475"/>
      <c r="K828" s="475"/>
      <c r="L828" s="475"/>
      <c r="M828" s="475"/>
      <c r="N828" s="475"/>
      <c r="O828" s="475"/>
      <c r="P828" s="475"/>
      <c r="Q828" s="475"/>
      <c r="R828" s="475"/>
      <c r="S828" s="475"/>
      <c r="T828" s="475"/>
      <c r="U828" s="475"/>
      <c r="V828" s="475"/>
      <c r="W828" s="475"/>
      <c r="X828" s="475"/>
      <c r="Y828" s="475"/>
      <c r="Z828" s="475"/>
      <c r="AA828" s="475"/>
      <c r="AB828" s="475"/>
      <c r="AC828" s="475"/>
      <c r="AD828" s="475"/>
      <c r="AE828" s="475"/>
      <c r="AF828" s="475"/>
    </row>
    <row r="829" spans="2:32">
      <c r="B829" s="471"/>
      <c r="C829" s="475"/>
      <c r="D829" s="475"/>
      <c r="E829" s="475"/>
      <c r="F829" s="474"/>
      <c r="G829" s="475"/>
      <c r="H829" s="474"/>
      <c r="I829" s="474"/>
      <c r="J829" s="475"/>
      <c r="K829" s="475"/>
      <c r="L829" s="475"/>
      <c r="M829" s="475"/>
      <c r="N829" s="475"/>
      <c r="O829" s="475"/>
      <c r="P829" s="475"/>
      <c r="Q829" s="475"/>
      <c r="R829" s="475"/>
      <c r="S829" s="475"/>
      <c r="T829" s="475"/>
      <c r="U829" s="475"/>
      <c r="V829" s="475"/>
      <c r="W829" s="475"/>
      <c r="X829" s="475"/>
      <c r="Y829" s="475"/>
      <c r="Z829" s="475"/>
      <c r="AA829" s="475"/>
      <c r="AB829" s="475"/>
      <c r="AC829" s="475"/>
      <c r="AD829" s="475"/>
      <c r="AE829" s="475"/>
      <c r="AF829" s="475"/>
    </row>
    <row r="830" spans="2:32">
      <c r="B830" s="471"/>
      <c r="C830" s="475"/>
      <c r="D830" s="475"/>
      <c r="E830" s="475"/>
      <c r="F830" s="474"/>
      <c r="G830" s="475"/>
      <c r="H830" s="474"/>
      <c r="I830" s="474"/>
      <c r="J830" s="475"/>
      <c r="K830" s="475"/>
      <c r="L830" s="475"/>
      <c r="M830" s="475"/>
      <c r="N830" s="475"/>
      <c r="O830" s="475"/>
      <c r="P830" s="475"/>
      <c r="Q830" s="475"/>
      <c r="R830" s="475"/>
      <c r="S830" s="475"/>
      <c r="T830" s="475"/>
      <c r="U830" s="475"/>
      <c r="V830" s="475"/>
      <c r="W830" s="475"/>
      <c r="X830" s="475"/>
      <c r="Y830" s="475"/>
      <c r="Z830" s="475"/>
      <c r="AA830" s="475"/>
      <c r="AB830" s="475"/>
      <c r="AC830" s="475"/>
      <c r="AD830" s="475"/>
      <c r="AE830" s="475"/>
      <c r="AF830" s="475"/>
    </row>
    <row r="831" spans="2:32">
      <c r="B831" s="471"/>
      <c r="C831" s="475"/>
      <c r="D831" s="475"/>
      <c r="E831" s="475"/>
      <c r="F831" s="474"/>
      <c r="G831" s="475"/>
      <c r="H831" s="474"/>
      <c r="I831" s="474"/>
      <c r="J831" s="475"/>
      <c r="K831" s="475"/>
      <c r="L831" s="475"/>
      <c r="M831" s="475"/>
      <c r="N831" s="475"/>
      <c r="O831" s="475"/>
      <c r="P831" s="475"/>
      <c r="Q831" s="475"/>
      <c r="R831" s="475"/>
      <c r="S831" s="475"/>
      <c r="T831" s="475"/>
      <c r="U831" s="475"/>
      <c r="V831" s="475"/>
      <c r="W831" s="475"/>
      <c r="X831" s="475"/>
      <c r="Y831" s="475"/>
      <c r="Z831" s="475"/>
      <c r="AA831" s="475"/>
      <c r="AB831" s="475"/>
      <c r="AC831" s="475"/>
      <c r="AD831" s="475"/>
      <c r="AE831" s="475"/>
      <c r="AF831" s="475"/>
    </row>
    <row r="832" spans="2:32">
      <c r="B832" s="471"/>
      <c r="C832" s="475"/>
      <c r="D832" s="475"/>
      <c r="E832" s="475"/>
      <c r="F832" s="474"/>
      <c r="G832" s="475"/>
      <c r="H832" s="474"/>
      <c r="I832" s="474"/>
      <c r="J832" s="475"/>
      <c r="K832" s="475"/>
      <c r="L832" s="475"/>
      <c r="M832" s="475"/>
      <c r="N832" s="475"/>
      <c r="O832" s="475"/>
      <c r="P832" s="475"/>
      <c r="Q832" s="475"/>
      <c r="R832" s="475"/>
      <c r="S832" s="475"/>
      <c r="T832" s="475"/>
      <c r="U832" s="475"/>
      <c r="V832" s="475"/>
      <c r="W832" s="475"/>
      <c r="X832" s="475"/>
      <c r="Y832" s="475"/>
      <c r="Z832" s="475"/>
      <c r="AA832" s="475"/>
      <c r="AB832" s="475"/>
      <c r="AC832" s="475"/>
      <c r="AD832" s="475"/>
      <c r="AE832" s="475"/>
      <c r="AF832" s="475"/>
    </row>
    <row r="833" spans="2:32">
      <c r="B833" s="471"/>
      <c r="C833" s="475"/>
      <c r="D833" s="475"/>
      <c r="E833" s="475"/>
      <c r="F833" s="474"/>
      <c r="G833" s="475"/>
      <c r="H833" s="474"/>
      <c r="I833" s="474"/>
      <c r="J833" s="475"/>
      <c r="K833" s="475"/>
      <c r="L833" s="475"/>
      <c r="M833" s="475"/>
      <c r="N833" s="475"/>
      <c r="O833" s="475"/>
      <c r="P833" s="475"/>
      <c r="Q833" s="475"/>
      <c r="R833" s="475"/>
      <c r="S833" s="475"/>
      <c r="T833" s="475"/>
      <c r="U833" s="475"/>
      <c r="V833" s="475"/>
      <c r="W833" s="475"/>
      <c r="X833" s="475"/>
      <c r="Y833" s="475"/>
      <c r="Z833" s="475"/>
      <c r="AA833" s="475"/>
      <c r="AB833" s="475"/>
      <c r="AC833" s="475"/>
      <c r="AD833" s="475"/>
      <c r="AE833" s="475"/>
      <c r="AF833" s="475"/>
    </row>
    <row r="834" spans="2:32">
      <c r="B834" s="471"/>
      <c r="C834" s="475"/>
      <c r="D834" s="475"/>
      <c r="E834" s="475"/>
      <c r="F834" s="474"/>
      <c r="G834" s="475"/>
      <c r="H834" s="474"/>
      <c r="I834" s="474"/>
      <c r="J834" s="475"/>
      <c r="K834" s="475"/>
      <c r="L834" s="475"/>
      <c r="M834" s="475"/>
      <c r="N834" s="475"/>
      <c r="O834" s="475"/>
      <c r="P834" s="475"/>
      <c r="Q834" s="475"/>
      <c r="R834" s="475"/>
      <c r="S834" s="475"/>
      <c r="T834" s="475"/>
      <c r="U834" s="475"/>
      <c r="V834" s="475"/>
      <c r="W834" s="475"/>
      <c r="X834" s="475"/>
      <c r="Y834" s="475"/>
      <c r="Z834" s="475"/>
      <c r="AA834" s="475"/>
      <c r="AB834" s="475"/>
      <c r="AC834" s="475"/>
      <c r="AD834" s="475"/>
      <c r="AE834" s="475"/>
      <c r="AF834" s="475"/>
    </row>
    <row r="835" spans="2:32">
      <c r="B835" s="471"/>
      <c r="C835" s="475"/>
      <c r="D835" s="475"/>
      <c r="E835" s="475"/>
      <c r="F835" s="474"/>
      <c r="G835" s="475"/>
      <c r="H835" s="474"/>
      <c r="I835" s="474"/>
      <c r="J835" s="475"/>
      <c r="K835" s="475"/>
      <c r="L835" s="475"/>
      <c r="M835" s="475"/>
      <c r="N835" s="475"/>
      <c r="O835" s="475"/>
      <c r="P835" s="475"/>
      <c r="Q835" s="475"/>
      <c r="R835" s="475"/>
      <c r="S835" s="475"/>
      <c r="T835" s="475"/>
      <c r="U835" s="475"/>
      <c r="V835" s="475"/>
      <c r="W835" s="475"/>
      <c r="X835" s="475"/>
      <c r="Y835" s="475"/>
      <c r="Z835" s="475"/>
      <c r="AA835" s="475"/>
      <c r="AB835" s="475"/>
      <c r="AC835" s="475"/>
      <c r="AD835" s="475"/>
      <c r="AE835" s="475"/>
      <c r="AF835" s="475"/>
    </row>
    <row r="836" spans="2:32">
      <c r="B836" s="471"/>
      <c r="C836" s="475"/>
      <c r="D836" s="475"/>
      <c r="E836" s="475"/>
      <c r="F836" s="474"/>
      <c r="G836" s="475"/>
      <c r="H836" s="474"/>
      <c r="I836" s="474"/>
      <c r="J836" s="475"/>
      <c r="K836" s="475"/>
      <c r="L836" s="475"/>
      <c r="M836" s="475"/>
      <c r="N836" s="475"/>
      <c r="O836" s="475"/>
      <c r="P836" s="475"/>
      <c r="Q836" s="475"/>
      <c r="R836" s="475"/>
      <c r="S836" s="475"/>
      <c r="T836" s="475"/>
      <c r="U836" s="475"/>
      <c r="V836" s="475"/>
      <c r="W836" s="475"/>
      <c r="X836" s="475"/>
      <c r="Y836" s="475"/>
      <c r="Z836" s="475"/>
      <c r="AA836" s="475"/>
      <c r="AB836" s="475"/>
      <c r="AC836" s="475"/>
      <c r="AD836" s="475"/>
      <c r="AE836" s="475"/>
      <c r="AF836" s="475"/>
    </row>
    <row r="837" spans="2:32">
      <c r="B837" s="471"/>
      <c r="C837" s="475"/>
      <c r="D837" s="475"/>
      <c r="E837" s="475"/>
      <c r="F837" s="474"/>
      <c r="G837" s="475"/>
      <c r="H837" s="474"/>
      <c r="I837" s="474"/>
      <c r="J837" s="475"/>
      <c r="K837" s="475"/>
      <c r="L837" s="475"/>
      <c r="M837" s="475"/>
      <c r="N837" s="475"/>
      <c r="O837" s="475"/>
      <c r="P837" s="475"/>
      <c r="Q837" s="475"/>
      <c r="R837" s="475"/>
      <c r="S837" s="475"/>
      <c r="T837" s="475"/>
      <c r="U837" s="475"/>
      <c r="V837" s="475"/>
      <c r="W837" s="475"/>
      <c r="X837" s="475"/>
      <c r="Y837" s="475"/>
      <c r="Z837" s="475"/>
      <c r="AA837" s="475"/>
      <c r="AB837" s="475"/>
      <c r="AC837" s="475"/>
      <c r="AD837" s="475"/>
      <c r="AE837" s="475"/>
      <c r="AF837" s="475"/>
    </row>
    <row r="838" spans="2:32">
      <c r="B838" s="471"/>
      <c r="C838" s="475"/>
      <c r="D838" s="475"/>
      <c r="E838" s="475"/>
      <c r="F838" s="474"/>
      <c r="G838" s="475"/>
      <c r="H838" s="474"/>
      <c r="I838" s="474"/>
      <c r="J838" s="475"/>
      <c r="K838" s="475"/>
      <c r="L838" s="475"/>
      <c r="M838" s="475"/>
      <c r="N838" s="475"/>
      <c r="O838" s="475"/>
      <c r="P838" s="475"/>
      <c r="Q838" s="475"/>
      <c r="R838" s="475"/>
      <c r="S838" s="475"/>
      <c r="T838" s="475"/>
      <c r="U838" s="475"/>
      <c r="V838" s="475"/>
      <c r="W838" s="475"/>
      <c r="X838" s="475"/>
      <c r="Y838" s="475"/>
      <c r="Z838" s="475"/>
      <c r="AA838" s="475"/>
      <c r="AB838" s="475"/>
      <c r="AC838" s="475"/>
      <c r="AD838" s="475"/>
      <c r="AE838" s="475"/>
      <c r="AF838" s="475"/>
    </row>
    <row r="839" spans="2:32">
      <c r="B839" s="471"/>
      <c r="C839" s="475"/>
      <c r="D839" s="475"/>
      <c r="E839" s="475"/>
      <c r="F839" s="474"/>
      <c r="G839" s="475"/>
      <c r="H839" s="474"/>
      <c r="I839" s="474"/>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row>
    <row r="840" spans="2:32">
      <c r="B840" s="471"/>
      <c r="C840" s="475"/>
      <c r="D840" s="475"/>
      <c r="E840" s="475"/>
      <c r="F840" s="474"/>
      <c r="G840" s="475"/>
      <c r="H840" s="474"/>
      <c r="I840" s="474"/>
      <c r="J840" s="475"/>
      <c r="K840" s="475"/>
      <c r="L840" s="475"/>
      <c r="M840" s="475"/>
      <c r="N840" s="475"/>
      <c r="O840" s="475"/>
      <c r="P840" s="475"/>
      <c r="Q840" s="475"/>
      <c r="R840" s="475"/>
      <c r="S840" s="475"/>
      <c r="T840" s="475"/>
      <c r="U840" s="475"/>
      <c r="V840" s="475"/>
      <c r="W840" s="475"/>
      <c r="X840" s="475"/>
      <c r="Y840" s="475"/>
      <c r="Z840" s="475"/>
      <c r="AA840" s="475"/>
      <c r="AB840" s="475"/>
      <c r="AC840" s="475"/>
      <c r="AD840" s="475"/>
      <c r="AE840" s="475"/>
      <c r="AF840" s="475"/>
    </row>
    <row r="841" spans="2:32">
      <c r="B841" s="471"/>
      <c r="C841" s="475"/>
      <c r="D841" s="475"/>
      <c r="E841" s="475"/>
      <c r="F841" s="474"/>
      <c r="G841" s="475"/>
      <c r="H841" s="474"/>
      <c r="I841" s="474"/>
      <c r="J841" s="475"/>
      <c r="K841" s="475"/>
      <c r="L841" s="475"/>
      <c r="M841" s="475"/>
      <c r="N841" s="475"/>
      <c r="O841" s="475"/>
      <c r="P841" s="475"/>
      <c r="Q841" s="475"/>
      <c r="R841" s="475"/>
      <c r="S841" s="475"/>
      <c r="T841" s="475"/>
      <c r="U841" s="475"/>
      <c r="V841" s="475"/>
      <c r="W841" s="475"/>
      <c r="X841" s="475"/>
      <c r="Y841" s="475"/>
      <c r="Z841" s="475"/>
      <c r="AA841" s="475"/>
      <c r="AB841" s="475"/>
      <c r="AC841" s="475"/>
      <c r="AD841" s="475"/>
      <c r="AE841" s="475"/>
      <c r="AF841" s="475"/>
    </row>
    <row r="842" spans="2:32">
      <c r="B842" s="471"/>
      <c r="C842" s="475"/>
      <c r="D842" s="475"/>
      <c r="E842" s="475"/>
      <c r="F842" s="474"/>
      <c r="G842" s="475"/>
      <c r="H842" s="474"/>
      <c r="I842" s="474"/>
      <c r="J842" s="475"/>
      <c r="K842" s="475"/>
      <c r="L842" s="475"/>
      <c r="M842" s="475"/>
      <c r="N842" s="475"/>
      <c r="O842" s="475"/>
      <c r="P842" s="475"/>
      <c r="Q842" s="475"/>
      <c r="R842" s="475"/>
      <c r="S842" s="475"/>
      <c r="T842" s="475"/>
      <c r="U842" s="475"/>
      <c r="V842" s="475"/>
      <c r="W842" s="475"/>
      <c r="X842" s="475"/>
      <c r="Y842" s="475"/>
      <c r="Z842" s="475"/>
      <c r="AA842" s="475"/>
      <c r="AB842" s="475"/>
      <c r="AC842" s="475"/>
      <c r="AD842" s="475"/>
      <c r="AE842" s="475"/>
      <c r="AF842" s="475"/>
    </row>
    <row r="843" spans="2:32">
      <c r="B843" s="471"/>
      <c r="C843" s="475"/>
      <c r="D843" s="475"/>
      <c r="E843" s="475"/>
      <c r="F843" s="474"/>
      <c r="G843" s="475"/>
      <c r="H843" s="474"/>
      <c r="I843" s="474"/>
      <c r="J843" s="475"/>
      <c r="K843" s="475"/>
      <c r="L843" s="475"/>
      <c r="M843" s="475"/>
      <c r="N843" s="475"/>
      <c r="O843" s="475"/>
      <c r="P843" s="475"/>
      <c r="Q843" s="475"/>
      <c r="R843" s="475"/>
      <c r="S843" s="475"/>
      <c r="T843" s="475"/>
      <c r="U843" s="475"/>
      <c r="V843" s="475"/>
      <c r="W843" s="475"/>
      <c r="X843" s="475"/>
      <c r="Y843" s="475"/>
      <c r="Z843" s="475"/>
      <c r="AA843" s="475"/>
      <c r="AB843" s="475"/>
      <c r="AC843" s="475"/>
      <c r="AD843" s="475"/>
      <c r="AE843" s="475"/>
      <c r="AF843" s="475"/>
    </row>
    <row r="844" spans="2:32">
      <c r="B844" s="471"/>
      <c r="C844" s="475"/>
      <c r="D844" s="475"/>
      <c r="E844" s="475"/>
      <c r="F844" s="474"/>
      <c r="G844" s="475"/>
      <c r="H844" s="474"/>
      <c r="I844" s="474"/>
      <c r="J844" s="475"/>
      <c r="K844" s="475"/>
      <c r="L844" s="475"/>
      <c r="M844" s="475"/>
      <c r="N844" s="475"/>
      <c r="O844" s="475"/>
      <c r="P844" s="475"/>
      <c r="Q844" s="475"/>
      <c r="R844" s="475"/>
      <c r="S844" s="475"/>
      <c r="T844" s="475"/>
      <c r="U844" s="475"/>
      <c r="V844" s="475"/>
      <c r="W844" s="475"/>
      <c r="X844" s="475"/>
      <c r="Y844" s="475"/>
      <c r="Z844" s="475"/>
      <c r="AA844" s="475"/>
      <c r="AB844" s="475"/>
      <c r="AC844" s="475"/>
      <c r="AD844" s="475"/>
      <c r="AE844" s="475"/>
      <c r="AF844" s="475"/>
    </row>
    <row r="845" spans="2:32">
      <c r="B845" s="471"/>
      <c r="C845" s="475"/>
      <c r="D845" s="475"/>
      <c r="E845" s="475"/>
      <c r="F845" s="474"/>
      <c r="G845" s="475"/>
      <c r="H845" s="474"/>
      <c r="I845" s="474"/>
      <c r="J845" s="475"/>
      <c r="K845" s="475"/>
      <c r="L845" s="475"/>
      <c r="M845" s="475"/>
      <c r="N845" s="475"/>
      <c r="O845" s="475"/>
      <c r="P845" s="475"/>
      <c r="Q845" s="475"/>
      <c r="R845" s="475"/>
      <c r="S845" s="475"/>
      <c r="T845" s="475"/>
      <c r="U845" s="475"/>
      <c r="V845" s="475"/>
      <c r="W845" s="475"/>
      <c r="X845" s="475"/>
      <c r="Y845" s="475"/>
      <c r="Z845" s="475"/>
      <c r="AA845" s="475"/>
      <c r="AB845" s="475"/>
      <c r="AC845" s="475"/>
      <c r="AD845" s="475"/>
      <c r="AE845" s="475"/>
      <c r="AF845" s="475"/>
    </row>
    <row r="846" spans="2:32">
      <c r="B846" s="471"/>
      <c r="C846" s="475"/>
      <c r="D846" s="475"/>
      <c r="E846" s="475"/>
      <c r="F846" s="474"/>
      <c r="G846" s="475"/>
      <c r="H846" s="474"/>
      <c r="I846" s="474"/>
      <c r="J846" s="475"/>
      <c r="K846" s="475"/>
      <c r="L846" s="475"/>
      <c r="M846" s="475"/>
      <c r="N846" s="475"/>
      <c r="O846" s="475"/>
      <c r="P846" s="475"/>
      <c r="Q846" s="475"/>
      <c r="R846" s="475"/>
      <c r="S846" s="475"/>
      <c r="T846" s="475"/>
      <c r="U846" s="475"/>
      <c r="V846" s="475"/>
      <c r="W846" s="475"/>
      <c r="X846" s="475"/>
      <c r="Y846" s="475"/>
      <c r="Z846" s="475"/>
      <c r="AA846" s="475"/>
      <c r="AB846" s="475"/>
      <c r="AC846" s="475"/>
      <c r="AD846" s="475"/>
      <c r="AE846" s="475"/>
      <c r="AF846" s="475"/>
    </row>
    <row r="847" spans="2:32">
      <c r="B847" s="471"/>
      <c r="C847" s="475"/>
      <c r="D847" s="475"/>
      <c r="E847" s="475"/>
      <c r="F847" s="474"/>
      <c r="G847" s="475"/>
      <c r="H847" s="474"/>
      <c r="I847" s="474"/>
      <c r="J847" s="475"/>
      <c r="K847" s="475"/>
      <c r="L847" s="475"/>
      <c r="M847" s="475"/>
      <c r="N847" s="475"/>
      <c r="O847" s="475"/>
      <c r="P847" s="475"/>
      <c r="Q847" s="475"/>
      <c r="R847" s="475"/>
      <c r="S847" s="475"/>
      <c r="T847" s="475"/>
      <c r="U847" s="475"/>
      <c r="V847" s="475"/>
      <c r="W847" s="475"/>
      <c r="X847" s="475"/>
      <c r="Y847" s="475"/>
      <c r="Z847" s="475"/>
      <c r="AA847" s="475"/>
      <c r="AB847" s="475"/>
      <c r="AC847" s="475"/>
      <c r="AD847" s="475"/>
      <c r="AE847" s="475"/>
      <c r="AF847" s="475"/>
    </row>
    <row r="848" spans="2:32">
      <c r="B848" s="471"/>
      <c r="C848" s="475"/>
      <c r="D848" s="475"/>
      <c r="E848" s="475"/>
      <c r="F848" s="474"/>
      <c r="G848" s="475"/>
      <c r="H848" s="474"/>
      <c r="I848" s="474"/>
      <c r="J848" s="475"/>
      <c r="K848" s="475"/>
      <c r="L848" s="475"/>
      <c r="M848" s="475"/>
      <c r="N848" s="475"/>
      <c r="O848" s="475"/>
      <c r="P848" s="475"/>
      <c r="Q848" s="475"/>
      <c r="R848" s="475"/>
      <c r="S848" s="475"/>
      <c r="T848" s="475"/>
      <c r="U848" s="475"/>
      <c r="V848" s="475"/>
      <c r="W848" s="475"/>
      <c r="X848" s="475"/>
      <c r="Y848" s="475"/>
      <c r="Z848" s="475"/>
      <c r="AA848" s="475"/>
      <c r="AB848" s="475"/>
      <c r="AC848" s="475"/>
      <c r="AD848" s="475"/>
      <c r="AE848" s="475"/>
      <c r="AF848" s="475"/>
    </row>
    <row r="849" spans="2:32">
      <c r="B849" s="471"/>
      <c r="C849" s="475"/>
      <c r="D849" s="475"/>
      <c r="E849" s="475"/>
      <c r="F849" s="474"/>
      <c r="G849" s="475"/>
      <c r="H849" s="474"/>
      <c r="I849" s="474"/>
      <c r="J849" s="475"/>
      <c r="K849" s="475"/>
      <c r="L849" s="475"/>
      <c r="M849" s="475"/>
      <c r="N849" s="475"/>
      <c r="O849" s="475"/>
      <c r="P849" s="475"/>
      <c r="Q849" s="475"/>
      <c r="R849" s="475"/>
      <c r="S849" s="475"/>
      <c r="T849" s="475"/>
      <c r="U849" s="475"/>
      <c r="V849" s="475"/>
      <c r="W849" s="475"/>
      <c r="X849" s="475"/>
      <c r="Y849" s="475"/>
      <c r="Z849" s="475"/>
      <c r="AA849" s="475"/>
      <c r="AB849" s="475"/>
      <c r="AC849" s="475"/>
      <c r="AD849" s="475"/>
      <c r="AE849" s="475"/>
      <c r="AF849" s="475"/>
    </row>
    <row r="850" spans="2:32">
      <c r="B850" s="471"/>
      <c r="C850" s="475"/>
      <c r="D850" s="475"/>
      <c r="E850" s="475"/>
      <c r="F850" s="474"/>
      <c r="G850" s="475"/>
      <c r="H850" s="474"/>
      <c r="I850" s="474"/>
      <c r="J850" s="475"/>
      <c r="K850" s="475"/>
      <c r="L850" s="475"/>
      <c r="M850" s="475"/>
      <c r="N850" s="475"/>
      <c r="O850" s="475"/>
      <c r="P850" s="475"/>
      <c r="Q850" s="475"/>
      <c r="R850" s="475"/>
      <c r="S850" s="475"/>
      <c r="T850" s="475"/>
      <c r="U850" s="475"/>
      <c r="V850" s="475"/>
      <c r="W850" s="475"/>
      <c r="X850" s="475"/>
      <c r="Y850" s="475"/>
      <c r="Z850" s="475"/>
      <c r="AA850" s="475"/>
      <c r="AB850" s="475"/>
      <c r="AC850" s="475"/>
      <c r="AD850" s="475"/>
      <c r="AE850" s="475"/>
      <c r="AF850" s="475"/>
    </row>
    <row r="851" spans="2:32">
      <c r="B851" s="471"/>
      <c r="C851" s="475"/>
      <c r="D851" s="475"/>
      <c r="E851" s="475"/>
      <c r="F851" s="474"/>
      <c r="G851" s="475"/>
      <c r="H851" s="474"/>
      <c r="I851" s="474"/>
      <c r="J851" s="475"/>
      <c r="K851" s="475"/>
      <c r="L851" s="475"/>
      <c r="M851" s="475"/>
      <c r="N851" s="475"/>
      <c r="O851" s="475"/>
      <c r="P851" s="475"/>
      <c r="Q851" s="475"/>
      <c r="R851" s="475"/>
      <c r="S851" s="475"/>
      <c r="T851" s="475"/>
      <c r="U851" s="475"/>
      <c r="V851" s="475"/>
      <c r="W851" s="475"/>
      <c r="X851" s="475"/>
      <c r="Y851" s="475"/>
      <c r="Z851" s="475"/>
      <c r="AA851" s="475"/>
      <c r="AB851" s="475"/>
      <c r="AC851" s="475"/>
      <c r="AD851" s="475"/>
      <c r="AE851" s="475"/>
      <c r="AF851" s="475"/>
    </row>
    <row r="852" spans="2:32">
      <c r="B852" s="471"/>
      <c r="C852" s="475"/>
      <c r="D852" s="475"/>
      <c r="E852" s="475"/>
      <c r="F852" s="474"/>
      <c r="G852" s="475"/>
      <c r="H852" s="474"/>
      <c r="I852" s="474"/>
      <c r="J852" s="475"/>
      <c r="K852" s="475"/>
      <c r="L852" s="475"/>
      <c r="M852" s="475"/>
      <c r="N852" s="475"/>
      <c r="O852" s="475"/>
      <c r="P852" s="475"/>
      <c r="Q852" s="475"/>
      <c r="R852" s="475"/>
      <c r="S852" s="475"/>
      <c r="T852" s="475"/>
      <c r="U852" s="475"/>
      <c r="V852" s="475"/>
      <c r="W852" s="475"/>
      <c r="X852" s="475"/>
      <c r="Y852" s="475"/>
      <c r="Z852" s="475"/>
      <c r="AA852" s="475"/>
      <c r="AB852" s="475"/>
      <c r="AC852" s="475"/>
      <c r="AD852" s="475"/>
      <c r="AE852" s="475"/>
      <c r="AF852" s="475"/>
    </row>
    <row r="853" spans="2:32">
      <c r="B853" s="471"/>
      <c r="C853" s="475"/>
      <c r="D853" s="475"/>
      <c r="E853" s="475"/>
      <c r="F853" s="474"/>
      <c r="G853" s="475"/>
      <c r="H853" s="474"/>
      <c r="I853" s="474"/>
      <c r="J853" s="475"/>
      <c r="K853" s="475"/>
      <c r="L853" s="475"/>
      <c r="M853" s="475"/>
      <c r="N853" s="475"/>
      <c r="O853" s="475"/>
      <c r="P853" s="475"/>
      <c r="Q853" s="475"/>
      <c r="R853" s="475"/>
      <c r="S853" s="475"/>
      <c r="T853" s="475"/>
      <c r="U853" s="475"/>
      <c r="V853" s="475"/>
      <c r="W853" s="475"/>
      <c r="X853" s="475"/>
      <c r="Y853" s="475"/>
      <c r="Z853" s="475"/>
      <c r="AA853" s="475"/>
      <c r="AB853" s="475"/>
      <c r="AC853" s="475"/>
      <c r="AD853" s="475"/>
      <c r="AE853" s="475"/>
      <c r="AF853" s="475"/>
    </row>
    <row r="854" spans="2:32">
      <c r="B854" s="471"/>
      <c r="C854" s="475"/>
      <c r="D854" s="475"/>
      <c r="E854" s="475"/>
      <c r="F854" s="474"/>
      <c r="G854" s="475"/>
      <c r="H854" s="474"/>
      <c r="I854" s="474"/>
      <c r="J854" s="475"/>
      <c r="K854" s="475"/>
      <c r="L854" s="475"/>
      <c r="M854" s="475"/>
      <c r="N854" s="475"/>
      <c r="O854" s="475"/>
      <c r="P854" s="475"/>
      <c r="Q854" s="475"/>
      <c r="R854" s="475"/>
      <c r="S854" s="475"/>
      <c r="T854" s="475"/>
      <c r="U854" s="475"/>
      <c r="V854" s="475"/>
      <c r="W854" s="475"/>
      <c r="X854" s="475"/>
      <c r="Y854" s="475"/>
      <c r="Z854" s="475"/>
      <c r="AA854" s="475"/>
      <c r="AB854" s="475"/>
      <c r="AC854" s="475"/>
      <c r="AD854" s="475"/>
      <c r="AE854" s="475"/>
      <c r="AF854" s="475"/>
    </row>
    <row r="855" spans="2:32">
      <c r="B855" s="471"/>
      <c r="C855" s="475"/>
      <c r="D855" s="475"/>
      <c r="E855" s="475"/>
      <c r="F855" s="474"/>
      <c r="G855" s="475"/>
      <c r="H855" s="474"/>
      <c r="I855" s="474"/>
      <c r="J855" s="475"/>
      <c r="K855" s="475"/>
      <c r="L855" s="475"/>
      <c r="M855" s="475"/>
      <c r="N855" s="475"/>
      <c r="O855" s="475"/>
      <c r="P855" s="475"/>
      <c r="Q855" s="475"/>
      <c r="R855" s="475"/>
      <c r="S855" s="475"/>
      <c r="T855" s="475"/>
      <c r="U855" s="475"/>
      <c r="V855" s="475"/>
      <c r="W855" s="475"/>
      <c r="X855" s="475"/>
      <c r="Y855" s="475"/>
      <c r="Z855" s="475"/>
      <c r="AA855" s="475"/>
      <c r="AB855" s="475"/>
      <c r="AC855" s="475"/>
      <c r="AD855" s="475"/>
      <c r="AE855" s="475"/>
      <c r="AF855" s="475"/>
    </row>
    <row r="856" spans="2:32">
      <c r="B856" s="471"/>
      <c r="C856" s="475"/>
      <c r="D856" s="475"/>
      <c r="E856" s="475"/>
      <c r="F856" s="474"/>
      <c r="G856" s="475"/>
      <c r="H856" s="474"/>
      <c r="I856" s="474"/>
      <c r="J856" s="475"/>
      <c r="K856" s="475"/>
      <c r="L856" s="475"/>
      <c r="M856" s="475"/>
      <c r="N856" s="475"/>
      <c r="O856" s="475"/>
      <c r="P856" s="475"/>
      <c r="Q856" s="475"/>
      <c r="R856" s="475"/>
      <c r="S856" s="475"/>
      <c r="T856" s="475"/>
      <c r="U856" s="475"/>
      <c r="V856" s="475"/>
      <c r="W856" s="475"/>
      <c r="X856" s="475"/>
      <c r="Y856" s="475"/>
      <c r="Z856" s="475"/>
      <c r="AA856" s="475"/>
      <c r="AB856" s="475"/>
      <c r="AC856" s="475"/>
      <c r="AD856" s="475"/>
      <c r="AE856" s="475"/>
      <c r="AF856" s="475"/>
    </row>
    <row r="857" spans="2:32">
      <c r="B857" s="471"/>
      <c r="C857" s="475"/>
      <c r="D857" s="475"/>
      <c r="E857" s="475"/>
      <c r="F857" s="474"/>
      <c r="G857" s="475"/>
      <c r="H857" s="474"/>
      <c r="I857" s="474"/>
      <c r="J857" s="475"/>
      <c r="K857" s="475"/>
      <c r="L857" s="475"/>
      <c r="M857" s="475"/>
      <c r="N857" s="475"/>
      <c r="O857" s="475"/>
      <c r="P857" s="475"/>
      <c r="Q857" s="475"/>
      <c r="R857" s="475"/>
      <c r="S857" s="475"/>
      <c r="T857" s="475"/>
      <c r="U857" s="475"/>
      <c r="V857" s="475"/>
      <c r="W857" s="475"/>
      <c r="X857" s="475"/>
      <c r="Y857" s="475"/>
      <c r="Z857" s="475"/>
      <c r="AA857" s="475"/>
      <c r="AB857" s="475"/>
      <c r="AC857" s="475"/>
      <c r="AD857" s="475"/>
      <c r="AE857" s="475"/>
      <c r="AF857" s="475"/>
    </row>
    <row r="858" spans="2:32">
      <c r="B858" s="471"/>
      <c r="C858" s="475"/>
      <c r="D858" s="475"/>
      <c r="E858" s="475"/>
      <c r="F858" s="474"/>
      <c r="G858" s="475"/>
      <c r="H858" s="474"/>
      <c r="I858" s="474"/>
      <c r="J858" s="475"/>
      <c r="K858" s="475"/>
      <c r="L858" s="475"/>
      <c r="M858" s="475"/>
      <c r="N858" s="475"/>
      <c r="O858" s="475"/>
      <c r="P858" s="475"/>
      <c r="Q858" s="475"/>
      <c r="R858" s="475"/>
      <c r="S858" s="475"/>
      <c r="T858" s="475"/>
      <c r="U858" s="475"/>
      <c r="V858" s="475"/>
      <c r="W858" s="475"/>
      <c r="X858" s="475"/>
      <c r="Y858" s="475"/>
      <c r="Z858" s="475"/>
      <c r="AA858" s="475"/>
      <c r="AB858" s="475"/>
      <c r="AC858" s="475"/>
      <c r="AD858" s="475"/>
      <c r="AE858" s="475"/>
      <c r="AF858" s="475"/>
    </row>
    <row r="859" spans="2:32">
      <c r="B859" s="471"/>
      <c r="C859" s="475"/>
      <c r="D859" s="475"/>
      <c r="E859" s="475"/>
      <c r="F859" s="474"/>
      <c r="G859" s="475"/>
      <c r="H859" s="474"/>
      <c r="I859" s="474"/>
      <c r="J859" s="475"/>
      <c r="K859" s="475"/>
      <c r="L859" s="475"/>
      <c r="M859" s="475"/>
      <c r="N859" s="475"/>
      <c r="O859" s="475"/>
      <c r="P859" s="475"/>
      <c r="Q859" s="475"/>
      <c r="R859" s="475"/>
      <c r="S859" s="475"/>
      <c r="T859" s="475"/>
      <c r="U859" s="475"/>
      <c r="V859" s="475"/>
      <c r="W859" s="475"/>
      <c r="X859" s="475"/>
      <c r="Y859" s="475"/>
      <c r="Z859" s="475"/>
      <c r="AA859" s="475"/>
      <c r="AB859" s="475"/>
      <c r="AC859" s="475"/>
      <c r="AD859" s="475"/>
      <c r="AE859" s="475"/>
      <c r="AF859" s="475"/>
    </row>
    <row r="860" spans="2:32">
      <c r="B860" s="471"/>
      <c r="C860" s="475"/>
      <c r="D860" s="475"/>
      <c r="E860" s="475"/>
      <c r="F860" s="474"/>
      <c r="G860" s="475"/>
      <c r="H860" s="474"/>
      <c r="I860" s="474"/>
      <c r="J860" s="475"/>
      <c r="K860" s="475"/>
      <c r="L860" s="475"/>
      <c r="M860" s="475"/>
      <c r="N860" s="475"/>
      <c r="O860" s="475"/>
      <c r="P860" s="475"/>
      <c r="Q860" s="475"/>
      <c r="R860" s="475"/>
      <c r="S860" s="475"/>
      <c r="T860" s="475"/>
      <c r="U860" s="475"/>
      <c r="V860" s="475"/>
      <c r="W860" s="475"/>
      <c r="X860" s="475"/>
      <c r="Y860" s="475"/>
      <c r="Z860" s="475"/>
      <c r="AA860" s="475"/>
      <c r="AB860" s="475"/>
      <c r="AC860" s="475"/>
      <c r="AD860" s="475"/>
      <c r="AE860" s="475"/>
      <c r="AF860" s="475"/>
    </row>
    <row r="861" spans="2:32">
      <c r="B861" s="471"/>
      <c r="C861" s="475"/>
      <c r="D861" s="475"/>
      <c r="E861" s="475"/>
      <c r="F861" s="474"/>
      <c r="G861" s="475"/>
      <c r="H861" s="474"/>
      <c r="I861" s="474"/>
      <c r="J861" s="475"/>
      <c r="K861" s="475"/>
      <c r="L861" s="475"/>
      <c r="M861" s="475"/>
      <c r="N861" s="475"/>
      <c r="O861" s="475"/>
      <c r="P861" s="475"/>
      <c r="Q861" s="475"/>
      <c r="R861" s="475"/>
      <c r="S861" s="475"/>
      <c r="T861" s="475"/>
      <c r="U861" s="475"/>
      <c r="V861" s="475"/>
      <c r="W861" s="475"/>
      <c r="X861" s="475"/>
      <c r="Y861" s="475"/>
      <c r="Z861" s="475"/>
      <c r="AA861" s="475"/>
      <c r="AB861" s="475"/>
      <c r="AC861" s="475"/>
      <c r="AD861" s="475"/>
      <c r="AE861" s="475"/>
      <c r="AF861" s="475"/>
    </row>
    <row r="862" spans="2:32">
      <c r="B862" s="471"/>
      <c r="C862" s="475"/>
      <c r="D862" s="475"/>
      <c r="E862" s="475"/>
      <c r="F862" s="474"/>
      <c r="G862" s="475"/>
      <c r="H862" s="474"/>
      <c r="I862" s="474"/>
      <c r="J862" s="475"/>
      <c r="K862" s="475"/>
      <c r="L862" s="475"/>
      <c r="M862" s="475"/>
      <c r="N862" s="475"/>
      <c r="O862" s="475"/>
      <c r="P862" s="475"/>
      <c r="Q862" s="475"/>
      <c r="R862" s="475"/>
      <c r="S862" s="475"/>
      <c r="T862" s="475"/>
      <c r="U862" s="475"/>
      <c r="V862" s="475"/>
      <c r="W862" s="475"/>
      <c r="X862" s="475"/>
      <c r="Y862" s="475"/>
      <c r="Z862" s="475"/>
      <c r="AA862" s="475"/>
      <c r="AB862" s="475"/>
      <c r="AC862" s="475"/>
      <c r="AD862" s="475"/>
      <c r="AE862" s="475"/>
      <c r="AF862" s="475"/>
    </row>
    <row r="863" spans="2:32">
      <c r="B863" s="471"/>
      <c r="C863" s="475"/>
      <c r="D863" s="475"/>
      <c r="E863" s="475"/>
      <c r="F863" s="474"/>
      <c r="G863" s="475"/>
      <c r="H863" s="474"/>
      <c r="I863" s="474"/>
      <c r="J863" s="475"/>
      <c r="K863" s="475"/>
      <c r="L863" s="475"/>
      <c r="M863" s="475"/>
      <c r="N863" s="475"/>
      <c r="O863" s="475"/>
      <c r="P863" s="475"/>
      <c r="Q863" s="475"/>
      <c r="R863" s="475"/>
      <c r="S863" s="475"/>
      <c r="T863" s="475"/>
      <c r="U863" s="475"/>
      <c r="V863" s="475"/>
      <c r="W863" s="475"/>
      <c r="X863" s="475"/>
      <c r="Y863" s="475"/>
      <c r="Z863" s="475"/>
      <c r="AA863" s="475"/>
      <c r="AB863" s="475"/>
      <c r="AC863" s="475"/>
      <c r="AD863" s="475"/>
      <c r="AE863" s="475"/>
      <c r="AF863" s="475"/>
    </row>
    <row r="864" spans="2:32">
      <c r="B864" s="471"/>
      <c r="C864" s="475"/>
      <c r="D864" s="475"/>
      <c r="E864" s="475"/>
      <c r="F864" s="474"/>
      <c r="G864" s="475"/>
      <c r="H864" s="474"/>
      <c r="I864" s="474"/>
      <c r="J864" s="475"/>
      <c r="K864" s="475"/>
      <c r="L864" s="475"/>
      <c r="M864" s="475"/>
      <c r="N864" s="475"/>
      <c r="O864" s="475"/>
      <c r="P864" s="475"/>
      <c r="Q864" s="475"/>
      <c r="R864" s="475"/>
      <c r="S864" s="475"/>
      <c r="T864" s="475"/>
      <c r="U864" s="475"/>
      <c r="V864" s="475"/>
      <c r="W864" s="475"/>
      <c r="X864" s="475"/>
      <c r="Y864" s="475"/>
      <c r="Z864" s="475"/>
      <c r="AA864" s="475"/>
      <c r="AB864" s="475"/>
      <c r="AC864" s="475"/>
      <c r="AD864" s="475"/>
      <c r="AE864" s="475"/>
      <c r="AF864" s="475"/>
    </row>
    <row r="865" spans="2:32">
      <c r="B865" s="471"/>
      <c r="C865" s="475"/>
      <c r="D865" s="475"/>
      <c r="E865" s="475"/>
      <c r="F865" s="474"/>
      <c r="G865" s="475"/>
      <c r="H865" s="474"/>
      <c r="I865" s="474"/>
      <c r="J865" s="475"/>
      <c r="K865" s="475"/>
      <c r="L865" s="475"/>
      <c r="M865" s="475"/>
      <c r="N865" s="475"/>
      <c r="O865" s="475"/>
      <c r="P865" s="475"/>
      <c r="Q865" s="475"/>
      <c r="R865" s="475"/>
      <c r="S865" s="475"/>
      <c r="T865" s="475"/>
      <c r="U865" s="475"/>
      <c r="V865" s="475"/>
      <c r="W865" s="475"/>
      <c r="X865" s="475"/>
      <c r="Y865" s="475"/>
      <c r="Z865" s="475"/>
      <c r="AA865" s="475"/>
      <c r="AB865" s="475"/>
      <c r="AC865" s="475"/>
      <c r="AD865" s="475"/>
      <c r="AE865" s="475"/>
      <c r="AF865" s="475"/>
    </row>
    <row r="866" spans="2:32">
      <c r="B866" s="471"/>
      <c r="C866" s="475"/>
      <c r="D866" s="475"/>
      <c r="E866" s="475"/>
      <c r="F866" s="474"/>
      <c r="G866" s="475"/>
      <c r="H866" s="474"/>
      <c r="I866" s="474"/>
      <c r="J866" s="475"/>
      <c r="K866" s="475"/>
      <c r="L866" s="475"/>
      <c r="M866" s="475"/>
      <c r="N866" s="475"/>
      <c r="O866" s="475"/>
      <c r="P866" s="475"/>
      <c r="Q866" s="475"/>
      <c r="R866" s="475"/>
      <c r="S866" s="475"/>
      <c r="T866" s="475"/>
      <c r="U866" s="475"/>
      <c r="V866" s="475"/>
      <c r="W866" s="475"/>
      <c r="X866" s="475"/>
      <c r="Y866" s="475"/>
      <c r="Z866" s="475"/>
      <c r="AA866" s="475"/>
      <c r="AB866" s="475"/>
      <c r="AC866" s="475"/>
      <c r="AD866" s="475"/>
      <c r="AE866" s="475"/>
      <c r="AF866" s="475"/>
    </row>
    <row r="867" spans="2:32">
      <c r="B867" s="471"/>
      <c r="C867" s="475"/>
      <c r="D867" s="475"/>
      <c r="E867" s="475"/>
      <c r="F867" s="474"/>
      <c r="G867" s="475"/>
      <c r="H867" s="474"/>
      <c r="I867" s="474"/>
      <c r="J867" s="475"/>
      <c r="K867" s="475"/>
      <c r="L867" s="475"/>
      <c r="M867" s="475"/>
      <c r="N867" s="475"/>
      <c r="O867" s="475"/>
      <c r="P867" s="475"/>
      <c r="Q867" s="475"/>
      <c r="R867" s="475"/>
      <c r="S867" s="475"/>
      <c r="T867" s="475"/>
      <c r="U867" s="475"/>
      <c r="V867" s="475"/>
      <c r="W867" s="475"/>
      <c r="X867" s="475"/>
      <c r="Y867" s="475"/>
      <c r="Z867" s="475"/>
      <c r="AA867" s="475"/>
      <c r="AB867" s="475"/>
      <c r="AC867" s="475"/>
      <c r="AD867" s="475"/>
      <c r="AE867" s="475"/>
      <c r="AF867" s="475"/>
    </row>
    <row r="868" spans="2:32">
      <c r="B868" s="471"/>
      <c r="C868" s="475"/>
      <c r="D868" s="475"/>
      <c r="E868" s="475"/>
      <c r="F868" s="474"/>
      <c r="G868" s="475"/>
      <c r="H868" s="474"/>
      <c r="I868" s="474"/>
      <c r="J868" s="475"/>
      <c r="K868" s="475"/>
      <c r="L868" s="475"/>
      <c r="M868" s="475"/>
      <c r="N868" s="475"/>
      <c r="O868" s="475"/>
      <c r="P868" s="475"/>
      <c r="Q868" s="475"/>
      <c r="R868" s="475"/>
      <c r="S868" s="475"/>
      <c r="T868" s="475"/>
      <c r="U868" s="475"/>
      <c r="V868" s="475"/>
      <c r="W868" s="475"/>
      <c r="X868" s="475"/>
      <c r="Y868" s="475"/>
      <c r="Z868" s="475"/>
      <c r="AA868" s="475"/>
      <c r="AB868" s="475"/>
      <c r="AC868" s="475"/>
      <c r="AD868" s="475"/>
      <c r="AE868" s="475"/>
      <c r="AF868" s="475"/>
    </row>
    <row r="869" spans="2:32">
      <c r="B869" s="471"/>
      <c r="C869" s="475"/>
      <c r="D869" s="475"/>
      <c r="E869" s="475"/>
      <c r="F869" s="474"/>
      <c r="G869" s="475"/>
      <c r="H869" s="474"/>
      <c r="I869" s="474"/>
      <c r="J869" s="475"/>
      <c r="K869" s="475"/>
      <c r="L869" s="475"/>
      <c r="M869" s="475"/>
      <c r="N869" s="475"/>
      <c r="O869" s="475"/>
      <c r="P869" s="475"/>
      <c r="Q869" s="475"/>
      <c r="R869" s="475"/>
      <c r="S869" s="475"/>
      <c r="T869" s="475"/>
      <c r="U869" s="475"/>
      <c r="V869" s="475"/>
      <c r="W869" s="475"/>
      <c r="X869" s="475"/>
      <c r="Y869" s="475"/>
      <c r="Z869" s="475"/>
      <c r="AA869" s="475"/>
      <c r="AB869" s="475"/>
      <c r="AC869" s="475"/>
      <c r="AD869" s="475"/>
      <c r="AE869" s="475"/>
      <c r="AF869" s="475"/>
    </row>
    <row r="870" spans="2:32">
      <c r="B870" s="471"/>
      <c r="C870" s="475"/>
      <c r="D870" s="475"/>
      <c r="E870" s="475"/>
      <c r="F870" s="474"/>
      <c r="G870" s="475"/>
      <c r="H870" s="474"/>
      <c r="I870" s="474"/>
      <c r="J870" s="475"/>
      <c r="K870" s="475"/>
      <c r="L870" s="475"/>
      <c r="M870" s="475"/>
      <c r="N870" s="475"/>
      <c r="O870" s="475"/>
      <c r="P870" s="475"/>
      <c r="Q870" s="475"/>
      <c r="R870" s="475"/>
      <c r="S870" s="475"/>
      <c r="T870" s="475"/>
      <c r="U870" s="475"/>
      <c r="V870" s="475"/>
      <c r="W870" s="475"/>
      <c r="X870" s="475"/>
      <c r="Y870" s="475"/>
      <c r="Z870" s="475"/>
      <c r="AA870" s="475"/>
      <c r="AB870" s="475"/>
      <c r="AC870" s="475"/>
      <c r="AD870" s="475"/>
      <c r="AE870" s="475"/>
      <c r="AF870" s="475"/>
    </row>
    <row r="871" spans="2:32">
      <c r="B871" s="471"/>
      <c r="C871" s="475"/>
      <c r="D871" s="475"/>
      <c r="E871" s="475"/>
      <c r="F871" s="474"/>
      <c r="G871" s="475"/>
      <c r="H871" s="474"/>
      <c r="I871" s="474"/>
      <c r="J871" s="475"/>
      <c r="K871" s="475"/>
      <c r="L871" s="475"/>
      <c r="M871" s="475"/>
      <c r="N871" s="475"/>
      <c r="O871" s="475"/>
      <c r="P871" s="475"/>
      <c r="Q871" s="475"/>
      <c r="R871" s="475"/>
      <c r="S871" s="475"/>
      <c r="T871" s="475"/>
      <c r="U871" s="475"/>
      <c r="V871" s="475"/>
      <c r="W871" s="475"/>
      <c r="X871" s="475"/>
      <c r="Y871" s="475"/>
      <c r="Z871" s="475"/>
      <c r="AA871" s="475"/>
      <c r="AB871" s="475"/>
      <c r="AC871" s="475"/>
      <c r="AD871" s="475"/>
      <c r="AE871" s="475"/>
      <c r="AF871" s="475"/>
    </row>
    <row r="872" spans="2:32">
      <c r="B872" s="471"/>
      <c r="C872" s="475"/>
      <c r="D872" s="475"/>
      <c r="E872" s="475"/>
      <c r="F872" s="474"/>
      <c r="G872" s="475"/>
      <c r="H872" s="474"/>
      <c r="I872" s="474"/>
      <c r="J872" s="475"/>
      <c r="K872" s="475"/>
      <c r="L872" s="475"/>
      <c r="M872" s="475"/>
      <c r="N872" s="475"/>
      <c r="O872" s="475"/>
      <c r="P872" s="475"/>
      <c r="Q872" s="475"/>
      <c r="R872" s="475"/>
      <c r="S872" s="475"/>
      <c r="T872" s="475"/>
      <c r="U872" s="475"/>
      <c r="V872" s="475"/>
      <c r="W872" s="475"/>
      <c r="X872" s="475"/>
      <c r="Y872" s="475"/>
      <c r="Z872" s="475"/>
      <c r="AA872" s="475"/>
      <c r="AB872" s="475"/>
      <c r="AC872" s="475"/>
      <c r="AD872" s="475"/>
      <c r="AE872" s="475"/>
      <c r="AF872" s="475"/>
    </row>
    <row r="873" spans="2:32">
      <c r="B873" s="471"/>
      <c r="C873" s="475"/>
      <c r="D873" s="475"/>
      <c r="E873" s="475"/>
      <c r="F873" s="474"/>
      <c r="G873" s="475"/>
      <c r="H873" s="474"/>
      <c r="I873" s="474"/>
      <c r="J873" s="475"/>
      <c r="K873" s="475"/>
      <c r="L873" s="475"/>
      <c r="M873" s="475"/>
      <c r="N873" s="475"/>
      <c r="O873" s="475"/>
      <c r="P873" s="475"/>
      <c r="Q873" s="475"/>
      <c r="R873" s="475"/>
      <c r="S873" s="475"/>
      <c r="T873" s="475"/>
      <c r="U873" s="475"/>
      <c r="V873" s="475"/>
      <c r="W873" s="475"/>
      <c r="X873" s="475"/>
      <c r="Y873" s="475"/>
      <c r="Z873" s="475"/>
      <c r="AA873" s="475"/>
      <c r="AB873" s="475"/>
      <c r="AC873" s="475"/>
      <c r="AD873" s="475"/>
      <c r="AE873" s="475"/>
      <c r="AF873" s="475"/>
    </row>
    <row r="874" spans="2:32">
      <c r="B874" s="471"/>
      <c r="C874" s="475"/>
      <c r="D874" s="475"/>
      <c r="E874" s="475"/>
      <c r="F874" s="474"/>
      <c r="G874" s="475"/>
      <c r="H874" s="474"/>
      <c r="I874" s="474"/>
      <c r="J874" s="475"/>
      <c r="K874" s="475"/>
      <c r="L874" s="475"/>
      <c r="M874" s="475"/>
      <c r="N874" s="475"/>
      <c r="O874" s="475"/>
      <c r="P874" s="475"/>
      <c r="Q874" s="475"/>
      <c r="R874" s="475"/>
      <c r="S874" s="475"/>
      <c r="T874" s="475"/>
      <c r="U874" s="475"/>
      <c r="V874" s="475"/>
      <c r="W874" s="475"/>
      <c r="X874" s="475"/>
      <c r="Y874" s="475"/>
      <c r="Z874" s="475"/>
      <c r="AA874" s="475"/>
      <c r="AB874" s="475"/>
      <c r="AC874" s="475"/>
      <c r="AD874" s="475"/>
      <c r="AE874" s="475"/>
      <c r="AF874" s="475"/>
    </row>
    <row r="875" spans="2:32">
      <c r="B875" s="471"/>
      <c r="C875" s="475"/>
      <c r="D875" s="475"/>
      <c r="E875" s="475"/>
      <c r="F875" s="474"/>
      <c r="G875" s="475"/>
      <c r="H875" s="474"/>
      <c r="I875" s="474"/>
      <c r="J875" s="475"/>
      <c r="K875" s="475"/>
      <c r="L875" s="475"/>
      <c r="M875" s="475"/>
      <c r="N875" s="475"/>
      <c r="O875" s="475"/>
      <c r="P875" s="475"/>
      <c r="Q875" s="475"/>
      <c r="R875" s="475"/>
      <c r="S875" s="475"/>
      <c r="T875" s="475"/>
      <c r="U875" s="475"/>
      <c r="V875" s="475"/>
      <c r="W875" s="475"/>
      <c r="X875" s="475"/>
      <c r="Y875" s="475"/>
      <c r="Z875" s="475"/>
      <c r="AA875" s="475"/>
      <c r="AB875" s="475"/>
      <c r="AC875" s="475"/>
      <c r="AD875" s="475"/>
      <c r="AE875" s="475"/>
      <c r="AF875" s="475"/>
    </row>
    <row r="876" spans="2:32">
      <c r="B876" s="471"/>
      <c r="C876" s="475"/>
      <c r="D876" s="475"/>
      <c r="E876" s="475"/>
      <c r="F876" s="474"/>
      <c r="G876" s="475"/>
      <c r="H876" s="474"/>
      <c r="I876" s="474"/>
      <c r="J876" s="475"/>
      <c r="K876" s="475"/>
      <c r="L876" s="475"/>
      <c r="M876" s="475"/>
      <c r="N876" s="475"/>
      <c r="O876" s="475"/>
      <c r="P876" s="475"/>
      <c r="Q876" s="475"/>
      <c r="R876" s="475"/>
      <c r="S876" s="475"/>
      <c r="T876" s="475"/>
      <c r="U876" s="475"/>
      <c r="V876" s="475"/>
      <c r="W876" s="475"/>
      <c r="X876" s="475"/>
      <c r="Y876" s="475"/>
      <c r="Z876" s="475"/>
      <c r="AA876" s="475"/>
      <c r="AB876" s="475"/>
      <c r="AC876" s="475"/>
      <c r="AD876" s="475"/>
      <c r="AE876" s="475"/>
      <c r="AF876" s="475"/>
    </row>
    <row r="877" spans="2:32">
      <c r="B877" s="471"/>
      <c r="C877" s="475"/>
      <c r="D877" s="475"/>
      <c r="E877" s="475"/>
      <c r="F877" s="474"/>
      <c r="G877" s="475"/>
      <c r="H877" s="474"/>
      <c r="I877" s="474"/>
      <c r="J877" s="475"/>
      <c r="K877" s="475"/>
      <c r="L877" s="475"/>
      <c r="M877" s="475"/>
      <c r="N877" s="475"/>
      <c r="O877" s="475"/>
      <c r="P877" s="475"/>
      <c r="Q877" s="475"/>
      <c r="R877" s="475"/>
      <c r="S877" s="475"/>
      <c r="T877" s="475"/>
      <c r="U877" s="475"/>
      <c r="V877" s="475"/>
      <c r="W877" s="475"/>
      <c r="X877" s="475"/>
      <c r="Y877" s="475"/>
      <c r="Z877" s="475"/>
      <c r="AA877" s="475"/>
      <c r="AB877" s="475"/>
      <c r="AC877" s="475"/>
      <c r="AD877" s="475"/>
      <c r="AE877" s="475"/>
      <c r="AF877" s="475"/>
    </row>
    <row r="878" spans="2:32">
      <c r="B878" s="471"/>
      <c r="C878" s="475"/>
      <c r="D878" s="475"/>
      <c r="E878" s="475"/>
      <c r="F878" s="474"/>
      <c r="G878" s="475"/>
      <c r="H878" s="474"/>
      <c r="I878" s="474"/>
      <c r="J878" s="475"/>
      <c r="K878" s="475"/>
      <c r="L878" s="475"/>
      <c r="M878" s="475"/>
      <c r="N878" s="475"/>
      <c r="O878" s="475"/>
      <c r="P878" s="475"/>
      <c r="Q878" s="475"/>
      <c r="R878" s="475"/>
      <c r="S878" s="475"/>
      <c r="T878" s="475"/>
      <c r="U878" s="475"/>
      <c r="V878" s="475"/>
      <c r="W878" s="475"/>
      <c r="X878" s="475"/>
      <c r="Y878" s="475"/>
      <c r="Z878" s="475"/>
      <c r="AA878" s="475"/>
      <c r="AB878" s="475"/>
      <c r="AC878" s="475"/>
      <c r="AD878" s="475"/>
      <c r="AE878" s="475"/>
      <c r="AF878" s="475"/>
    </row>
    <row r="879" spans="2:32">
      <c r="B879" s="471"/>
      <c r="C879" s="475"/>
      <c r="D879" s="475"/>
      <c r="E879" s="475"/>
      <c r="F879" s="474"/>
      <c r="G879" s="475"/>
      <c r="H879" s="474"/>
      <c r="I879" s="474"/>
      <c r="J879" s="475"/>
      <c r="K879" s="475"/>
      <c r="L879" s="475"/>
      <c r="M879" s="475"/>
      <c r="N879" s="475"/>
      <c r="O879" s="475"/>
      <c r="P879" s="475"/>
      <c r="Q879" s="475"/>
      <c r="R879" s="475"/>
      <c r="S879" s="475"/>
      <c r="T879" s="475"/>
      <c r="U879" s="475"/>
      <c r="V879" s="475"/>
      <c r="W879" s="475"/>
      <c r="X879" s="475"/>
      <c r="Y879" s="475"/>
      <c r="Z879" s="475"/>
      <c r="AA879" s="475"/>
      <c r="AB879" s="475"/>
      <c r="AC879" s="475"/>
      <c r="AD879" s="475"/>
      <c r="AE879" s="475"/>
      <c r="AF879" s="475"/>
    </row>
    <row r="880" spans="2:32">
      <c r="B880" s="471"/>
      <c r="C880" s="475"/>
      <c r="D880" s="475"/>
      <c r="E880" s="475"/>
      <c r="F880" s="474"/>
      <c r="G880" s="475"/>
      <c r="H880" s="474"/>
      <c r="I880" s="474"/>
      <c r="J880" s="475"/>
      <c r="K880" s="475"/>
      <c r="L880" s="475"/>
      <c r="M880" s="475"/>
      <c r="N880" s="475"/>
      <c r="O880" s="475"/>
      <c r="P880" s="475"/>
      <c r="Q880" s="475"/>
      <c r="R880" s="475"/>
      <c r="S880" s="475"/>
      <c r="T880" s="475"/>
      <c r="U880" s="475"/>
      <c r="V880" s="475"/>
      <c r="W880" s="475"/>
      <c r="X880" s="475"/>
      <c r="Y880" s="475"/>
      <c r="Z880" s="475"/>
      <c r="AA880" s="475"/>
      <c r="AB880" s="475"/>
      <c r="AC880" s="475"/>
      <c r="AD880" s="475"/>
      <c r="AE880" s="475"/>
      <c r="AF880" s="475"/>
    </row>
    <row r="881" spans="2:32">
      <c r="B881" s="471"/>
      <c r="C881" s="475"/>
      <c r="D881" s="475"/>
      <c r="E881" s="475"/>
      <c r="F881" s="474"/>
      <c r="G881" s="475"/>
      <c r="H881" s="474"/>
      <c r="I881" s="474"/>
      <c r="J881" s="475"/>
      <c r="K881" s="475"/>
      <c r="L881" s="475"/>
      <c r="M881" s="475"/>
      <c r="N881" s="475"/>
      <c r="O881" s="475"/>
      <c r="P881" s="475"/>
      <c r="Q881" s="475"/>
      <c r="R881" s="475"/>
      <c r="S881" s="475"/>
      <c r="T881" s="475"/>
      <c r="U881" s="475"/>
      <c r="V881" s="475"/>
      <c r="W881" s="475"/>
      <c r="X881" s="475"/>
      <c r="Y881" s="475"/>
      <c r="Z881" s="475"/>
      <c r="AA881" s="475"/>
      <c r="AB881" s="475"/>
      <c r="AC881" s="475"/>
      <c r="AD881" s="475"/>
      <c r="AE881" s="475"/>
      <c r="AF881" s="475"/>
    </row>
    <row r="882" spans="2:32">
      <c r="B882" s="471"/>
      <c r="C882" s="475"/>
      <c r="D882" s="475"/>
      <c r="E882" s="475"/>
      <c r="F882" s="474"/>
      <c r="G882" s="475"/>
      <c r="H882" s="474"/>
      <c r="I882" s="474"/>
      <c r="J882" s="475"/>
      <c r="K882" s="475"/>
      <c r="L882" s="475"/>
      <c r="M882" s="475"/>
      <c r="N882" s="475"/>
      <c r="O882" s="475"/>
      <c r="P882" s="475"/>
      <c r="Q882" s="475"/>
      <c r="R882" s="475"/>
      <c r="S882" s="475"/>
      <c r="T882" s="475"/>
      <c r="U882" s="475"/>
      <c r="V882" s="475"/>
      <c r="W882" s="475"/>
      <c r="X882" s="475"/>
      <c r="Y882" s="475"/>
      <c r="Z882" s="475"/>
      <c r="AA882" s="475"/>
      <c r="AB882" s="475"/>
      <c r="AC882" s="475"/>
      <c r="AD882" s="475"/>
      <c r="AE882" s="475"/>
      <c r="AF882" s="475"/>
    </row>
    <row r="883" spans="2:32">
      <c r="B883" s="471"/>
      <c r="C883" s="475"/>
      <c r="D883" s="475"/>
      <c r="E883" s="475"/>
      <c r="F883" s="474"/>
      <c r="G883" s="475"/>
      <c r="H883" s="474"/>
      <c r="I883" s="474"/>
      <c r="J883" s="475"/>
      <c r="K883" s="475"/>
      <c r="L883" s="475"/>
      <c r="M883" s="475"/>
      <c r="N883" s="475"/>
      <c r="O883" s="475"/>
      <c r="P883" s="475"/>
      <c r="Q883" s="475"/>
      <c r="R883" s="475"/>
      <c r="S883" s="475"/>
      <c r="T883" s="475"/>
      <c r="U883" s="475"/>
      <c r="V883" s="475"/>
      <c r="W883" s="475"/>
      <c r="X883" s="475"/>
      <c r="Y883" s="475"/>
      <c r="Z883" s="475"/>
      <c r="AA883" s="475"/>
      <c r="AB883" s="475"/>
      <c r="AC883" s="475"/>
      <c r="AD883" s="475"/>
      <c r="AE883" s="475"/>
      <c r="AF883" s="475"/>
    </row>
    <row r="884" spans="2:32">
      <c r="B884" s="471"/>
      <c r="C884" s="475"/>
      <c r="D884" s="475"/>
      <c r="E884" s="475"/>
      <c r="F884" s="474"/>
      <c r="G884" s="475"/>
      <c r="H884" s="474"/>
      <c r="I884" s="474"/>
      <c r="J884" s="475"/>
      <c r="K884" s="475"/>
      <c r="L884" s="475"/>
      <c r="M884" s="475"/>
      <c r="N884" s="475"/>
      <c r="O884" s="475"/>
      <c r="P884" s="475"/>
      <c r="Q884" s="475"/>
      <c r="R884" s="475"/>
      <c r="S884" s="475"/>
      <c r="T884" s="475"/>
      <c r="U884" s="475"/>
      <c r="V884" s="475"/>
      <c r="W884" s="475"/>
      <c r="X884" s="475"/>
      <c r="Y884" s="475"/>
      <c r="Z884" s="475"/>
      <c r="AA884" s="475"/>
      <c r="AB884" s="475"/>
      <c r="AC884" s="475"/>
      <c r="AD884" s="475"/>
      <c r="AE884" s="475"/>
      <c r="AF884" s="475"/>
    </row>
    <row r="885" spans="2:32">
      <c r="B885" s="471"/>
      <c r="C885" s="475"/>
      <c r="D885" s="475"/>
      <c r="E885" s="475"/>
      <c r="F885" s="474"/>
      <c r="G885" s="475"/>
      <c r="H885" s="474"/>
      <c r="I885" s="474"/>
      <c r="J885" s="475"/>
      <c r="K885" s="475"/>
      <c r="L885" s="475"/>
      <c r="M885" s="475"/>
      <c r="N885" s="475"/>
      <c r="O885" s="475"/>
      <c r="P885" s="475"/>
      <c r="Q885" s="475"/>
      <c r="R885" s="475"/>
      <c r="S885" s="475"/>
      <c r="T885" s="475"/>
      <c r="U885" s="475"/>
      <c r="V885" s="475"/>
      <c r="W885" s="475"/>
      <c r="X885" s="475"/>
      <c r="Y885" s="475"/>
      <c r="Z885" s="475"/>
      <c r="AA885" s="475"/>
      <c r="AB885" s="475"/>
      <c r="AC885" s="475"/>
      <c r="AD885" s="475"/>
      <c r="AE885" s="475"/>
      <c r="AF885" s="475"/>
    </row>
    <row r="886" spans="2:32">
      <c r="B886" s="471"/>
      <c r="C886" s="475"/>
      <c r="D886" s="475"/>
      <c r="E886" s="475"/>
      <c r="F886" s="474"/>
      <c r="G886" s="475"/>
      <c r="H886" s="474"/>
      <c r="I886" s="474"/>
      <c r="J886" s="475"/>
      <c r="K886" s="475"/>
      <c r="L886" s="475"/>
      <c r="M886" s="475"/>
      <c r="N886" s="475"/>
      <c r="O886" s="475"/>
      <c r="P886" s="475"/>
      <c r="Q886" s="475"/>
      <c r="R886" s="475"/>
      <c r="S886" s="475"/>
      <c r="T886" s="475"/>
      <c r="U886" s="475"/>
      <c r="V886" s="475"/>
      <c r="W886" s="475"/>
      <c r="X886" s="475"/>
      <c r="Y886" s="475"/>
      <c r="Z886" s="475"/>
      <c r="AA886" s="475"/>
      <c r="AB886" s="475"/>
      <c r="AC886" s="475"/>
      <c r="AD886" s="475"/>
      <c r="AE886" s="475"/>
      <c r="AF886" s="475"/>
    </row>
    <row r="887" spans="2:32">
      <c r="B887" s="471"/>
      <c r="C887" s="475"/>
      <c r="D887" s="475"/>
      <c r="E887" s="475"/>
      <c r="F887" s="474"/>
      <c r="G887" s="475"/>
      <c r="H887" s="474"/>
      <c r="I887" s="474"/>
      <c r="J887" s="475"/>
      <c r="K887" s="475"/>
      <c r="L887" s="475"/>
      <c r="M887" s="475"/>
      <c r="N887" s="475"/>
      <c r="O887" s="475"/>
      <c r="P887" s="475"/>
      <c r="Q887" s="475"/>
      <c r="R887" s="475"/>
      <c r="S887" s="475"/>
      <c r="T887" s="475"/>
      <c r="U887" s="475"/>
      <c r="V887" s="475"/>
      <c r="W887" s="475"/>
      <c r="X887" s="475"/>
      <c r="Y887" s="475"/>
      <c r="Z887" s="475"/>
      <c r="AA887" s="475"/>
      <c r="AB887" s="475"/>
      <c r="AC887" s="475"/>
      <c r="AD887" s="475"/>
      <c r="AE887" s="475"/>
      <c r="AF887" s="475"/>
    </row>
    <row r="888" spans="2:32">
      <c r="B888" s="471"/>
      <c r="C888" s="475"/>
      <c r="D888" s="475"/>
      <c r="E888" s="475"/>
      <c r="F888" s="474"/>
      <c r="G888" s="475"/>
      <c r="H888" s="474"/>
      <c r="I888" s="474"/>
      <c r="J888" s="475"/>
      <c r="K888" s="475"/>
      <c r="L888" s="475"/>
      <c r="M888" s="475"/>
      <c r="N888" s="475"/>
      <c r="O888" s="475"/>
      <c r="P888" s="475"/>
      <c r="Q888" s="475"/>
      <c r="R888" s="475"/>
      <c r="S888" s="475"/>
      <c r="T888" s="475"/>
      <c r="U888" s="475"/>
      <c r="V888" s="475"/>
      <c r="W888" s="475"/>
      <c r="X888" s="475"/>
      <c r="Y888" s="475"/>
      <c r="Z888" s="475"/>
      <c r="AA888" s="475"/>
      <c r="AB888" s="475"/>
      <c r="AC888" s="475"/>
      <c r="AD888" s="475"/>
      <c r="AE888" s="475"/>
      <c r="AF888" s="475"/>
    </row>
    <row r="889" spans="2:32">
      <c r="B889" s="471"/>
      <c r="C889" s="475"/>
      <c r="D889" s="475"/>
      <c r="E889" s="475"/>
      <c r="F889" s="474"/>
      <c r="G889" s="475"/>
      <c r="H889" s="474"/>
      <c r="I889" s="474"/>
      <c r="J889" s="475"/>
      <c r="K889" s="475"/>
      <c r="L889" s="475"/>
      <c r="M889" s="475"/>
      <c r="N889" s="475"/>
      <c r="O889" s="475"/>
      <c r="P889" s="475"/>
      <c r="Q889" s="475"/>
      <c r="R889" s="475"/>
      <c r="S889" s="475"/>
      <c r="T889" s="475"/>
      <c r="U889" s="475"/>
      <c r="V889" s="475"/>
      <c r="W889" s="475"/>
      <c r="X889" s="475"/>
      <c r="Y889" s="475"/>
      <c r="Z889" s="475"/>
      <c r="AA889" s="475"/>
      <c r="AB889" s="475"/>
      <c r="AC889" s="475"/>
      <c r="AD889" s="475"/>
      <c r="AE889" s="475"/>
      <c r="AF889" s="475"/>
    </row>
    <row r="890" spans="2:32">
      <c r="B890" s="471"/>
      <c r="C890" s="475"/>
      <c r="D890" s="475"/>
      <c r="E890" s="475"/>
      <c r="F890" s="474"/>
      <c r="G890" s="475"/>
      <c r="H890" s="474"/>
      <c r="I890" s="474"/>
      <c r="J890" s="475"/>
      <c r="K890" s="475"/>
      <c r="L890" s="475"/>
      <c r="M890" s="475"/>
      <c r="N890" s="475"/>
      <c r="O890" s="475"/>
      <c r="P890" s="475"/>
      <c r="Q890" s="475"/>
      <c r="R890" s="475"/>
      <c r="S890" s="475"/>
      <c r="T890" s="475"/>
      <c r="U890" s="475"/>
      <c r="V890" s="475"/>
      <c r="W890" s="475"/>
      <c r="X890" s="475"/>
      <c r="Y890" s="475"/>
      <c r="Z890" s="475"/>
      <c r="AA890" s="475"/>
      <c r="AB890" s="475"/>
      <c r="AC890" s="475"/>
      <c r="AD890" s="475"/>
      <c r="AE890" s="475"/>
      <c r="AF890" s="475"/>
    </row>
    <row r="891" spans="2:32">
      <c r="B891" s="471"/>
      <c r="C891" s="475"/>
      <c r="D891" s="475"/>
      <c r="E891" s="475"/>
      <c r="F891" s="474"/>
      <c r="G891" s="475"/>
      <c r="H891" s="474"/>
      <c r="I891" s="474"/>
      <c r="J891" s="475"/>
      <c r="K891" s="475"/>
      <c r="L891" s="475"/>
      <c r="M891" s="475"/>
      <c r="N891" s="475"/>
      <c r="O891" s="475"/>
      <c r="P891" s="475"/>
      <c r="Q891" s="475"/>
      <c r="R891" s="475"/>
      <c r="S891" s="475"/>
      <c r="T891" s="475"/>
      <c r="U891" s="475"/>
      <c r="V891" s="475"/>
      <c r="W891" s="475"/>
      <c r="X891" s="475"/>
      <c r="Y891" s="475"/>
      <c r="Z891" s="475"/>
      <c r="AA891" s="475"/>
      <c r="AB891" s="475"/>
      <c r="AC891" s="475"/>
      <c r="AD891" s="475"/>
      <c r="AE891" s="475"/>
      <c r="AF891" s="475"/>
    </row>
    <row r="892" spans="2:32">
      <c r="B892" s="471"/>
      <c r="C892" s="475"/>
      <c r="D892" s="475"/>
      <c r="E892" s="475"/>
      <c r="F892" s="474"/>
      <c r="G892" s="475"/>
      <c r="H892" s="474"/>
      <c r="I892" s="474"/>
      <c r="J892" s="475"/>
      <c r="K892" s="475"/>
      <c r="L892" s="475"/>
      <c r="M892" s="475"/>
      <c r="N892" s="475"/>
      <c r="O892" s="475"/>
      <c r="P892" s="475"/>
      <c r="Q892" s="475"/>
      <c r="R892" s="475"/>
      <c r="S892" s="475"/>
      <c r="T892" s="475"/>
      <c r="U892" s="475"/>
      <c r="V892" s="475"/>
      <c r="W892" s="475"/>
      <c r="X892" s="475"/>
      <c r="Y892" s="475"/>
      <c r="Z892" s="475"/>
      <c r="AA892" s="475"/>
      <c r="AB892" s="475"/>
      <c r="AC892" s="475"/>
      <c r="AD892" s="475"/>
      <c r="AE892" s="475"/>
      <c r="AF892" s="475"/>
    </row>
    <row r="893" spans="2:32">
      <c r="B893" s="471"/>
      <c r="C893" s="475"/>
      <c r="D893" s="475"/>
      <c r="E893" s="475"/>
      <c r="F893" s="474"/>
      <c r="G893" s="475"/>
      <c r="H893" s="474"/>
      <c r="I893" s="474"/>
      <c r="J893" s="475"/>
      <c r="K893" s="475"/>
      <c r="L893" s="475"/>
      <c r="M893" s="475"/>
      <c r="N893" s="475"/>
      <c r="O893" s="475"/>
      <c r="P893" s="475"/>
      <c r="Q893" s="475"/>
      <c r="R893" s="475"/>
      <c r="S893" s="475"/>
      <c r="T893" s="475"/>
      <c r="U893" s="475"/>
      <c r="V893" s="475"/>
      <c r="W893" s="475"/>
      <c r="X893" s="475"/>
      <c r="Y893" s="475"/>
      <c r="Z893" s="475"/>
      <c r="AA893" s="475"/>
      <c r="AB893" s="475"/>
      <c r="AC893" s="475"/>
      <c r="AD893" s="475"/>
      <c r="AE893" s="475"/>
      <c r="AF893" s="475"/>
    </row>
    <row r="894" spans="2:32">
      <c r="B894" s="471"/>
      <c r="C894" s="475"/>
      <c r="D894" s="475"/>
      <c r="E894" s="475"/>
      <c r="F894" s="474"/>
      <c r="G894" s="475"/>
      <c r="H894" s="474"/>
      <c r="I894" s="474"/>
      <c r="J894" s="475"/>
      <c r="K894" s="475"/>
      <c r="L894" s="475"/>
      <c r="M894" s="475"/>
      <c r="N894" s="475"/>
      <c r="O894" s="475"/>
      <c r="P894" s="475"/>
      <c r="Q894" s="475"/>
      <c r="R894" s="475"/>
      <c r="S894" s="475"/>
      <c r="T894" s="475"/>
      <c r="U894" s="475"/>
      <c r="V894" s="475"/>
      <c r="W894" s="475"/>
      <c r="X894" s="475"/>
      <c r="Y894" s="475"/>
      <c r="Z894" s="475"/>
      <c r="AA894" s="475"/>
      <c r="AB894" s="475"/>
      <c r="AC894" s="475"/>
      <c r="AD894" s="475"/>
      <c r="AE894" s="475"/>
      <c r="AF894" s="475"/>
    </row>
    <row r="895" spans="2:32">
      <c r="B895" s="471"/>
      <c r="C895" s="475"/>
      <c r="D895" s="475"/>
      <c r="E895" s="475"/>
      <c r="F895" s="474"/>
      <c r="G895" s="475"/>
      <c r="H895" s="474"/>
      <c r="I895" s="474"/>
      <c r="J895" s="475"/>
      <c r="K895" s="475"/>
      <c r="L895" s="475"/>
      <c r="M895" s="475"/>
      <c r="N895" s="475"/>
      <c r="O895" s="475"/>
      <c r="P895" s="475"/>
      <c r="Q895" s="475"/>
      <c r="R895" s="475"/>
      <c r="S895" s="475"/>
      <c r="T895" s="475"/>
      <c r="U895" s="475"/>
      <c r="V895" s="475"/>
      <c r="W895" s="475"/>
      <c r="X895" s="475"/>
      <c r="Y895" s="475"/>
      <c r="Z895" s="475"/>
      <c r="AA895" s="475"/>
      <c r="AB895" s="475"/>
      <c r="AC895" s="475"/>
      <c r="AD895" s="475"/>
      <c r="AE895" s="475"/>
      <c r="AF895" s="475"/>
    </row>
    <row r="896" spans="2:32">
      <c r="B896" s="471"/>
      <c r="C896" s="475"/>
      <c r="D896" s="475"/>
      <c r="E896" s="475"/>
      <c r="F896" s="474"/>
      <c r="G896" s="475"/>
      <c r="H896" s="474"/>
      <c r="I896" s="474"/>
      <c r="J896" s="475"/>
      <c r="K896" s="475"/>
      <c r="L896" s="475"/>
      <c r="M896" s="475"/>
      <c r="N896" s="475"/>
      <c r="O896" s="475"/>
      <c r="P896" s="475"/>
      <c r="Q896" s="475"/>
      <c r="R896" s="475"/>
      <c r="S896" s="475"/>
      <c r="T896" s="475"/>
      <c r="U896" s="475"/>
      <c r="V896" s="475"/>
      <c r="W896" s="475"/>
      <c r="X896" s="475"/>
      <c r="Y896" s="475"/>
      <c r="Z896" s="475"/>
      <c r="AA896" s="475"/>
      <c r="AB896" s="475"/>
      <c r="AC896" s="475"/>
      <c r="AD896" s="475"/>
      <c r="AE896" s="475"/>
      <c r="AF896" s="475"/>
    </row>
    <row r="897" spans="2:32">
      <c r="B897" s="471"/>
      <c r="C897" s="475"/>
      <c r="D897" s="475"/>
      <c r="E897" s="475"/>
      <c r="F897" s="474"/>
      <c r="G897" s="475"/>
      <c r="H897" s="474"/>
      <c r="I897" s="474"/>
      <c r="J897" s="475"/>
      <c r="K897" s="475"/>
      <c r="L897" s="475"/>
      <c r="M897" s="475"/>
      <c r="N897" s="475"/>
      <c r="O897" s="475"/>
      <c r="P897" s="475"/>
      <c r="Q897" s="475"/>
      <c r="R897" s="475"/>
      <c r="S897" s="475"/>
      <c r="T897" s="475"/>
      <c r="U897" s="475"/>
      <c r="V897" s="475"/>
      <c r="W897" s="475"/>
      <c r="X897" s="475"/>
      <c r="Y897" s="475"/>
      <c r="Z897" s="475"/>
      <c r="AA897" s="475"/>
      <c r="AB897" s="475"/>
      <c r="AC897" s="475"/>
      <c r="AD897" s="475"/>
      <c r="AE897" s="475"/>
      <c r="AF897" s="475"/>
    </row>
    <row r="898" spans="2:32">
      <c r="B898" s="471"/>
      <c r="C898" s="475"/>
      <c r="D898" s="475"/>
      <c r="E898" s="475"/>
      <c r="F898" s="474"/>
      <c r="G898" s="475"/>
      <c r="H898" s="474"/>
      <c r="I898" s="474"/>
      <c r="J898" s="475"/>
      <c r="K898" s="475"/>
      <c r="L898" s="475"/>
      <c r="M898" s="475"/>
      <c r="N898" s="475"/>
      <c r="O898" s="475"/>
      <c r="P898" s="475"/>
      <c r="Q898" s="475"/>
      <c r="R898" s="475"/>
      <c r="S898" s="475"/>
      <c r="T898" s="475"/>
      <c r="U898" s="475"/>
      <c r="V898" s="475"/>
      <c r="W898" s="475"/>
      <c r="X898" s="475"/>
      <c r="Y898" s="475"/>
      <c r="Z898" s="475"/>
      <c r="AA898" s="475"/>
      <c r="AB898" s="475"/>
      <c r="AC898" s="475"/>
      <c r="AD898" s="475"/>
      <c r="AE898" s="475"/>
      <c r="AF898" s="475"/>
    </row>
    <row r="899" spans="2:32">
      <c r="B899" s="471"/>
      <c r="C899" s="475"/>
      <c r="D899" s="475"/>
      <c r="E899" s="475"/>
      <c r="F899" s="474"/>
      <c r="G899" s="475"/>
      <c r="H899" s="474"/>
      <c r="I899" s="474"/>
      <c r="J899" s="475"/>
      <c r="K899" s="475"/>
      <c r="L899" s="475"/>
      <c r="M899" s="475"/>
      <c r="N899" s="475"/>
      <c r="O899" s="475"/>
      <c r="P899" s="475"/>
      <c r="Q899" s="475"/>
      <c r="R899" s="475"/>
      <c r="S899" s="475"/>
      <c r="T899" s="475"/>
      <c r="U899" s="475"/>
      <c r="V899" s="475"/>
      <c r="W899" s="475"/>
      <c r="X899" s="475"/>
      <c r="Y899" s="475"/>
      <c r="Z899" s="475"/>
      <c r="AA899" s="475"/>
      <c r="AB899" s="475"/>
      <c r="AC899" s="475"/>
      <c r="AD899" s="475"/>
      <c r="AE899" s="475"/>
      <c r="AF899" s="475"/>
    </row>
    <row r="900" spans="2:32">
      <c r="B900" s="471"/>
      <c r="C900" s="475"/>
      <c r="D900" s="475"/>
      <c r="E900" s="475"/>
      <c r="F900" s="474"/>
      <c r="G900" s="475"/>
      <c r="H900" s="474"/>
      <c r="I900" s="474"/>
      <c r="J900" s="475"/>
      <c r="K900" s="475"/>
      <c r="L900" s="475"/>
      <c r="M900" s="475"/>
      <c r="N900" s="475"/>
      <c r="O900" s="475"/>
      <c r="P900" s="475"/>
      <c r="Q900" s="475"/>
      <c r="R900" s="475"/>
      <c r="S900" s="475"/>
      <c r="T900" s="475"/>
      <c r="U900" s="475"/>
      <c r="V900" s="475"/>
      <c r="W900" s="475"/>
      <c r="X900" s="475"/>
      <c r="Y900" s="475"/>
      <c r="Z900" s="475"/>
      <c r="AA900" s="475"/>
      <c r="AB900" s="475"/>
      <c r="AC900" s="475"/>
      <c r="AD900" s="475"/>
      <c r="AE900" s="475"/>
      <c r="AF900" s="475"/>
    </row>
    <row r="901" spans="2:32">
      <c r="B901" s="471"/>
      <c r="C901" s="475"/>
      <c r="D901" s="475"/>
      <c r="E901" s="475"/>
      <c r="F901" s="474"/>
      <c r="G901" s="475"/>
      <c r="H901" s="474"/>
      <c r="I901" s="474"/>
      <c r="J901" s="475"/>
      <c r="K901" s="475"/>
      <c r="L901" s="475"/>
      <c r="M901" s="475"/>
      <c r="N901" s="475"/>
      <c r="O901" s="475"/>
      <c r="P901" s="475"/>
      <c r="Q901" s="475"/>
      <c r="R901" s="475"/>
      <c r="S901" s="475"/>
      <c r="T901" s="475"/>
      <c r="U901" s="475"/>
      <c r="V901" s="475"/>
      <c r="W901" s="475"/>
      <c r="X901" s="475"/>
      <c r="Y901" s="475"/>
      <c r="Z901" s="475"/>
      <c r="AA901" s="475"/>
      <c r="AB901" s="475"/>
      <c r="AC901" s="475"/>
      <c r="AD901" s="475"/>
      <c r="AE901" s="475"/>
      <c r="AF901" s="475"/>
    </row>
    <row r="902" spans="2:32">
      <c r="B902" s="471"/>
      <c r="C902" s="475"/>
      <c r="D902" s="475"/>
      <c r="E902" s="475"/>
      <c r="F902" s="474"/>
      <c r="G902" s="475"/>
      <c r="H902" s="474"/>
      <c r="I902" s="474"/>
      <c r="J902" s="475"/>
      <c r="K902" s="475"/>
      <c r="L902" s="475"/>
      <c r="M902" s="475"/>
      <c r="N902" s="475"/>
      <c r="O902" s="475"/>
      <c r="P902" s="475"/>
      <c r="Q902" s="475"/>
      <c r="R902" s="475"/>
      <c r="S902" s="475"/>
      <c r="T902" s="475"/>
      <c r="U902" s="475"/>
      <c r="V902" s="475"/>
      <c r="W902" s="475"/>
      <c r="X902" s="475"/>
      <c r="Y902" s="475"/>
      <c r="Z902" s="475"/>
      <c r="AA902" s="475"/>
      <c r="AB902" s="475"/>
      <c r="AC902" s="475"/>
      <c r="AD902" s="475"/>
      <c r="AE902" s="475"/>
      <c r="AF902" s="475"/>
    </row>
    <row r="903" spans="2:32">
      <c r="B903" s="471"/>
      <c r="C903" s="475"/>
      <c r="D903" s="475"/>
      <c r="E903" s="475"/>
      <c r="F903" s="474"/>
      <c r="G903" s="475"/>
      <c r="H903" s="474"/>
      <c r="I903" s="474"/>
      <c r="J903" s="475"/>
      <c r="K903" s="475"/>
      <c r="L903" s="475"/>
      <c r="M903" s="475"/>
      <c r="N903" s="475"/>
      <c r="O903" s="475"/>
      <c r="P903" s="475"/>
      <c r="Q903" s="475"/>
      <c r="R903" s="475"/>
      <c r="S903" s="475"/>
      <c r="T903" s="475"/>
      <c r="U903" s="475"/>
      <c r="V903" s="475"/>
      <c r="W903" s="475"/>
      <c r="X903" s="475"/>
      <c r="Y903" s="475"/>
      <c r="Z903" s="475"/>
      <c r="AA903" s="475"/>
      <c r="AB903" s="475"/>
      <c r="AC903" s="475"/>
      <c r="AD903" s="475"/>
      <c r="AE903" s="475"/>
      <c r="AF903" s="475"/>
    </row>
    <row r="904" spans="2:32">
      <c r="B904" s="471"/>
      <c r="C904" s="475"/>
      <c r="D904" s="475"/>
      <c r="E904" s="475"/>
      <c r="F904" s="474"/>
      <c r="G904" s="475"/>
      <c r="H904" s="474"/>
      <c r="I904" s="474"/>
      <c r="J904" s="475"/>
      <c r="K904" s="475"/>
      <c r="L904" s="475"/>
      <c r="M904" s="475"/>
      <c r="N904" s="475"/>
      <c r="O904" s="475"/>
      <c r="P904" s="475"/>
      <c r="Q904" s="475"/>
      <c r="R904" s="475"/>
      <c r="S904" s="475"/>
      <c r="T904" s="475"/>
      <c r="U904" s="475"/>
      <c r="V904" s="475"/>
      <c r="W904" s="475"/>
      <c r="X904" s="475"/>
      <c r="Y904" s="475"/>
      <c r="Z904" s="475"/>
      <c r="AA904" s="475"/>
      <c r="AB904" s="475"/>
      <c r="AC904" s="475"/>
      <c r="AD904" s="475"/>
      <c r="AE904" s="475"/>
      <c r="AF904" s="475"/>
    </row>
    <row r="905" spans="2:32">
      <c r="B905" s="471"/>
      <c r="C905" s="475"/>
      <c r="D905" s="475"/>
      <c r="E905" s="475"/>
      <c r="F905" s="474"/>
      <c r="G905" s="475"/>
      <c r="H905" s="474"/>
      <c r="I905" s="474"/>
      <c r="J905" s="475"/>
      <c r="K905" s="475"/>
      <c r="L905" s="475"/>
      <c r="M905" s="475"/>
      <c r="N905" s="475"/>
      <c r="O905" s="475"/>
      <c r="P905" s="475"/>
      <c r="Q905" s="475"/>
      <c r="R905" s="475"/>
      <c r="S905" s="475"/>
      <c r="T905" s="475"/>
      <c r="U905" s="475"/>
      <c r="V905" s="475"/>
      <c r="W905" s="475"/>
      <c r="X905" s="475"/>
      <c r="Y905" s="475"/>
      <c r="Z905" s="475"/>
      <c r="AA905" s="475"/>
      <c r="AB905" s="475"/>
      <c r="AC905" s="475"/>
      <c r="AD905" s="475"/>
      <c r="AE905" s="475"/>
      <c r="AF905" s="475"/>
    </row>
    <row r="906" spans="2:32">
      <c r="B906" s="471"/>
      <c r="C906" s="475"/>
      <c r="D906" s="475"/>
      <c r="E906" s="475"/>
      <c r="F906" s="474"/>
      <c r="G906" s="475"/>
      <c r="H906" s="474"/>
      <c r="I906" s="474"/>
      <c r="J906" s="475"/>
      <c r="K906" s="475"/>
      <c r="L906" s="475"/>
      <c r="M906" s="475"/>
      <c r="N906" s="475"/>
      <c r="O906" s="475"/>
      <c r="P906" s="475"/>
      <c r="Q906" s="475"/>
      <c r="R906" s="475"/>
      <c r="S906" s="475"/>
      <c r="T906" s="475"/>
      <c r="U906" s="475"/>
      <c r="V906" s="475"/>
      <c r="W906" s="475"/>
      <c r="X906" s="475"/>
      <c r="Y906" s="475"/>
      <c r="Z906" s="475"/>
      <c r="AA906" s="475"/>
      <c r="AB906" s="475"/>
      <c r="AC906" s="475"/>
      <c r="AD906" s="475"/>
      <c r="AE906" s="475"/>
      <c r="AF906" s="475"/>
    </row>
    <row r="907" spans="2:32">
      <c r="B907" s="471"/>
      <c r="C907" s="475"/>
      <c r="D907" s="475"/>
      <c r="E907" s="475"/>
      <c r="F907" s="474"/>
      <c r="G907" s="475"/>
      <c r="H907" s="474"/>
      <c r="I907" s="474"/>
      <c r="J907" s="475"/>
      <c r="K907" s="475"/>
      <c r="L907" s="475"/>
      <c r="M907" s="475"/>
      <c r="N907" s="475"/>
      <c r="O907" s="475"/>
      <c r="P907" s="475"/>
      <c r="Q907" s="475"/>
      <c r="R907" s="475"/>
      <c r="S907" s="475"/>
      <c r="T907" s="475"/>
      <c r="U907" s="475"/>
      <c r="V907" s="475"/>
      <c r="W907" s="475"/>
      <c r="X907" s="475"/>
      <c r="Y907" s="475"/>
      <c r="Z907" s="475"/>
      <c r="AA907" s="475"/>
      <c r="AB907" s="475"/>
      <c r="AC907" s="475"/>
      <c r="AD907" s="475"/>
      <c r="AE907" s="475"/>
      <c r="AF907" s="475"/>
    </row>
    <row r="908" spans="2:32">
      <c r="B908" s="471"/>
      <c r="C908" s="475"/>
      <c r="D908" s="475"/>
      <c r="E908" s="475"/>
      <c r="F908" s="474"/>
      <c r="G908" s="475"/>
      <c r="H908" s="474"/>
      <c r="I908" s="474"/>
      <c r="J908" s="475"/>
      <c r="K908" s="475"/>
      <c r="L908" s="475"/>
      <c r="M908" s="475"/>
      <c r="N908" s="475"/>
      <c r="O908" s="475"/>
      <c r="P908" s="475"/>
      <c r="Q908" s="475"/>
      <c r="R908" s="475"/>
      <c r="S908" s="475"/>
      <c r="T908" s="475"/>
      <c r="U908" s="475"/>
      <c r="V908" s="475"/>
      <c r="W908" s="475"/>
      <c r="X908" s="475"/>
      <c r="Y908" s="475"/>
      <c r="Z908" s="475"/>
      <c r="AA908" s="475"/>
      <c r="AB908" s="475"/>
      <c r="AC908" s="475"/>
      <c r="AD908" s="475"/>
      <c r="AE908" s="475"/>
      <c r="AF908" s="475"/>
    </row>
    <row r="909" spans="2:32">
      <c r="B909" s="471"/>
      <c r="C909" s="475"/>
      <c r="D909" s="475"/>
      <c r="E909" s="475"/>
      <c r="F909" s="474"/>
      <c r="G909" s="475"/>
      <c r="H909" s="474"/>
      <c r="I909" s="474"/>
      <c r="J909" s="475"/>
      <c r="K909" s="475"/>
      <c r="L909" s="475"/>
      <c r="M909" s="475"/>
      <c r="N909" s="475"/>
      <c r="O909" s="475"/>
      <c r="P909" s="475"/>
      <c r="Q909" s="475"/>
      <c r="R909" s="475"/>
      <c r="S909" s="475"/>
      <c r="T909" s="475"/>
      <c r="U909" s="475"/>
      <c r="V909" s="475"/>
      <c r="W909" s="475"/>
      <c r="X909" s="475"/>
      <c r="Y909" s="475"/>
      <c r="Z909" s="475"/>
      <c r="AA909" s="475"/>
      <c r="AB909" s="475"/>
      <c r="AC909" s="475"/>
      <c r="AD909" s="475"/>
      <c r="AE909" s="475"/>
      <c r="AF909" s="475"/>
    </row>
    <row r="910" spans="2:32">
      <c r="B910" s="471"/>
      <c r="C910" s="475"/>
      <c r="D910" s="475"/>
      <c r="E910" s="475"/>
      <c r="F910" s="474"/>
      <c r="G910" s="475"/>
      <c r="H910" s="474"/>
      <c r="I910" s="474"/>
      <c r="J910" s="475"/>
      <c r="K910" s="475"/>
      <c r="L910" s="475"/>
      <c r="M910" s="475"/>
      <c r="N910" s="475"/>
      <c r="O910" s="475"/>
      <c r="P910" s="475"/>
      <c r="Q910" s="475"/>
      <c r="R910" s="475"/>
      <c r="S910" s="475"/>
      <c r="T910" s="475"/>
      <c r="U910" s="475"/>
      <c r="V910" s="475"/>
      <c r="W910" s="475"/>
      <c r="X910" s="475"/>
      <c r="Y910" s="475"/>
      <c r="Z910" s="475"/>
      <c r="AA910" s="475"/>
      <c r="AB910" s="475"/>
      <c r="AC910" s="475"/>
      <c r="AD910" s="475"/>
      <c r="AE910" s="475"/>
      <c r="AF910" s="475"/>
    </row>
    <row r="911" spans="2:32">
      <c r="B911" s="471"/>
      <c r="C911" s="475"/>
      <c r="D911" s="475"/>
      <c r="E911" s="475"/>
      <c r="F911" s="474"/>
      <c r="G911" s="475"/>
      <c r="H911" s="474"/>
      <c r="I911" s="474"/>
      <c r="J911" s="475"/>
      <c r="K911" s="475"/>
      <c r="L911" s="475"/>
      <c r="M911" s="475"/>
      <c r="N911" s="475"/>
      <c r="O911" s="475"/>
      <c r="P911" s="475"/>
      <c r="Q911" s="475"/>
      <c r="R911" s="475"/>
      <c r="S911" s="475"/>
      <c r="T911" s="475"/>
      <c r="U911" s="475"/>
      <c r="V911" s="475"/>
      <c r="W911" s="475"/>
      <c r="X911" s="475"/>
      <c r="Y911" s="475"/>
      <c r="Z911" s="475"/>
      <c r="AA911" s="475"/>
      <c r="AB911" s="475"/>
      <c r="AC911" s="475"/>
      <c r="AD911" s="475"/>
      <c r="AE911" s="475"/>
      <c r="AF911" s="475"/>
    </row>
    <row r="912" spans="2:32">
      <c r="B912" s="471"/>
      <c r="C912" s="475"/>
      <c r="D912" s="475"/>
      <c r="E912" s="475"/>
      <c r="F912" s="474"/>
      <c r="G912" s="475"/>
      <c r="H912" s="474"/>
      <c r="I912" s="474"/>
      <c r="J912" s="475"/>
      <c r="K912" s="475"/>
      <c r="L912" s="475"/>
      <c r="M912" s="475"/>
      <c r="N912" s="475"/>
      <c r="O912" s="475"/>
      <c r="P912" s="475"/>
      <c r="Q912" s="475"/>
      <c r="R912" s="475"/>
      <c r="S912" s="475"/>
      <c r="T912" s="475"/>
      <c r="U912" s="475"/>
      <c r="V912" s="475"/>
      <c r="W912" s="475"/>
      <c r="X912" s="475"/>
      <c r="Y912" s="475"/>
      <c r="Z912" s="475"/>
      <c r="AA912" s="475"/>
      <c r="AB912" s="475"/>
      <c r="AC912" s="475"/>
      <c r="AD912" s="475"/>
      <c r="AE912" s="475"/>
      <c r="AF912" s="475"/>
    </row>
    <row r="913" spans="2:32">
      <c r="B913" s="471"/>
      <c r="C913" s="475"/>
      <c r="D913" s="475"/>
      <c r="E913" s="475"/>
      <c r="F913" s="474"/>
      <c r="G913" s="475"/>
      <c r="H913" s="474"/>
      <c r="I913" s="474"/>
      <c r="J913" s="475"/>
      <c r="K913" s="475"/>
      <c r="L913" s="475"/>
      <c r="M913" s="475"/>
      <c r="N913" s="475"/>
      <c r="O913" s="475"/>
      <c r="P913" s="475"/>
      <c r="Q913" s="475"/>
      <c r="R913" s="475"/>
      <c r="S913" s="475"/>
      <c r="T913" s="475"/>
      <c r="U913" s="475"/>
      <c r="V913" s="475"/>
      <c r="W913" s="475"/>
      <c r="X913" s="475"/>
      <c r="Y913" s="475"/>
      <c r="Z913" s="475"/>
      <c r="AA913" s="475"/>
      <c r="AB913" s="475"/>
      <c r="AC913" s="475"/>
      <c r="AD913" s="475"/>
      <c r="AE913" s="475"/>
      <c r="AF913" s="475"/>
    </row>
    <row r="914" spans="2:32">
      <c r="B914" s="471"/>
      <c r="C914" s="475"/>
      <c r="D914" s="475"/>
      <c r="E914" s="475"/>
      <c r="F914" s="474"/>
      <c r="G914" s="475"/>
      <c r="H914" s="474"/>
      <c r="I914" s="474"/>
      <c r="J914" s="475"/>
      <c r="K914" s="475"/>
      <c r="L914" s="475"/>
      <c r="M914" s="475"/>
      <c r="N914" s="475"/>
      <c r="O914" s="475"/>
      <c r="P914" s="475"/>
      <c r="Q914" s="475"/>
      <c r="R914" s="475"/>
      <c r="S914" s="475"/>
      <c r="T914" s="475"/>
      <c r="U914" s="475"/>
      <c r="V914" s="475"/>
      <c r="W914" s="475"/>
      <c r="X914" s="475"/>
      <c r="Y914" s="475"/>
      <c r="Z914" s="475"/>
      <c r="AA914" s="475"/>
      <c r="AB914" s="475"/>
      <c r="AC914" s="475"/>
      <c r="AD914" s="475"/>
      <c r="AE914" s="475"/>
      <c r="AF914" s="475"/>
    </row>
    <row r="915" spans="2:32">
      <c r="B915" s="471"/>
      <c r="C915" s="475"/>
      <c r="D915" s="475"/>
      <c r="E915" s="475"/>
      <c r="F915" s="474"/>
      <c r="G915" s="475"/>
      <c r="H915" s="474"/>
      <c r="I915" s="474"/>
      <c r="J915" s="475"/>
      <c r="K915" s="475"/>
      <c r="L915" s="475"/>
      <c r="M915" s="475"/>
      <c r="N915" s="475"/>
      <c r="O915" s="475"/>
      <c r="P915" s="475"/>
      <c r="Q915" s="475"/>
      <c r="R915" s="475"/>
      <c r="S915" s="475"/>
      <c r="T915" s="475"/>
      <c r="U915" s="475"/>
      <c r="V915" s="475"/>
      <c r="W915" s="475"/>
      <c r="X915" s="475"/>
      <c r="Y915" s="475"/>
      <c r="Z915" s="475"/>
      <c r="AA915" s="475"/>
      <c r="AB915" s="475"/>
      <c r="AC915" s="475"/>
      <c r="AD915" s="475"/>
      <c r="AE915" s="475"/>
      <c r="AF915" s="475"/>
    </row>
    <row r="916" spans="2:32">
      <c r="B916" s="471"/>
      <c r="C916" s="475"/>
      <c r="D916" s="475"/>
      <c r="E916" s="475"/>
      <c r="F916" s="474"/>
      <c r="G916" s="475"/>
      <c r="H916" s="474"/>
      <c r="I916" s="474"/>
      <c r="J916" s="475"/>
      <c r="K916" s="475"/>
      <c r="L916" s="475"/>
      <c r="M916" s="475"/>
      <c r="N916" s="475"/>
      <c r="O916" s="475"/>
      <c r="P916" s="475"/>
      <c r="Q916" s="475"/>
      <c r="R916" s="475"/>
      <c r="S916" s="475"/>
      <c r="T916" s="475"/>
      <c r="U916" s="475"/>
      <c r="V916" s="475"/>
      <c r="W916" s="475"/>
      <c r="X916" s="475"/>
      <c r="Y916" s="475"/>
      <c r="Z916" s="475"/>
      <c r="AA916" s="475"/>
      <c r="AB916" s="475"/>
      <c r="AC916" s="475"/>
      <c r="AD916" s="475"/>
      <c r="AE916" s="475"/>
      <c r="AF916" s="475"/>
    </row>
    <row r="917" spans="2:32">
      <c r="B917" s="471"/>
      <c r="C917" s="475"/>
      <c r="D917" s="475"/>
      <c r="E917" s="475"/>
      <c r="F917" s="474"/>
      <c r="G917" s="475"/>
      <c r="H917" s="474"/>
      <c r="I917" s="474"/>
      <c r="J917" s="475"/>
      <c r="K917" s="475"/>
      <c r="L917" s="475"/>
      <c r="M917" s="475"/>
      <c r="N917" s="475"/>
      <c r="O917" s="475"/>
      <c r="P917" s="475"/>
      <c r="Q917" s="475"/>
      <c r="R917" s="475"/>
      <c r="S917" s="475"/>
      <c r="T917" s="475"/>
      <c r="U917" s="475"/>
      <c r="V917" s="475"/>
      <c r="W917" s="475"/>
      <c r="X917" s="475"/>
      <c r="Y917" s="475"/>
      <c r="Z917" s="475"/>
      <c r="AA917" s="475"/>
      <c r="AB917" s="475"/>
      <c r="AC917" s="475"/>
      <c r="AD917" s="475"/>
      <c r="AE917" s="475"/>
      <c r="AF917" s="475"/>
    </row>
    <row r="918" spans="2:32">
      <c r="B918" s="471"/>
      <c r="C918" s="475"/>
      <c r="D918" s="475"/>
      <c r="E918" s="475"/>
      <c r="F918" s="474"/>
      <c r="G918" s="475"/>
      <c r="H918" s="474"/>
      <c r="I918" s="474"/>
      <c r="J918" s="475"/>
      <c r="K918" s="475"/>
      <c r="L918" s="475"/>
      <c r="M918" s="475"/>
      <c r="N918" s="475"/>
      <c r="O918" s="475"/>
      <c r="P918" s="475"/>
      <c r="Q918" s="475"/>
      <c r="R918" s="475"/>
      <c r="S918" s="475"/>
      <c r="T918" s="475"/>
      <c r="U918" s="475"/>
      <c r="V918" s="475"/>
      <c r="W918" s="475"/>
      <c r="X918" s="475"/>
      <c r="Y918" s="475"/>
      <c r="Z918" s="475"/>
      <c r="AA918" s="475"/>
      <c r="AB918" s="475"/>
      <c r="AC918" s="475"/>
      <c r="AD918" s="475"/>
      <c r="AE918" s="475"/>
      <c r="AF918" s="475"/>
    </row>
    <row r="919" spans="2:32">
      <c r="B919" s="471"/>
      <c r="C919" s="475"/>
      <c r="D919" s="475"/>
      <c r="E919" s="475"/>
      <c r="F919" s="474"/>
      <c r="G919" s="475"/>
      <c r="H919" s="474"/>
      <c r="I919" s="474"/>
      <c r="J919" s="475"/>
      <c r="K919" s="475"/>
      <c r="L919" s="475"/>
      <c r="M919" s="475"/>
      <c r="N919" s="475"/>
      <c r="O919" s="475"/>
      <c r="P919" s="475"/>
      <c r="Q919" s="475"/>
      <c r="R919" s="475"/>
      <c r="S919" s="475"/>
      <c r="T919" s="475"/>
      <c r="U919" s="475"/>
      <c r="V919" s="475"/>
      <c r="W919" s="475"/>
      <c r="X919" s="475"/>
      <c r="Y919" s="475"/>
      <c r="Z919" s="475"/>
      <c r="AA919" s="475"/>
      <c r="AB919" s="475"/>
      <c r="AC919" s="475"/>
      <c r="AD919" s="475"/>
      <c r="AE919" s="475"/>
      <c r="AF919" s="475"/>
    </row>
    <row r="920" spans="2:32">
      <c r="B920" s="471"/>
      <c r="C920" s="475"/>
      <c r="D920" s="475"/>
      <c r="E920" s="475"/>
      <c r="F920" s="474"/>
      <c r="G920" s="475"/>
      <c r="H920" s="474"/>
      <c r="I920" s="474"/>
      <c r="J920" s="475"/>
      <c r="K920" s="475"/>
      <c r="L920" s="475"/>
      <c r="M920" s="475"/>
      <c r="N920" s="475"/>
      <c r="O920" s="475"/>
      <c r="P920" s="475"/>
      <c r="Q920" s="475"/>
      <c r="R920" s="475"/>
      <c r="S920" s="475"/>
      <c r="T920" s="475"/>
      <c r="U920" s="475"/>
      <c r="V920" s="475"/>
      <c r="W920" s="475"/>
      <c r="X920" s="475"/>
      <c r="Y920" s="475"/>
      <c r="Z920" s="475"/>
      <c r="AA920" s="475"/>
      <c r="AB920" s="475"/>
      <c r="AC920" s="475"/>
      <c r="AD920" s="475"/>
      <c r="AE920" s="475"/>
      <c r="AF920" s="475"/>
    </row>
    <row r="921" spans="2:32">
      <c r="B921" s="471"/>
      <c r="C921" s="475"/>
      <c r="D921" s="475"/>
      <c r="E921" s="475"/>
      <c r="F921" s="474"/>
      <c r="G921" s="475"/>
      <c r="H921" s="474"/>
      <c r="I921" s="474"/>
      <c r="J921" s="475"/>
      <c r="K921" s="475"/>
      <c r="L921" s="475"/>
      <c r="M921" s="475"/>
      <c r="N921" s="475"/>
      <c r="O921" s="475"/>
      <c r="P921" s="475"/>
      <c r="Q921" s="475"/>
      <c r="R921" s="475"/>
      <c r="S921" s="475"/>
      <c r="T921" s="475"/>
      <c r="U921" s="475"/>
      <c r="V921" s="475"/>
      <c r="W921" s="475"/>
      <c r="X921" s="475"/>
      <c r="Y921" s="475"/>
      <c r="Z921" s="475"/>
      <c r="AA921" s="475"/>
      <c r="AB921" s="475"/>
      <c r="AC921" s="475"/>
      <c r="AD921" s="475"/>
      <c r="AE921" s="475"/>
      <c r="AF921" s="475"/>
    </row>
    <row r="922" spans="2:32">
      <c r="B922" s="471"/>
      <c r="C922" s="475"/>
      <c r="D922" s="475"/>
      <c r="E922" s="475"/>
      <c r="F922" s="474"/>
      <c r="G922" s="475"/>
      <c r="H922" s="474"/>
      <c r="I922" s="474"/>
      <c r="J922" s="475"/>
      <c r="K922" s="475"/>
      <c r="L922" s="475"/>
      <c r="M922" s="475"/>
      <c r="N922" s="475"/>
      <c r="O922" s="475"/>
      <c r="P922" s="475"/>
      <c r="Q922" s="475"/>
      <c r="R922" s="475"/>
      <c r="S922" s="475"/>
      <c r="T922" s="475"/>
      <c r="U922" s="475"/>
      <c r="V922" s="475"/>
      <c r="W922" s="475"/>
      <c r="X922" s="475"/>
      <c r="Y922" s="475"/>
      <c r="Z922" s="475"/>
      <c r="AA922" s="475"/>
      <c r="AB922" s="475"/>
      <c r="AC922" s="475"/>
      <c r="AD922" s="475"/>
      <c r="AE922" s="475"/>
      <c r="AF922" s="475"/>
    </row>
    <row r="923" spans="2:32">
      <c r="B923" s="471"/>
      <c r="C923" s="475"/>
      <c r="D923" s="475"/>
      <c r="E923" s="475"/>
      <c r="F923" s="474"/>
      <c r="G923" s="475"/>
      <c r="H923" s="474"/>
      <c r="I923" s="474"/>
      <c r="J923" s="475"/>
      <c r="K923" s="475"/>
      <c r="L923" s="475"/>
      <c r="M923" s="475"/>
      <c r="N923" s="475"/>
      <c r="O923" s="475"/>
      <c r="P923" s="475"/>
      <c r="Q923" s="475"/>
      <c r="R923" s="475"/>
      <c r="S923" s="475"/>
      <c r="T923" s="475"/>
      <c r="U923" s="475"/>
      <c r="V923" s="475"/>
      <c r="W923" s="475"/>
      <c r="X923" s="475"/>
      <c r="Y923" s="475"/>
      <c r="Z923" s="475"/>
      <c r="AA923" s="475"/>
      <c r="AB923" s="475"/>
      <c r="AC923" s="475"/>
      <c r="AD923" s="475"/>
      <c r="AE923" s="475"/>
      <c r="AF923" s="475"/>
    </row>
    <row r="924" spans="2:32">
      <c r="B924" s="471"/>
      <c r="C924" s="475"/>
      <c r="D924" s="475"/>
      <c r="E924" s="475"/>
      <c r="F924" s="474"/>
      <c r="G924" s="475"/>
      <c r="H924" s="474"/>
      <c r="I924" s="474"/>
      <c r="J924" s="475"/>
      <c r="K924" s="475"/>
      <c r="L924" s="475"/>
      <c r="M924" s="475"/>
      <c r="N924" s="475"/>
      <c r="O924" s="475"/>
      <c r="P924" s="475"/>
      <c r="Q924" s="475"/>
      <c r="R924" s="475"/>
      <c r="S924" s="475"/>
      <c r="T924" s="475"/>
      <c r="U924" s="475"/>
      <c r="V924" s="475"/>
      <c r="W924" s="475"/>
      <c r="X924" s="475"/>
      <c r="Y924" s="475"/>
      <c r="Z924" s="475"/>
      <c r="AA924" s="475"/>
      <c r="AB924" s="475"/>
      <c r="AC924" s="475"/>
      <c r="AD924" s="475"/>
      <c r="AE924" s="475"/>
      <c r="AF924" s="475"/>
    </row>
    <row r="925" spans="2:32">
      <c r="B925" s="471"/>
      <c r="C925" s="475"/>
      <c r="D925" s="475"/>
      <c r="E925" s="475"/>
      <c r="F925" s="474"/>
      <c r="G925" s="475"/>
      <c r="H925" s="474"/>
      <c r="I925" s="474"/>
      <c r="J925" s="475"/>
      <c r="K925" s="475"/>
      <c r="L925" s="475"/>
      <c r="M925" s="475"/>
      <c r="N925" s="475"/>
      <c r="O925" s="475"/>
      <c r="P925" s="475"/>
      <c r="Q925" s="475"/>
      <c r="R925" s="475"/>
      <c r="S925" s="475"/>
      <c r="T925" s="475"/>
      <c r="U925" s="475"/>
      <c r="V925" s="475"/>
      <c r="W925" s="475"/>
      <c r="X925" s="475"/>
      <c r="Y925" s="475"/>
      <c r="Z925" s="475"/>
      <c r="AA925" s="475"/>
      <c r="AB925" s="475"/>
      <c r="AC925" s="475"/>
      <c r="AD925" s="475"/>
      <c r="AE925" s="475"/>
      <c r="AF925" s="475"/>
    </row>
    <row r="926" spans="2:32">
      <c r="B926" s="471"/>
      <c r="C926" s="475"/>
      <c r="D926" s="475"/>
      <c r="E926" s="475"/>
      <c r="F926" s="474"/>
      <c r="G926" s="475"/>
      <c r="H926" s="474"/>
      <c r="I926" s="474"/>
      <c r="J926" s="475"/>
      <c r="K926" s="475"/>
      <c r="L926" s="475"/>
      <c r="M926" s="475"/>
      <c r="N926" s="475"/>
      <c r="O926" s="475"/>
      <c r="P926" s="475"/>
      <c r="Q926" s="475"/>
      <c r="R926" s="475"/>
      <c r="S926" s="475"/>
      <c r="T926" s="475"/>
      <c r="U926" s="475"/>
      <c r="V926" s="475"/>
      <c r="W926" s="475"/>
      <c r="X926" s="475"/>
      <c r="Y926" s="475"/>
      <c r="Z926" s="475"/>
      <c r="AA926" s="475"/>
      <c r="AB926" s="475"/>
      <c r="AC926" s="475"/>
      <c r="AD926" s="475"/>
      <c r="AE926" s="475"/>
      <c r="AF926" s="475"/>
    </row>
    <row r="927" spans="2:32">
      <c r="B927" s="471"/>
      <c r="C927" s="475"/>
      <c r="D927" s="475"/>
      <c r="E927" s="475"/>
      <c r="F927" s="474"/>
      <c r="G927" s="475"/>
      <c r="H927" s="474"/>
      <c r="I927" s="474"/>
      <c r="J927" s="475"/>
      <c r="K927" s="475"/>
      <c r="L927" s="475"/>
      <c r="M927" s="475"/>
      <c r="N927" s="475"/>
      <c r="O927" s="475"/>
      <c r="P927" s="475"/>
      <c r="Q927" s="475"/>
      <c r="R927" s="475"/>
      <c r="S927" s="475"/>
      <c r="T927" s="475"/>
      <c r="U927" s="475"/>
      <c r="V927" s="475"/>
      <c r="W927" s="475"/>
      <c r="X927" s="475"/>
      <c r="Y927" s="475"/>
      <c r="Z927" s="475"/>
      <c r="AA927" s="475"/>
      <c r="AB927" s="475"/>
      <c r="AC927" s="475"/>
      <c r="AD927" s="475"/>
      <c r="AE927" s="475"/>
      <c r="AF927" s="475"/>
    </row>
    <row r="928" spans="2:32">
      <c r="B928" s="471"/>
      <c r="C928" s="475"/>
      <c r="D928" s="475"/>
      <c r="E928" s="475"/>
      <c r="F928" s="474"/>
      <c r="G928" s="475"/>
      <c r="H928" s="474"/>
      <c r="I928" s="474"/>
      <c r="J928" s="475"/>
      <c r="K928" s="475"/>
      <c r="L928" s="475"/>
      <c r="M928" s="475"/>
      <c r="N928" s="475"/>
      <c r="O928" s="475"/>
      <c r="P928" s="475"/>
      <c r="Q928" s="475"/>
      <c r="R928" s="475"/>
      <c r="S928" s="475"/>
      <c r="T928" s="475"/>
      <c r="U928" s="475"/>
      <c r="V928" s="475"/>
      <c r="W928" s="475"/>
      <c r="X928" s="475"/>
      <c r="Y928" s="475"/>
      <c r="Z928" s="475"/>
      <c r="AA928" s="475"/>
      <c r="AB928" s="475"/>
      <c r="AC928" s="475"/>
      <c r="AD928" s="475"/>
      <c r="AE928" s="475"/>
      <c r="AF928" s="475"/>
    </row>
    <row r="929" spans="2:32">
      <c r="B929" s="471"/>
      <c r="C929" s="475"/>
      <c r="D929" s="475"/>
      <c r="E929" s="475"/>
      <c r="F929" s="474"/>
      <c r="G929" s="475"/>
      <c r="H929" s="474"/>
      <c r="I929" s="474"/>
      <c r="J929" s="475"/>
      <c r="K929" s="475"/>
      <c r="L929" s="475"/>
      <c r="M929" s="475"/>
      <c r="N929" s="475"/>
      <c r="O929" s="475"/>
      <c r="P929" s="475"/>
      <c r="Q929" s="475"/>
      <c r="R929" s="475"/>
      <c r="S929" s="475"/>
      <c r="T929" s="475"/>
      <c r="U929" s="475"/>
      <c r="V929" s="475"/>
      <c r="W929" s="475"/>
      <c r="X929" s="475"/>
      <c r="Y929" s="475"/>
      <c r="Z929" s="475"/>
      <c r="AA929" s="475"/>
      <c r="AB929" s="475"/>
      <c r="AC929" s="475"/>
      <c r="AD929" s="475"/>
      <c r="AE929" s="475"/>
      <c r="AF929" s="475"/>
    </row>
    <row r="930" spans="2:32">
      <c r="B930" s="471"/>
      <c r="C930" s="475"/>
      <c r="D930" s="475"/>
      <c r="E930" s="475"/>
      <c r="F930" s="474"/>
      <c r="G930" s="475"/>
      <c r="H930" s="474"/>
      <c r="I930" s="474"/>
      <c r="J930" s="475"/>
      <c r="K930" s="475"/>
      <c r="L930" s="475"/>
      <c r="M930" s="475"/>
      <c r="N930" s="475"/>
      <c r="O930" s="475"/>
      <c r="P930" s="475"/>
      <c r="Q930" s="475"/>
      <c r="R930" s="475"/>
      <c r="S930" s="475"/>
      <c r="T930" s="475"/>
      <c r="U930" s="475"/>
      <c r="V930" s="475"/>
      <c r="W930" s="475"/>
      <c r="X930" s="475"/>
      <c r="Y930" s="475"/>
      <c r="Z930" s="475"/>
      <c r="AA930" s="475"/>
      <c r="AB930" s="475"/>
      <c r="AC930" s="475"/>
      <c r="AD930" s="475"/>
      <c r="AE930" s="475"/>
      <c r="AF930" s="475"/>
    </row>
    <row r="931" spans="2:32">
      <c r="B931" s="471"/>
      <c r="C931" s="475"/>
      <c r="D931" s="475"/>
      <c r="E931" s="475"/>
      <c r="F931" s="474"/>
      <c r="G931" s="475"/>
      <c r="H931" s="474"/>
      <c r="I931" s="474"/>
      <c r="J931" s="475"/>
      <c r="K931" s="475"/>
      <c r="L931" s="475"/>
      <c r="M931" s="475"/>
      <c r="N931" s="475"/>
      <c r="O931" s="475"/>
      <c r="P931" s="475"/>
      <c r="Q931" s="475"/>
      <c r="R931" s="475"/>
      <c r="S931" s="475"/>
      <c r="T931" s="475"/>
      <c r="U931" s="475"/>
      <c r="V931" s="475"/>
      <c r="W931" s="475"/>
      <c r="X931" s="475"/>
      <c r="Y931" s="475"/>
      <c r="Z931" s="475"/>
      <c r="AA931" s="475"/>
      <c r="AB931" s="475"/>
      <c r="AC931" s="475"/>
      <c r="AD931" s="475"/>
      <c r="AE931" s="475"/>
      <c r="AF931" s="475"/>
    </row>
    <row r="932" spans="2:32">
      <c r="B932" s="471"/>
      <c r="C932" s="475"/>
      <c r="D932" s="475"/>
      <c r="E932" s="475"/>
      <c r="F932" s="474"/>
      <c r="G932" s="475"/>
      <c r="H932" s="474"/>
      <c r="I932" s="474"/>
      <c r="J932" s="475"/>
      <c r="K932" s="475"/>
      <c r="L932" s="475"/>
      <c r="M932" s="475"/>
      <c r="N932" s="475"/>
      <c r="O932" s="475"/>
      <c r="P932" s="475"/>
      <c r="Q932" s="475"/>
      <c r="R932" s="475"/>
      <c r="S932" s="475"/>
      <c r="T932" s="475"/>
      <c r="U932" s="475"/>
      <c r="V932" s="475"/>
      <c r="W932" s="475"/>
      <c r="X932" s="475"/>
      <c r="Y932" s="475"/>
      <c r="Z932" s="475"/>
      <c r="AA932" s="475"/>
      <c r="AB932" s="475"/>
      <c r="AC932" s="475"/>
      <c r="AD932" s="475"/>
      <c r="AE932" s="475"/>
      <c r="AF932" s="475"/>
    </row>
    <row r="933" spans="2:32">
      <c r="B933" s="471"/>
      <c r="C933" s="475"/>
      <c r="D933" s="475"/>
      <c r="E933" s="475"/>
      <c r="F933" s="474"/>
      <c r="G933" s="475"/>
      <c r="H933" s="474"/>
      <c r="I933" s="474"/>
      <c r="J933" s="475"/>
      <c r="K933" s="475"/>
      <c r="L933" s="475"/>
      <c r="M933" s="475"/>
      <c r="N933" s="475"/>
      <c r="O933" s="475"/>
      <c r="P933" s="475"/>
      <c r="Q933" s="475"/>
      <c r="R933" s="475"/>
      <c r="S933" s="475"/>
      <c r="T933" s="475"/>
      <c r="U933" s="475"/>
      <c r="V933" s="475"/>
      <c r="W933" s="475"/>
      <c r="X933" s="475"/>
      <c r="Y933" s="475"/>
      <c r="Z933" s="475"/>
      <c r="AA933" s="475"/>
      <c r="AB933" s="475"/>
      <c r="AC933" s="475"/>
      <c r="AD933" s="475"/>
      <c r="AE933" s="475"/>
      <c r="AF933" s="475"/>
    </row>
    <row r="934" spans="2:32">
      <c r="B934" s="471"/>
      <c r="C934" s="475"/>
      <c r="D934" s="475"/>
      <c r="E934" s="475"/>
      <c r="F934" s="474"/>
      <c r="G934" s="475"/>
      <c r="H934" s="474"/>
      <c r="I934" s="474"/>
      <c r="J934" s="475"/>
      <c r="K934" s="475"/>
      <c r="L934" s="475"/>
      <c r="M934" s="475"/>
      <c r="N934" s="475"/>
      <c r="O934" s="475"/>
      <c r="P934" s="475"/>
      <c r="Q934" s="475"/>
      <c r="R934" s="475"/>
      <c r="S934" s="475"/>
      <c r="T934" s="475"/>
      <c r="U934" s="475"/>
      <c r="V934" s="475"/>
      <c r="W934" s="475"/>
      <c r="X934" s="475"/>
      <c r="Y934" s="475"/>
      <c r="Z934" s="475"/>
      <c r="AA934" s="475"/>
      <c r="AB934" s="475"/>
      <c r="AC934" s="475"/>
      <c r="AD934" s="475"/>
      <c r="AE934" s="475"/>
      <c r="AF934" s="475"/>
    </row>
    <row r="935" spans="2:32">
      <c r="B935" s="471"/>
      <c r="C935" s="475"/>
      <c r="D935" s="475"/>
      <c r="E935" s="475"/>
      <c r="F935" s="474"/>
      <c r="G935" s="475"/>
      <c r="H935" s="474"/>
      <c r="I935" s="474"/>
      <c r="J935" s="475"/>
      <c r="K935" s="475"/>
      <c r="L935" s="475"/>
      <c r="M935" s="475"/>
      <c r="N935" s="475"/>
      <c r="O935" s="475"/>
      <c r="P935" s="475"/>
      <c r="Q935" s="475"/>
      <c r="R935" s="475"/>
      <c r="S935" s="475"/>
      <c r="T935" s="475"/>
      <c r="U935" s="475"/>
      <c r="V935" s="475"/>
      <c r="W935" s="475"/>
      <c r="X935" s="475"/>
      <c r="Y935" s="475"/>
      <c r="Z935" s="475"/>
      <c r="AA935" s="475"/>
      <c r="AB935" s="475"/>
      <c r="AC935" s="475"/>
      <c r="AD935" s="475"/>
      <c r="AE935" s="475"/>
      <c r="AF935" s="475"/>
    </row>
    <row r="936" spans="2:32">
      <c r="B936" s="471"/>
      <c r="C936" s="475"/>
      <c r="D936" s="475"/>
      <c r="E936" s="475"/>
      <c r="F936" s="474"/>
      <c r="G936" s="475"/>
      <c r="H936" s="474"/>
      <c r="I936" s="474"/>
      <c r="J936" s="475"/>
      <c r="K936" s="475"/>
      <c r="L936" s="475"/>
      <c r="M936" s="475"/>
      <c r="N936" s="475"/>
      <c r="O936" s="475"/>
      <c r="P936" s="475"/>
      <c r="Q936" s="475"/>
      <c r="R936" s="475"/>
      <c r="S936" s="475"/>
      <c r="T936" s="475"/>
      <c r="U936" s="475"/>
      <c r="V936" s="475"/>
      <c r="W936" s="475"/>
      <c r="X936" s="475"/>
      <c r="Y936" s="475"/>
      <c r="Z936" s="475"/>
      <c r="AA936" s="475"/>
      <c r="AB936" s="475"/>
      <c r="AC936" s="475"/>
      <c r="AD936" s="475"/>
      <c r="AE936" s="475"/>
      <c r="AF936" s="475"/>
    </row>
    <row r="937" spans="2:32">
      <c r="B937" s="471"/>
      <c r="C937" s="475"/>
      <c r="D937" s="475"/>
      <c r="E937" s="475"/>
      <c r="F937" s="474"/>
      <c r="G937" s="475"/>
      <c r="H937" s="474"/>
      <c r="I937" s="474"/>
      <c r="J937" s="475"/>
      <c r="K937" s="475"/>
      <c r="L937" s="475"/>
      <c r="M937" s="475"/>
      <c r="N937" s="475"/>
      <c r="O937" s="475"/>
      <c r="P937" s="475"/>
      <c r="Q937" s="475"/>
      <c r="R937" s="475"/>
      <c r="S937" s="475"/>
      <c r="T937" s="475"/>
      <c r="U937" s="475"/>
      <c r="V937" s="475"/>
      <c r="W937" s="475"/>
      <c r="X937" s="475"/>
      <c r="Y937" s="475"/>
      <c r="Z937" s="475"/>
      <c r="AA937" s="475"/>
      <c r="AB937" s="475"/>
      <c r="AC937" s="475"/>
      <c r="AD937" s="475"/>
      <c r="AE937" s="475"/>
      <c r="AF937" s="475"/>
    </row>
    <row r="938" spans="2:32">
      <c r="B938" s="471"/>
      <c r="C938" s="475"/>
      <c r="D938" s="475"/>
      <c r="E938" s="475"/>
      <c r="F938" s="474"/>
      <c r="G938" s="475"/>
      <c r="H938" s="474"/>
      <c r="I938" s="474"/>
      <c r="J938" s="475"/>
      <c r="K938" s="475"/>
      <c r="L938" s="475"/>
      <c r="M938" s="475"/>
      <c r="N938" s="475"/>
      <c r="O938" s="475"/>
      <c r="P938" s="475"/>
      <c r="Q938" s="475"/>
      <c r="R938" s="475"/>
      <c r="S938" s="475"/>
      <c r="T938" s="475"/>
      <c r="U938" s="475"/>
      <c r="V938" s="475"/>
      <c r="W938" s="475"/>
      <c r="X938" s="475"/>
      <c r="Y938" s="475"/>
      <c r="Z938" s="475"/>
      <c r="AA938" s="475"/>
      <c r="AB938" s="475"/>
      <c r="AC938" s="475"/>
      <c r="AD938" s="475"/>
      <c r="AE938" s="475"/>
      <c r="AF938" s="475"/>
    </row>
    <row r="939" spans="2:32">
      <c r="B939" s="471"/>
      <c r="C939" s="475"/>
      <c r="D939" s="475"/>
      <c r="E939" s="475"/>
      <c r="F939" s="474"/>
      <c r="G939" s="475"/>
      <c r="H939" s="474"/>
      <c r="I939" s="474"/>
      <c r="J939" s="475"/>
      <c r="K939" s="475"/>
      <c r="L939" s="475"/>
      <c r="M939" s="475"/>
      <c r="N939" s="475"/>
      <c r="O939" s="475"/>
      <c r="P939" s="475"/>
      <c r="Q939" s="475"/>
      <c r="R939" s="475"/>
      <c r="S939" s="475"/>
      <c r="T939" s="475"/>
      <c r="U939" s="475"/>
      <c r="V939" s="475"/>
      <c r="W939" s="475"/>
      <c r="X939" s="475"/>
      <c r="Y939" s="475"/>
      <c r="Z939" s="475"/>
      <c r="AA939" s="475"/>
      <c r="AB939" s="475"/>
      <c r="AC939" s="475"/>
      <c r="AD939" s="475"/>
      <c r="AE939" s="475"/>
      <c r="AF939" s="475"/>
    </row>
    <row r="940" spans="2:32">
      <c r="B940" s="471"/>
      <c r="C940" s="475"/>
      <c r="D940" s="475"/>
      <c r="E940" s="475"/>
      <c r="F940" s="474"/>
      <c r="G940" s="475"/>
      <c r="H940" s="474"/>
      <c r="I940" s="474"/>
      <c r="J940" s="475"/>
      <c r="K940" s="475"/>
      <c r="L940" s="475"/>
      <c r="M940" s="475"/>
      <c r="N940" s="475"/>
      <c r="O940" s="475"/>
      <c r="P940" s="475"/>
      <c r="Q940" s="475"/>
      <c r="R940" s="475"/>
      <c r="S940" s="475"/>
      <c r="T940" s="475"/>
      <c r="U940" s="475"/>
      <c r="V940" s="475"/>
      <c r="W940" s="475"/>
      <c r="X940" s="475"/>
      <c r="Y940" s="475"/>
      <c r="Z940" s="475"/>
      <c r="AA940" s="475"/>
      <c r="AB940" s="475"/>
      <c r="AC940" s="475"/>
      <c r="AD940" s="475"/>
      <c r="AE940" s="475"/>
      <c r="AF940" s="475"/>
    </row>
    <row r="941" spans="2:32">
      <c r="B941" s="471"/>
      <c r="C941" s="475"/>
      <c r="D941" s="475"/>
      <c r="E941" s="475"/>
      <c r="F941" s="474"/>
      <c r="G941" s="475"/>
      <c r="H941" s="474"/>
      <c r="I941" s="474"/>
      <c r="J941" s="475"/>
      <c r="K941" s="475"/>
      <c r="L941" s="475"/>
      <c r="M941" s="475"/>
      <c r="N941" s="475"/>
      <c r="O941" s="475"/>
      <c r="P941" s="475"/>
      <c r="Q941" s="475"/>
      <c r="R941" s="475"/>
      <c r="S941" s="475"/>
      <c r="T941" s="475"/>
      <c r="U941" s="475"/>
      <c r="V941" s="475"/>
      <c r="W941" s="475"/>
      <c r="X941" s="475"/>
      <c r="Y941" s="475"/>
      <c r="Z941" s="475"/>
      <c r="AA941" s="475"/>
      <c r="AB941" s="475"/>
      <c r="AC941" s="475"/>
      <c r="AD941" s="475"/>
      <c r="AE941" s="475"/>
      <c r="AF941" s="475"/>
    </row>
    <row r="942" spans="2:32">
      <c r="B942" s="471"/>
      <c r="C942" s="475"/>
      <c r="D942" s="475"/>
      <c r="E942" s="475"/>
      <c r="F942" s="474"/>
      <c r="G942" s="475"/>
      <c r="H942" s="474"/>
      <c r="I942" s="474"/>
      <c r="J942" s="475"/>
      <c r="K942" s="475"/>
      <c r="L942" s="475"/>
      <c r="M942" s="475"/>
      <c r="N942" s="475"/>
      <c r="O942" s="475"/>
      <c r="P942" s="475"/>
      <c r="Q942" s="475"/>
      <c r="R942" s="475"/>
      <c r="S942" s="475"/>
      <c r="T942" s="475"/>
      <c r="U942" s="475"/>
      <c r="V942" s="475"/>
      <c r="W942" s="475"/>
      <c r="X942" s="475"/>
      <c r="Y942" s="475"/>
      <c r="Z942" s="475"/>
      <c r="AA942" s="475"/>
      <c r="AB942" s="475"/>
      <c r="AC942" s="475"/>
      <c r="AD942" s="475"/>
      <c r="AE942" s="475"/>
      <c r="AF942" s="475"/>
    </row>
    <row r="943" spans="2:32">
      <c r="B943" s="471"/>
      <c r="C943" s="475"/>
      <c r="D943" s="475"/>
      <c r="E943" s="475"/>
      <c r="F943" s="474"/>
      <c r="G943" s="475"/>
      <c r="H943" s="474"/>
      <c r="I943" s="474"/>
      <c r="J943" s="475"/>
      <c r="K943" s="475"/>
      <c r="L943" s="475"/>
      <c r="M943" s="475"/>
      <c r="N943" s="475"/>
      <c r="O943" s="475"/>
      <c r="P943" s="475"/>
      <c r="Q943" s="475"/>
      <c r="R943" s="475"/>
      <c r="S943" s="475"/>
      <c r="T943" s="475"/>
      <c r="U943" s="475"/>
      <c r="V943" s="475"/>
      <c r="W943" s="475"/>
      <c r="X943" s="475"/>
      <c r="Y943" s="475"/>
      <c r="Z943" s="475"/>
      <c r="AA943" s="475"/>
      <c r="AB943" s="475"/>
      <c r="AC943" s="475"/>
      <c r="AD943" s="475"/>
      <c r="AE943" s="475"/>
      <c r="AF943" s="475"/>
    </row>
    <row r="944" spans="2:32">
      <c r="B944" s="471"/>
      <c r="C944" s="475"/>
      <c r="D944" s="475"/>
      <c r="E944" s="475"/>
      <c r="F944" s="474"/>
      <c r="G944" s="475"/>
      <c r="H944" s="474"/>
      <c r="I944" s="474"/>
      <c r="J944" s="475"/>
      <c r="K944" s="475"/>
      <c r="L944" s="475"/>
      <c r="M944" s="475"/>
      <c r="N944" s="475"/>
      <c r="O944" s="475"/>
      <c r="P944" s="475"/>
      <c r="Q944" s="475"/>
      <c r="R944" s="475"/>
      <c r="S944" s="475"/>
      <c r="T944" s="475"/>
      <c r="U944" s="475"/>
      <c r="V944" s="475"/>
      <c r="W944" s="475"/>
      <c r="X944" s="475"/>
      <c r="Y944" s="475"/>
      <c r="Z944" s="475"/>
      <c r="AA944" s="475"/>
      <c r="AB944" s="475"/>
      <c r="AC944" s="475"/>
      <c r="AD944" s="475"/>
      <c r="AE944" s="475"/>
      <c r="AF944" s="475"/>
    </row>
    <row r="945" spans="2:32">
      <c r="B945" s="471"/>
      <c r="C945" s="475"/>
      <c r="D945" s="475"/>
      <c r="E945" s="475"/>
      <c r="F945" s="474"/>
      <c r="G945" s="475"/>
      <c r="H945" s="474"/>
      <c r="I945" s="474"/>
      <c r="J945" s="475"/>
      <c r="K945" s="475"/>
      <c r="L945" s="475"/>
      <c r="M945" s="475"/>
      <c r="N945" s="475"/>
      <c r="O945" s="475"/>
      <c r="P945" s="475"/>
      <c r="Q945" s="475"/>
      <c r="R945" s="475"/>
      <c r="S945" s="475"/>
      <c r="T945" s="475"/>
      <c r="U945" s="475"/>
      <c r="V945" s="475"/>
      <c r="W945" s="475"/>
      <c r="X945" s="475"/>
      <c r="Y945" s="475"/>
      <c r="Z945" s="475"/>
      <c r="AA945" s="475"/>
      <c r="AB945" s="475"/>
      <c r="AC945" s="475"/>
      <c r="AD945" s="475"/>
      <c r="AE945" s="475"/>
      <c r="AF945" s="475"/>
    </row>
    <row r="946" spans="2:32">
      <c r="B946" s="471"/>
      <c r="C946" s="475"/>
      <c r="D946" s="475"/>
      <c r="E946" s="475"/>
      <c r="F946" s="474"/>
      <c r="G946" s="475"/>
      <c r="H946" s="474"/>
      <c r="I946" s="474"/>
      <c r="J946" s="475"/>
      <c r="K946" s="475"/>
      <c r="L946" s="475"/>
      <c r="M946" s="475"/>
      <c r="N946" s="475"/>
      <c r="O946" s="475"/>
      <c r="P946" s="475"/>
      <c r="Q946" s="475"/>
      <c r="R946" s="475"/>
      <c r="S946" s="475"/>
      <c r="T946" s="475"/>
      <c r="U946" s="475"/>
      <c r="V946" s="475"/>
      <c r="W946" s="475"/>
      <c r="X946" s="475"/>
      <c r="Y946" s="475"/>
      <c r="Z946" s="475"/>
      <c r="AA946" s="475"/>
      <c r="AB946" s="475"/>
      <c r="AC946" s="475"/>
      <c r="AD946" s="475"/>
      <c r="AE946" s="475"/>
      <c r="AF946" s="475"/>
    </row>
    <row r="947" spans="2:32">
      <c r="B947" s="471"/>
      <c r="C947" s="475"/>
      <c r="D947" s="475"/>
      <c r="E947" s="475"/>
      <c r="F947" s="474"/>
      <c r="G947" s="475"/>
      <c r="H947" s="474"/>
      <c r="I947" s="474"/>
      <c r="J947" s="475"/>
      <c r="K947" s="475"/>
      <c r="L947" s="475"/>
      <c r="M947" s="475"/>
      <c r="N947" s="475"/>
      <c r="O947" s="475"/>
      <c r="P947" s="475"/>
      <c r="Q947" s="475"/>
      <c r="R947" s="475"/>
      <c r="S947" s="475"/>
      <c r="T947" s="475"/>
      <c r="U947" s="475"/>
      <c r="V947" s="475"/>
      <c r="W947" s="475"/>
      <c r="X947" s="475"/>
      <c r="Y947" s="475"/>
      <c r="Z947" s="475"/>
      <c r="AA947" s="475"/>
      <c r="AB947" s="475"/>
      <c r="AC947" s="475"/>
      <c r="AD947" s="475"/>
      <c r="AE947" s="475"/>
      <c r="AF947" s="475"/>
    </row>
    <row r="948" spans="2:32">
      <c r="B948" s="471"/>
      <c r="C948" s="475"/>
      <c r="D948" s="475"/>
      <c r="E948" s="475"/>
      <c r="F948" s="474"/>
      <c r="G948" s="475"/>
      <c r="H948" s="474"/>
      <c r="I948" s="474"/>
      <c r="J948" s="475"/>
      <c r="K948" s="475"/>
      <c r="L948" s="475"/>
      <c r="M948" s="475"/>
      <c r="N948" s="475"/>
      <c r="O948" s="475"/>
      <c r="P948" s="475"/>
      <c r="Q948" s="475"/>
      <c r="R948" s="475"/>
      <c r="S948" s="475"/>
      <c r="T948" s="475"/>
      <c r="U948" s="475"/>
      <c r="V948" s="475"/>
      <c r="W948" s="475"/>
      <c r="X948" s="475"/>
      <c r="Y948" s="475"/>
      <c r="Z948" s="475"/>
      <c r="AA948" s="475"/>
      <c r="AB948" s="475"/>
      <c r="AC948" s="475"/>
      <c r="AD948" s="475"/>
      <c r="AE948" s="475"/>
      <c r="AF948" s="475"/>
    </row>
    <row r="949" spans="2:32">
      <c r="B949" s="471"/>
      <c r="C949" s="475"/>
      <c r="D949" s="475"/>
      <c r="E949" s="475"/>
      <c r="F949" s="474"/>
      <c r="G949" s="475"/>
      <c r="H949" s="474"/>
      <c r="I949" s="474"/>
      <c r="J949" s="475"/>
      <c r="K949" s="475"/>
      <c r="L949" s="475"/>
      <c r="M949" s="475"/>
      <c r="N949" s="475"/>
      <c r="O949" s="475"/>
      <c r="P949" s="475"/>
      <c r="Q949" s="475"/>
      <c r="R949" s="475"/>
      <c r="S949" s="475"/>
      <c r="T949" s="475"/>
      <c r="U949" s="475"/>
      <c r="V949" s="475"/>
      <c r="W949" s="475"/>
      <c r="X949" s="475"/>
      <c r="Y949" s="475"/>
      <c r="Z949" s="475"/>
      <c r="AA949" s="475"/>
      <c r="AB949" s="475"/>
      <c r="AC949" s="475"/>
      <c r="AD949" s="475"/>
      <c r="AE949" s="475"/>
      <c r="AF949" s="475"/>
    </row>
    <row r="950" spans="2:32">
      <c r="B950" s="471"/>
      <c r="C950" s="475"/>
      <c r="D950" s="475"/>
      <c r="E950" s="475"/>
      <c r="F950" s="474"/>
      <c r="G950" s="475"/>
      <c r="H950" s="474"/>
      <c r="I950" s="474"/>
      <c r="J950" s="475"/>
      <c r="K950" s="475"/>
      <c r="L950" s="475"/>
      <c r="M950" s="475"/>
      <c r="N950" s="475"/>
      <c r="O950" s="475"/>
      <c r="P950" s="475"/>
      <c r="Q950" s="475"/>
      <c r="R950" s="475"/>
      <c r="S950" s="475"/>
      <c r="T950" s="475"/>
      <c r="U950" s="475"/>
      <c r="V950" s="475"/>
      <c r="W950" s="475"/>
      <c r="X950" s="475"/>
      <c r="Y950" s="475"/>
      <c r="Z950" s="475"/>
      <c r="AA950" s="475"/>
      <c r="AB950" s="475"/>
      <c r="AC950" s="475"/>
      <c r="AD950" s="475"/>
      <c r="AE950" s="475"/>
      <c r="AF950" s="475"/>
    </row>
    <row r="951" spans="2:32">
      <c r="B951" s="471"/>
      <c r="C951" s="475"/>
      <c r="D951" s="475"/>
      <c r="E951" s="475"/>
      <c r="F951" s="474"/>
      <c r="G951" s="475"/>
      <c r="H951" s="474"/>
      <c r="I951" s="474"/>
      <c r="J951" s="475"/>
      <c r="K951" s="475"/>
      <c r="L951" s="475"/>
      <c r="M951" s="475"/>
      <c r="N951" s="475"/>
      <c r="O951" s="475"/>
      <c r="P951" s="475"/>
      <c r="Q951" s="475"/>
      <c r="R951" s="475"/>
      <c r="S951" s="475"/>
      <c r="T951" s="475"/>
      <c r="U951" s="475"/>
      <c r="V951" s="475"/>
      <c r="W951" s="475"/>
      <c r="X951" s="475"/>
      <c r="Y951" s="475"/>
      <c r="Z951" s="475"/>
      <c r="AA951" s="475"/>
      <c r="AB951" s="475"/>
      <c r="AC951" s="475"/>
      <c r="AD951" s="475"/>
      <c r="AE951" s="475"/>
      <c r="AF951" s="475"/>
    </row>
    <row r="952" spans="2:32">
      <c r="B952" s="471"/>
      <c r="C952" s="475"/>
      <c r="D952" s="475"/>
      <c r="E952" s="475"/>
      <c r="F952" s="474"/>
      <c r="G952" s="475"/>
      <c r="H952" s="474"/>
      <c r="I952" s="474"/>
      <c r="J952" s="475"/>
      <c r="K952" s="475"/>
      <c r="L952" s="475"/>
      <c r="M952" s="475"/>
      <c r="N952" s="475"/>
      <c r="O952" s="475"/>
      <c r="P952" s="475"/>
      <c r="Q952" s="475"/>
      <c r="R952" s="475"/>
      <c r="S952" s="475"/>
      <c r="T952" s="475"/>
      <c r="U952" s="475"/>
      <c r="V952" s="475"/>
      <c r="W952" s="475"/>
      <c r="X952" s="475"/>
      <c r="Y952" s="475"/>
      <c r="Z952" s="475"/>
      <c r="AA952" s="475"/>
      <c r="AB952" s="475"/>
      <c r="AC952" s="475"/>
      <c r="AD952" s="475"/>
      <c r="AE952" s="475"/>
      <c r="AF952" s="475"/>
    </row>
    <row r="953" spans="2:32">
      <c r="B953" s="471"/>
      <c r="C953" s="475"/>
      <c r="D953" s="475"/>
      <c r="E953" s="475"/>
      <c r="F953" s="474"/>
      <c r="G953" s="475"/>
      <c r="H953" s="474"/>
      <c r="I953" s="474"/>
      <c r="J953" s="475"/>
      <c r="K953" s="475"/>
      <c r="L953" s="475"/>
      <c r="M953" s="475"/>
      <c r="N953" s="475"/>
      <c r="O953" s="475"/>
      <c r="P953" s="475"/>
      <c r="Q953" s="475"/>
      <c r="R953" s="475"/>
      <c r="S953" s="475"/>
      <c r="T953" s="475"/>
      <c r="U953" s="475"/>
      <c r="V953" s="475"/>
      <c r="W953" s="475"/>
      <c r="X953" s="475"/>
      <c r="Y953" s="475"/>
      <c r="Z953" s="475"/>
      <c r="AA953" s="475"/>
      <c r="AB953" s="475"/>
      <c r="AC953" s="475"/>
      <c r="AD953" s="475"/>
      <c r="AE953" s="475"/>
      <c r="AF953" s="475"/>
    </row>
    <row r="954" spans="2:32">
      <c r="B954" s="471"/>
      <c r="C954" s="475"/>
      <c r="D954" s="475"/>
      <c r="E954" s="475"/>
      <c r="F954" s="474"/>
      <c r="G954" s="475"/>
      <c r="H954" s="474"/>
      <c r="I954" s="474"/>
      <c r="J954" s="475"/>
      <c r="K954" s="475"/>
      <c r="L954" s="475"/>
      <c r="M954" s="475"/>
      <c r="N954" s="475"/>
      <c r="O954" s="475"/>
      <c r="P954" s="475"/>
      <c r="Q954" s="475"/>
      <c r="R954" s="475"/>
      <c r="S954" s="475"/>
      <c r="T954" s="475"/>
      <c r="U954" s="475"/>
      <c r="V954" s="475"/>
      <c r="W954" s="475"/>
      <c r="X954" s="475"/>
      <c r="Y954" s="475"/>
      <c r="Z954" s="475"/>
      <c r="AA954" s="475"/>
      <c r="AB954" s="475"/>
      <c r="AC954" s="475"/>
      <c r="AD954" s="475"/>
      <c r="AE954" s="475"/>
      <c r="AF954" s="475"/>
    </row>
    <row r="955" spans="2:32">
      <c r="B955" s="471"/>
      <c r="C955" s="475"/>
      <c r="D955" s="475"/>
      <c r="E955" s="475"/>
      <c r="F955" s="474"/>
      <c r="G955" s="475"/>
      <c r="H955" s="474"/>
      <c r="I955" s="474"/>
      <c r="J955" s="475"/>
      <c r="K955" s="475"/>
      <c r="L955" s="475"/>
      <c r="M955" s="475"/>
      <c r="N955" s="475"/>
      <c r="O955" s="475"/>
      <c r="P955" s="475"/>
      <c r="Q955" s="475"/>
      <c r="R955" s="475"/>
      <c r="S955" s="475"/>
      <c r="T955" s="475"/>
      <c r="U955" s="475"/>
      <c r="V955" s="475"/>
      <c r="W955" s="475"/>
      <c r="X955" s="475"/>
      <c r="Y955" s="475"/>
      <c r="Z955" s="475"/>
      <c r="AA955" s="475"/>
      <c r="AB955" s="475"/>
      <c r="AC955" s="475"/>
      <c r="AD955" s="475"/>
      <c r="AE955" s="475"/>
      <c r="AF955" s="475"/>
    </row>
    <row r="956" spans="2:32">
      <c r="B956" s="471"/>
      <c r="C956" s="475"/>
      <c r="D956" s="475"/>
      <c r="E956" s="475"/>
      <c r="F956" s="474"/>
      <c r="G956" s="475"/>
      <c r="H956" s="474"/>
      <c r="I956" s="474"/>
      <c r="J956" s="475"/>
      <c r="K956" s="475"/>
      <c r="L956" s="475"/>
      <c r="M956" s="475"/>
      <c r="N956" s="475"/>
      <c r="O956" s="475"/>
      <c r="P956" s="475"/>
      <c r="Q956" s="475"/>
      <c r="R956" s="475"/>
      <c r="S956" s="475"/>
      <c r="T956" s="475"/>
      <c r="U956" s="475"/>
      <c r="V956" s="475"/>
      <c r="W956" s="475"/>
      <c r="X956" s="475"/>
      <c r="Y956" s="475"/>
      <c r="Z956" s="475"/>
      <c r="AA956" s="475"/>
      <c r="AB956" s="475"/>
      <c r="AC956" s="475"/>
      <c r="AD956" s="475"/>
      <c r="AE956" s="475"/>
      <c r="AF956" s="475"/>
    </row>
    <row r="957" spans="2:32">
      <c r="B957" s="471"/>
      <c r="C957" s="475"/>
      <c r="D957" s="475"/>
      <c r="E957" s="475"/>
      <c r="F957" s="474"/>
      <c r="G957" s="475"/>
      <c r="H957" s="474"/>
      <c r="I957" s="474"/>
      <c r="J957" s="475"/>
      <c r="K957" s="475"/>
      <c r="L957" s="475"/>
      <c r="M957" s="475"/>
      <c r="N957" s="475"/>
      <c r="O957" s="475"/>
      <c r="P957" s="475"/>
      <c r="Q957" s="475"/>
      <c r="R957" s="475"/>
      <c r="S957" s="475"/>
      <c r="T957" s="475"/>
      <c r="U957" s="475"/>
      <c r="V957" s="475"/>
      <c r="W957" s="475"/>
      <c r="X957" s="475"/>
      <c r="Y957" s="475"/>
      <c r="Z957" s="475"/>
      <c r="AA957" s="475"/>
      <c r="AB957" s="475"/>
      <c r="AC957" s="475"/>
      <c r="AD957" s="475"/>
      <c r="AE957" s="475"/>
      <c r="AF957" s="475"/>
    </row>
    <row r="958" spans="2:32">
      <c r="B958" s="471"/>
      <c r="C958" s="475"/>
      <c r="D958" s="475"/>
      <c r="E958" s="475"/>
      <c r="F958" s="474"/>
      <c r="G958" s="475"/>
      <c r="H958" s="474"/>
      <c r="I958" s="474"/>
      <c r="J958" s="475"/>
      <c r="K958" s="475"/>
      <c r="L958" s="475"/>
      <c r="M958" s="475"/>
      <c r="N958" s="475"/>
      <c r="O958" s="475"/>
      <c r="P958" s="475"/>
      <c r="Q958" s="475"/>
      <c r="R958" s="475"/>
      <c r="S958" s="475"/>
      <c r="T958" s="475"/>
      <c r="U958" s="475"/>
      <c r="V958" s="475"/>
      <c r="W958" s="475"/>
      <c r="X958" s="475"/>
      <c r="Y958" s="475"/>
      <c r="Z958" s="475"/>
      <c r="AA958" s="475"/>
      <c r="AB958" s="475"/>
      <c r="AC958" s="475"/>
      <c r="AD958" s="475"/>
      <c r="AE958" s="475"/>
      <c r="AF958" s="475"/>
    </row>
    <row r="959" spans="2:32">
      <c r="B959" s="471"/>
      <c r="C959" s="475"/>
      <c r="D959" s="475"/>
      <c r="E959" s="475"/>
      <c r="F959" s="474"/>
      <c r="G959" s="475"/>
      <c r="H959" s="474"/>
      <c r="I959" s="474"/>
      <c r="J959" s="475"/>
      <c r="K959" s="475"/>
      <c r="L959" s="475"/>
      <c r="M959" s="475"/>
      <c r="N959" s="475"/>
      <c r="O959" s="475"/>
      <c r="P959" s="475"/>
      <c r="Q959" s="475"/>
      <c r="R959" s="475"/>
      <c r="S959" s="475"/>
      <c r="T959" s="475"/>
      <c r="U959" s="475"/>
      <c r="V959" s="475"/>
      <c r="W959" s="475"/>
      <c r="X959" s="475"/>
      <c r="Y959" s="475"/>
      <c r="Z959" s="475"/>
      <c r="AA959" s="475"/>
      <c r="AB959" s="475"/>
      <c r="AC959" s="475"/>
      <c r="AD959" s="475"/>
      <c r="AE959" s="475"/>
      <c r="AF959" s="475"/>
    </row>
    <row r="960" spans="2:32">
      <c r="B960" s="471"/>
      <c r="C960" s="475"/>
      <c r="D960" s="475"/>
      <c r="E960" s="475"/>
      <c r="F960" s="474"/>
      <c r="G960" s="475"/>
      <c r="H960" s="474"/>
      <c r="I960" s="474"/>
      <c r="J960" s="475"/>
      <c r="K960" s="475"/>
      <c r="L960" s="475"/>
      <c r="M960" s="475"/>
      <c r="N960" s="475"/>
      <c r="O960" s="475"/>
      <c r="P960" s="475"/>
      <c r="Q960" s="475"/>
      <c r="R960" s="475"/>
      <c r="S960" s="475"/>
      <c r="T960" s="475"/>
      <c r="U960" s="475"/>
      <c r="V960" s="475"/>
      <c r="W960" s="475"/>
      <c r="X960" s="475"/>
      <c r="Y960" s="475"/>
      <c r="Z960" s="475"/>
      <c r="AA960" s="475"/>
      <c r="AB960" s="475"/>
      <c r="AC960" s="475"/>
      <c r="AD960" s="475"/>
      <c r="AE960" s="475"/>
      <c r="AF960" s="475"/>
    </row>
    <row r="961" spans="2:32">
      <c r="B961" s="471"/>
      <c r="C961" s="475"/>
      <c r="D961" s="475"/>
      <c r="E961" s="475"/>
      <c r="F961" s="474"/>
      <c r="G961" s="475"/>
      <c r="H961" s="474"/>
      <c r="I961" s="474"/>
      <c r="J961" s="475"/>
      <c r="K961" s="475"/>
      <c r="L961" s="475"/>
      <c r="M961" s="475"/>
      <c r="N961" s="475"/>
      <c r="O961" s="475"/>
      <c r="P961" s="475"/>
      <c r="Q961" s="475"/>
      <c r="R961" s="475"/>
      <c r="S961" s="475"/>
      <c r="T961" s="475"/>
      <c r="U961" s="475"/>
      <c r="V961" s="475"/>
      <c r="W961" s="475"/>
      <c r="X961" s="475"/>
      <c r="Y961" s="475"/>
      <c r="Z961" s="475"/>
      <c r="AA961" s="475"/>
      <c r="AB961" s="475"/>
      <c r="AC961" s="475"/>
      <c r="AD961" s="475"/>
      <c r="AE961" s="475"/>
      <c r="AF961" s="475"/>
    </row>
    <row r="962" spans="2:32">
      <c r="B962" s="471"/>
      <c r="C962" s="475"/>
      <c r="D962" s="475"/>
      <c r="E962" s="475"/>
      <c r="F962" s="474"/>
      <c r="G962" s="475"/>
      <c r="H962" s="474"/>
      <c r="I962" s="474"/>
      <c r="J962" s="475"/>
      <c r="K962" s="475"/>
      <c r="L962" s="475"/>
      <c r="M962" s="475"/>
      <c r="N962" s="475"/>
      <c r="O962" s="475"/>
      <c r="P962" s="475"/>
      <c r="Q962" s="475"/>
      <c r="R962" s="475"/>
      <c r="S962" s="475"/>
      <c r="T962" s="475"/>
      <c r="U962" s="475"/>
      <c r="V962" s="475"/>
      <c r="W962" s="475"/>
      <c r="X962" s="475"/>
      <c r="Y962" s="475"/>
      <c r="Z962" s="475"/>
      <c r="AA962" s="475"/>
      <c r="AB962" s="475"/>
      <c r="AC962" s="475"/>
      <c r="AD962" s="475"/>
      <c r="AE962" s="475"/>
      <c r="AF962" s="475"/>
    </row>
    <row r="963" spans="2:32">
      <c r="B963" s="471"/>
      <c r="C963" s="475"/>
      <c r="D963" s="475"/>
      <c r="E963" s="475"/>
      <c r="F963" s="474"/>
      <c r="G963" s="475"/>
      <c r="H963" s="474"/>
      <c r="I963" s="474"/>
      <c r="J963" s="475"/>
      <c r="K963" s="475"/>
      <c r="L963" s="475"/>
      <c r="M963" s="475"/>
      <c r="N963" s="475"/>
      <c r="O963" s="475"/>
      <c r="P963" s="475"/>
      <c r="Q963" s="475"/>
      <c r="R963" s="475"/>
      <c r="S963" s="475"/>
      <c r="T963" s="475"/>
      <c r="U963" s="475"/>
      <c r="V963" s="475"/>
      <c r="W963" s="475"/>
      <c r="X963" s="475"/>
      <c r="Y963" s="475"/>
      <c r="Z963" s="475"/>
      <c r="AA963" s="475"/>
      <c r="AB963" s="475"/>
      <c r="AC963" s="475"/>
      <c r="AD963" s="475"/>
      <c r="AE963" s="475"/>
      <c r="AF963" s="475"/>
    </row>
    <row r="964" spans="2:32">
      <c r="B964" s="471"/>
      <c r="C964" s="475"/>
      <c r="D964" s="475"/>
      <c r="E964" s="475"/>
      <c r="F964" s="474"/>
      <c r="G964" s="475"/>
      <c r="H964" s="474"/>
      <c r="I964" s="474"/>
      <c r="J964" s="475"/>
      <c r="K964" s="475"/>
      <c r="L964" s="475"/>
      <c r="M964" s="475"/>
      <c r="N964" s="475"/>
      <c r="O964" s="475"/>
      <c r="P964" s="475"/>
      <c r="Q964" s="475"/>
      <c r="R964" s="475"/>
      <c r="S964" s="475"/>
      <c r="T964" s="475"/>
      <c r="U964" s="475"/>
      <c r="V964" s="475"/>
      <c r="W964" s="475"/>
      <c r="X964" s="475"/>
      <c r="Y964" s="475"/>
      <c r="Z964" s="475"/>
      <c r="AA964" s="475"/>
      <c r="AB964" s="475"/>
      <c r="AC964" s="475"/>
      <c r="AD964" s="475"/>
      <c r="AE964" s="475"/>
      <c r="AF964" s="475"/>
    </row>
    <row r="965" spans="2:32">
      <c r="B965" s="471"/>
      <c r="C965" s="475"/>
      <c r="D965" s="475"/>
      <c r="E965" s="475"/>
      <c r="F965" s="474"/>
      <c r="G965" s="475"/>
      <c r="H965" s="474"/>
      <c r="I965" s="474"/>
      <c r="J965" s="475"/>
      <c r="K965" s="475"/>
      <c r="L965" s="475"/>
      <c r="M965" s="475"/>
      <c r="N965" s="475"/>
      <c r="O965" s="475"/>
      <c r="P965" s="475"/>
      <c r="Q965" s="475"/>
      <c r="R965" s="475"/>
      <c r="S965" s="475"/>
      <c r="T965" s="475"/>
      <c r="U965" s="475"/>
      <c r="V965" s="475"/>
      <c r="W965" s="475"/>
      <c r="X965" s="475"/>
      <c r="Y965" s="475"/>
      <c r="Z965" s="475"/>
      <c r="AA965" s="475"/>
      <c r="AB965" s="475"/>
      <c r="AC965" s="475"/>
      <c r="AD965" s="475"/>
      <c r="AE965" s="475"/>
      <c r="AF965" s="475"/>
    </row>
    <row r="966" spans="2:32">
      <c r="B966" s="471"/>
      <c r="C966" s="475"/>
      <c r="D966" s="475"/>
      <c r="E966" s="475"/>
      <c r="F966" s="474"/>
      <c r="G966" s="475"/>
      <c r="H966" s="474"/>
      <c r="I966" s="474"/>
      <c r="J966" s="475"/>
      <c r="K966" s="475"/>
      <c r="L966" s="475"/>
      <c r="M966" s="475"/>
      <c r="N966" s="475"/>
      <c r="O966" s="475"/>
      <c r="P966" s="475"/>
      <c r="Q966" s="475"/>
      <c r="R966" s="475"/>
      <c r="S966" s="475"/>
      <c r="T966" s="475"/>
      <c r="U966" s="475"/>
      <c r="V966" s="475"/>
      <c r="W966" s="475"/>
      <c r="X966" s="475"/>
      <c r="Y966" s="475"/>
      <c r="Z966" s="475"/>
      <c r="AA966" s="475"/>
      <c r="AB966" s="475"/>
      <c r="AC966" s="475"/>
      <c r="AD966" s="475"/>
      <c r="AE966" s="475"/>
      <c r="AF966" s="475"/>
    </row>
    <row r="967" spans="2:32">
      <c r="B967" s="471"/>
      <c r="C967" s="475"/>
      <c r="D967" s="475"/>
      <c r="E967" s="475"/>
      <c r="F967" s="474"/>
      <c r="G967" s="475"/>
      <c r="H967" s="474"/>
      <c r="I967" s="474"/>
      <c r="J967" s="475"/>
      <c r="K967" s="475"/>
      <c r="L967" s="475"/>
      <c r="M967" s="475"/>
      <c r="N967" s="475"/>
      <c r="O967" s="475"/>
      <c r="P967" s="475"/>
      <c r="Q967" s="475"/>
      <c r="R967" s="475"/>
      <c r="S967" s="475"/>
      <c r="T967" s="475"/>
      <c r="U967" s="475"/>
      <c r="V967" s="475"/>
      <c r="W967" s="475"/>
      <c r="X967" s="475"/>
      <c r="Y967" s="475"/>
      <c r="Z967" s="475"/>
      <c r="AA967" s="475"/>
      <c r="AB967" s="475"/>
      <c r="AC967" s="475"/>
      <c r="AD967" s="475"/>
      <c r="AE967" s="475"/>
      <c r="AF967" s="475"/>
    </row>
    <row r="968" spans="2:32">
      <c r="B968" s="471"/>
      <c r="C968" s="475"/>
      <c r="D968" s="475"/>
      <c r="E968" s="475"/>
      <c r="F968" s="474"/>
      <c r="G968" s="475"/>
      <c r="H968" s="474"/>
      <c r="I968" s="474"/>
      <c r="J968" s="475"/>
      <c r="K968" s="475"/>
      <c r="L968" s="475"/>
      <c r="M968" s="475"/>
      <c r="N968" s="475"/>
      <c r="O968" s="475"/>
      <c r="P968" s="475"/>
      <c r="Q968" s="475"/>
      <c r="R968" s="475"/>
      <c r="S968" s="475"/>
      <c r="T968" s="475"/>
      <c r="U968" s="475"/>
      <c r="V968" s="475"/>
      <c r="W968" s="475"/>
      <c r="X968" s="475"/>
      <c r="Y968" s="475"/>
      <c r="Z968" s="475"/>
      <c r="AA968" s="475"/>
      <c r="AB968" s="475"/>
      <c r="AC968" s="475"/>
      <c r="AD968" s="475"/>
      <c r="AE968" s="475"/>
      <c r="AF968" s="475"/>
    </row>
    <row r="969" spans="2:32">
      <c r="B969" s="471"/>
      <c r="C969" s="475"/>
      <c r="D969" s="475"/>
      <c r="E969" s="475"/>
      <c r="F969" s="474"/>
      <c r="G969" s="475"/>
      <c r="H969" s="474"/>
      <c r="I969" s="474"/>
      <c r="J969" s="475"/>
      <c r="K969" s="475"/>
      <c r="L969" s="475"/>
      <c r="M969" s="475"/>
      <c r="N969" s="475"/>
      <c r="O969" s="475"/>
      <c r="P969" s="475"/>
      <c r="Q969" s="475"/>
      <c r="R969" s="475"/>
      <c r="S969" s="475"/>
      <c r="T969" s="475"/>
      <c r="U969" s="475"/>
      <c r="V969" s="475"/>
      <c r="W969" s="475"/>
      <c r="X969" s="475"/>
      <c r="Y969" s="475"/>
      <c r="Z969" s="475"/>
      <c r="AA969" s="475"/>
      <c r="AB969" s="475"/>
      <c r="AC969" s="475"/>
      <c r="AD969" s="475"/>
      <c r="AE969" s="475"/>
      <c r="AF969" s="475"/>
    </row>
    <row r="970" spans="2:32">
      <c r="B970" s="471"/>
      <c r="C970" s="475"/>
      <c r="D970" s="475"/>
      <c r="E970" s="475"/>
      <c r="F970" s="474"/>
      <c r="G970" s="475"/>
      <c r="H970" s="474"/>
      <c r="I970" s="474"/>
      <c r="J970" s="475"/>
      <c r="K970" s="475"/>
      <c r="L970" s="475"/>
      <c r="M970" s="475"/>
      <c r="N970" s="475"/>
      <c r="O970" s="475"/>
      <c r="P970" s="475"/>
      <c r="Q970" s="475"/>
      <c r="R970" s="475"/>
      <c r="S970" s="475"/>
      <c r="T970" s="475"/>
      <c r="U970" s="475"/>
      <c r="V970" s="475"/>
      <c r="W970" s="475"/>
      <c r="X970" s="475"/>
      <c r="Y970" s="475"/>
      <c r="Z970" s="475"/>
      <c r="AA970" s="475"/>
      <c r="AB970" s="475"/>
      <c r="AC970" s="475"/>
      <c r="AD970" s="475"/>
      <c r="AE970" s="475"/>
      <c r="AF970" s="475"/>
    </row>
    <row r="971" spans="2:32">
      <c r="B971" s="471"/>
      <c r="C971" s="475"/>
      <c r="D971" s="475"/>
      <c r="E971" s="475"/>
      <c r="F971" s="474"/>
      <c r="G971" s="475"/>
      <c r="H971" s="474"/>
      <c r="I971" s="474"/>
      <c r="J971" s="475"/>
      <c r="K971" s="475"/>
      <c r="L971" s="475"/>
      <c r="M971" s="475"/>
      <c r="N971" s="475"/>
      <c r="O971" s="475"/>
      <c r="P971" s="475"/>
      <c r="Q971" s="475"/>
      <c r="R971" s="475"/>
      <c r="S971" s="475"/>
      <c r="T971" s="475"/>
      <c r="U971" s="475"/>
      <c r="V971" s="475"/>
      <c r="W971" s="475"/>
      <c r="X971" s="475"/>
      <c r="Y971" s="475"/>
      <c r="Z971" s="475"/>
      <c r="AA971" s="475"/>
      <c r="AB971" s="475"/>
      <c r="AC971" s="475"/>
      <c r="AD971" s="475"/>
      <c r="AE971" s="475"/>
      <c r="AF971" s="475"/>
    </row>
    <row r="972" spans="2:32">
      <c r="B972" s="471"/>
      <c r="C972" s="475"/>
      <c r="D972" s="475"/>
      <c r="E972" s="475"/>
      <c r="F972" s="474"/>
      <c r="G972" s="475"/>
      <c r="H972" s="474"/>
      <c r="I972" s="474"/>
      <c r="J972" s="475"/>
      <c r="K972" s="475"/>
      <c r="L972" s="475"/>
      <c r="M972" s="475"/>
      <c r="N972" s="475"/>
      <c r="O972" s="475"/>
      <c r="P972" s="475"/>
      <c r="Q972" s="475"/>
      <c r="R972" s="475"/>
      <c r="S972" s="475"/>
      <c r="T972" s="475"/>
      <c r="U972" s="475"/>
      <c r="V972" s="475"/>
      <c r="W972" s="475"/>
      <c r="X972" s="475"/>
      <c r="Y972" s="475"/>
      <c r="Z972" s="475"/>
      <c r="AA972" s="475"/>
      <c r="AB972" s="475"/>
      <c r="AC972" s="475"/>
      <c r="AD972" s="475"/>
      <c r="AE972" s="475"/>
      <c r="AF972" s="475"/>
    </row>
    <row r="973" spans="2:32">
      <c r="B973" s="471"/>
      <c r="C973" s="475"/>
      <c r="D973" s="475"/>
      <c r="E973" s="475"/>
      <c r="F973" s="474"/>
      <c r="G973" s="475"/>
      <c r="H973" s="474"/>
      <c r="I973" s="474"/>
      <c r="J973" s="475"/>
      <c r="K973" s="475"/>
      <c r="L973" s="475"/>
      <c r="M973" s="475"/>
      <c r="N973" s="475"/>
      <c r="O973" s="475"/>
      <c r="P973" s="475"/>
      <c r="Q973" s="475"/>
      <c r="R973" s="475"/>
      <c r="S973" s="475"/>
      <c r="T973" s="475"/>
      <c r="U973" s="475"/>
      <c r="V973" s="475"/>
      <c r="W973" s="475"/>
      <c r="X973" s="475"/>
      <c r="Y973" s="475"/>
      <c r="Z973" s="475"/>
      <c r="AA973" s="475"/>
      <c r="AB973" s="475"/>
      <c r="AC973" s="475"/>
      <c r="AD973" s="475"/>
      <c r="AE973" s="475"/>
      <c r="AF973" s="475"/>
    </row>
    <row r="974" spans="2:32">
      <c r="B974" s="471"/>
      <c r="C974" s="475"/>
      <c r="D974" s="475"/>
      <c r="E974" s="475"/>
      <c r="F974" s="474"/>
      <c r="G974" s="475"/>
      <c r="H974" s="474"/>
      <c r="I974" s="474"/>
      <c r="J974" s="475"/>
      <c r="K974" s="475"/>
      <c r="L974" s="475"/>
      <c r="M974" s="475"/>
      <c r="N974" s="475"/>
      <c r="O974" s="475"/>
      <c r="P974" s="475"/>
      <c r="Q974" s="475"/>
      <c r="R974" s="475"/>
      <c r="S974" s="475"/>
      <c r="T974" s="475"/>
      <c r="U974" s="475"/>
      <c r="V974" s="475"/>
      <c r="W974" s="475"/>
      <c r="X974" s="475"/>
      <c r="Y974" s="475"/>
      <c r="Z974" s="475"/>
      <c r="AA974" s="475"/>
      <c r="AB974" s="475"/>
      <c r="AC974" s="475"/>
      <c r="AD974" s="475"/>
      <c r="AE974" s="475"/>
      <c r="AF974" s="475"/>
    </row>
    <row r="975" spans="2:32">
      <c r="B975" s="471"/>
      <c r="C975" s="475"/>
      <c r="D975" s="475"/>
      <c r="E975" s="475"/>
      <c r="F975" s="474"/>
      <c r="G975" s="475"/>
      <c r="H975" s="474"/>
      <c r="I975" s="474"/>
      <c r="J975" s="475"/>
      <c r="K975" s="475"/>
      <c r="L975" s="475"/>
      <c r="M975" s="475"/>
      <c r="N975" s="475"/>
      <c r="O975" s="475"/>
      <c r="P975" s="475"/>
      <c r="Q975" s="475"/>
      <c r="R975" s="475"/>
      <c r="S975" s="475"/>
      <c r="T975" s="475"/>
      <c r="U975" s="475"/>
      <c r="V975" s="475"/>
      <c r="W975" s="475"/>
      <c r="X975" s="475"/>
      <c r="Y975" s="475"/>
      <c r="Z975" s="475"/>
      <c r="AA975" s="475"/>
      <c r="AB975" s="475"/>
      <c r="AC975" s="475"/>
      <c r="AD975" s="475"/>
      <c r="AE975" s="475"/>
      <c r="AF975" s="475"/>
    </row>
    <row r="976" spans="2:32">
      <c r="B976" s="471"/>
      <c r="C976" s="475"/>
      <c r="D976" s="475"/>
      <c r="E976" s="475"/>
      <c r="F976" s="474"/>
      <c r="G976" s="475"/>
      <c r="H976" s="474"/>
      <c r="I976" s="474"/>
      <c r="J976" s="475"/>
      <c r="K976" s="475"/>
      <c r="L976" s="475"/>
      <c r="M976" s="475"/>
      <c r="N976" s="475"/>
      <c r="O976" s="475"/>
      <c r="P976" s="475"/>
      <c r="Q976" s="475"/>
      <c r="R976" s="475"/>
      <c r="S976" s="475"/>
      <c r="T976" s="475"/>
      <c r="U976" s="475"/>
      <c r="V976" s="475"/>
      <c r="W976" s="475"/>
      <c r="X976" s="475"/>
      <c r="Y976" s="475"/>
      <c r="Z976" s="475"/>
      <c r="AA976" s="475"/>
      <c r="AB976" s="475"/>
      <c r="AC976" s="475"/>
      <c r="AD976" s="475"/>
      <c r="AE976" s="475"/>
      <c r="AF976" s="475"/>
    </row>
    <row r="977" spans="2:32">
      <c r="B977" s="471"/>
      <c r="C977" s="475"/>
      <c r="D977" s="475"/>
      <c r="E977" s="475"/>
      <c r="F977" s="474"/>
      <c r="G977" s="475"/>
      <c r="H977" s="474"/>
      <c r="I977" s="474"/>
      <c r="J977" s="475"/>
      <c r="K977" s="475"/>
      <c r="L977" s="475"/>
      <c r="M977" s="475"/>
      <c r="N977" s="475"/>
      <c r="O977" s="475"/>
      <c r="P977" s="475"/>
      <c r="Q977" s="475"/>
      <c r="R977" s="475"/>
      <c r="S977" s="475"/>
      <c r="T977" s="475"/>
      <c r="U977" s="475"/>
      <c r="V977" s="475"/>
      <c r="W977" s="475"/>
      <c r="X977" s="475"/>
      <c r="Y977" s="475"/>
      <c r="Z977" s="475"/>
      <c r="AA977" s="475"/>
      <c r="AB977" s="475"/>
      <c r="AC977" s="475"/>
      <c r="AD977" s="475"/>
      <c r="AE977" s="475"/>
      <c r="AF977" s="475"/>
    </row>
    <row r="978" spans="2:32">
      <c r="B978" s="471"/>
      <c r="C978" s="475"/>
      <c r="D978" s="475"/>
      <c r="E978" s="475"/>
      <c r="F978" s="474"/>
      <c r="G978" s="475"/>
      <c r="H978" s="474"/>
      <c r="I978" s="474"/>
      <c r="J978" s="475"/>
      <c r="K978" s="475"/>
      <c r="L978" s="475"/>
      <c r="M978" s="475"/>
      <c r="N978" s="475"/>
      <c r="O978" s="475"/>
      <c r="P978" s="475"/>
      <c r="Q978" s="475"/>
      <c r="R978" s="475"/>
      <c r="S978" s="475"/>
      <c r="T978" s="475"/>
      <c r="U978" s="475"/>
      <c r="V978" s="475"/>
      <c r="W978" s="475"/>
      <c r="X978" s="475"/>
      <c r="Y978" s="475"/>
      <c r="Z978" s="475"/>
      <c r="AA978" s="475"/>
      <c r="AB978" s="475"/>
      <c r="AC978" s="475"/>
      <c r="AD978" s="475"/>
      <c r="AE978" s="475"/>
      <c r="AF978" s="475"/>
    </row>
    <row r="979" spans="2:32">
      <c r="B979" s="471"/>
      <c r="C979" s="475"/>
      <c r="D979" s="475"/>
      <c r="E979" s="475"/>
      <c r="F979" s="474"/>
      <c r="G979" s="475"/>
      <c r="H979" s="474"/>
      <c r="I979" s="474"/>
      <c r="J979" s="475"/>
      <c r="K979" s="475"/>
      <c r="L979" s="475"/>
      <c r="M979" s="475"/>
      <c r="N979" s="475"/>
      <c r="O979" s="475"/>
      <c r="P979" s="475"/>
      <c r="Q979" s="475"/>
      <c r="R979" s="475"/>
      <c r="S979" s="475"/>
      <c r="T979" s="475"/>
      <c r="U979" s="475"/>
      <c r="V979" s="475"/>
      <c r="W979" s="475"/>
      <c r="X979" s="475"/>
      <c r="Y979" s="475"/>
      <c r="Z979" s="475"/>
      <c r="AA979" s="475"/>
      <c r="AB979" s="475"/>
      <c r="AC979" s="475"/>
      <c r="AD979" s="475"/>
      <c r="AE979" s="475"/>
      <c r="AF979" s="475"/>
    </row>
    <row r="980" spans="2:32">
      <c r="B980" s="471"/>
      <c r="C980" s="475"/>
      <c r="D980" s="475"/>
      <c r="E980" s="475"/>
      <c r="F980" s="474"/>
      <c r="G980" s="475"/>
      <c r="H980" s="474"/>
      <c r="I980" s="474"/>
      <c r="J980" s="475"/>
      <c r="K980" s="475"/>
      <c r="L980" s="475"/>
      <c r="M980" s="475"/>
      <c r="N980" s="475"/>
      <c r="O980" s="475"/>
      <c r="P980" s="475"/>
      <c r="Q980" s="475"/>
      <c r="R980" s="475"/>
      <c r="S980" s="475"/>
      <c r="T980" s="475"/>
      <c r="U980" s="475"/>
      <c r="V980" s="475"/>
      <c r="W980" s="475"/>
      <c r="X980" s="475"/>
      <c r="Y980" s="475"/>
      <c r="Z980" s="475"/>
      <c r="AA980" s="475"/>
      <c r="AB980" s="475"/>
      <c r="AC980" s="475"/>
      <c r="AD980" s="475"/>
      <c r="AE980" s="475"/>
      <c r="AF980" s="475"/>
    </row>
    <row r="981" spans="2:32">
      <c r="B981" s="471"/>
      <c r="C981" s="475"/>
      <c r="D981" s="475"/>
      <c r="E981" s="475"/>
      <c r="F981" s="474"/>
      <c r="G981" s="475"/>
      <c r="H981" s="474"/>
      <c r="I981" s="474"/>
      <c r="J981" s="475"/>
      <c r="K981" s="475"/>
      <c r="L981" s="475"/>
      <c r="M981" s="475"/>
      <c r="N981" s="475"/>
      <c r="O981" s="475"/>
      <c r="P981" s="475"/>
      <c r="Q981" s="475"/>
      <c r="R981" s="475"/>
      <c r="S981" s="475"/>
      <c r="T981" s="475"/>
      <c r="U981" s="475"/>
      <c r="V981" s="475"/>
      <c r="W981" s="475"/>
      <c r="X981" s="475"/>
      <c r="Y981" s="475"/>
      <c r="Z981" s="475"/>
      <c r="AA981" s="475"/>
      <c r="AB981" s="475"/>
      <c r="AC981" s="475"/>
      <c r="AD981" s="475"/>
      <c r="AE981" s="475"/>
      <c r="AF981" s="475"/>
    </row>
    <row r="982" spans="2:32">
      <c r="B982" s="471"/>
      <c r="C982" s="475"/>
      <c r="D982" s="475"/>
      <c r="E982" s="475"/>
      <c r="F982" s="474"/>
      <c r="G982" s="475"/>
      <c r="H982" s="474"/>
      <c r="I982" s="474"/>
      <c r="J982" s="475"/>
      <c r="K982" s="475"/>
      <c r="L982" s="475"/>
      <c r="M982" s="475"/>
      <c r="N982" s="475"/>
      <c r="O982" s="475"/>
      <c r="P982" s="475"/>
      <c r="Q982" s="475"/>
      <c r="R982" s="475"/>
      <c r="S982" s="475"/>
      <c r="T982" s="475"/>
      <c r="U982" s="475"/>
      <c r="V982" s="475"/>
      <c r="W982" s="475"/>
      <c r="X982" s="475"/>
      <c r="Y982" s="475"/>
      <c r="Z982" s="475"/>
      <c r="AA982" s="475"/>
      <c r="AB982" s="475"/>
      <c r="AC982" s="475"/>
      <c r="AD982" s="475"/>
      <c r="AE982" s="475"/>
      <c r="AF982" s="475"/>
    </row>
    <row r="983" spans="2:32">
      <c r="B983" s="471"/>
      <c r="C983" s="475"/>
      <c r="D983" s="475"/>
      <c r="E983" s="475"/>
      <c r="F983" s="474"/>
      <c r="G983" s="475"/>
      <c r="H983" s="474"/>
      <c r="I983" s="474"/>
      <c r="J983" s="475"/>
      <c r="K983" s="475"/>
      <c r="L983" s="475"/>
      <c r="M983" s="475"/>
      <c r="N983" s="475"/>
      <c r="O983" s="475"/>
      <c r="P983" s="475"/>
      <c r="Q983" s="475"/>
      <c r="R983" s="475"/>
      <c r="S983" s="475"/>
      <c r="T983" s="475"/>
      <c r="U983" s="475"/>
      <c r="V983" s="475"/>
      <c r="W983" s="475"/>
      <c r="X983" s="475"/>
      <c r="Y983" s="475"/>
      <c r="Z983" s="475"/>
      <c r="AA983" s="475"/>
      <c r="AB983" s="475"/>
      <c r="AC983" s="475"/>
      <c r="AD983" s="475"/>
      <c r="AE983" s="475"/>
      <c r="AF983" s="475"/>
    </row>
    <row r="984" spans="2:32">
      <c r="B984" s="471"/>
      <c r="C984" s="475"/>
      <c r="D984" s="475"/>
      <c r="E984" s="475"/>
      <c r="F984" s="474"/>
      <c r="G984" s="475"/>
      <c r="H984" s="474"/>
      <c r="I984" s="474"/>
      <c r="J984" s="475"/>
      <c r="K984" s="475"/>
      <c r="L984" s="475"/>
      <c r="M984" s="475"/>
      <c r="N984" s="475"/>
      <c r="O984" s="475"/>
      <c r="P984" s="475"/>
      <c r="Q984" s="475"/>
      <c r="R984" s="475"/>
      <c r="S984" s="475"/>
      <c r="T984" s="475"/>
      <c r="U984" s="475"/>
      <c r="V984" s="475"/>
      <c r="W984" s="475"/>
      <c r="X984" s="475"/>
      <c r="Y984" s="475"/>
      <c r="Z984" s="475"/>
      <c r="AA984" s="475"/>
      <c r="AB984" s="475"/>
      <c r="AC984" s="475"/>
      <c r="AD984" s="475"/>
      <c r="AE984" s="475"/>
      <c r="AF984" s="475"/>
    </row>
    <row r="985" spans="2:32">
      <c r="B985" s="471"/>
      <c r="C985" s="475"/>
      <c r="D985" s="475"/>
      <c r="E985" s="475"/>
      <c r="F985" s="474"/>
      <c r="G985" s="475"/>
      <c r="H985" s="474"/>
      <c r="I985" s="474"/>
      <c r="J985" s="475"/>
      <c r="K985" s="475"/>
      <c r="L985" s="475"/>
      <c r="M985" s="475"/>
      <c r="N985" s="475"/>
      <c r="O985" s="475"/>
      <c r="P985" s="475"/>
      <c r="Q985" s="475"/>
      <c r="R985" s="475"/>
      <c r="S985" s="475"/>
      <c r="T985" s="475"/>
      <c r="U985" s="475"/>
      <c r="V985" s="475"/>
      <c r="W985" s="475"/>
      <c r="X985" s="475"/>
      <c r="Y985" s="475"/>
      <c r="Z985" s="475"/>
      <c r="AA985" s="475"/>
      <c r="AB985" s="475"/>
      <c r="AC985" s="475"/>
      <c r="AD985" s="475"/>
      <c r="AE985" s="475"/>
      <c r="AF985" s="475"/>
    </row>
    <row r="986" spans="2:32">
      <c r="B986" s="471"/>
      <c r="C986" s="475"/>
      <c r="D986" s="475"/>
      <c r="E986" s="475"/>
      <c r="F986" s="474"/>
      <c r="G986" s="475"/>
      <c r="H986" s="474"/>
      <c r="I986" s="474"/>
      <c r="J986" s="475"/>
      <c r="K986" s="475"/>
      <c r="L986" s="475"/>
      <c r="M986" s="475"/>
      <c r="N986" s="475"/>
      <c r="O986" s="475"/>
      <c r="P986" s="475"/>
      <c r="Q986" s="475"/>
      <c r="R986" s="475"/>
      <c r="S986" s="475"/>
      <c r="T986" s="475"/>
      <c r="U986" s="475"/>
      <c r="V986" s="475"/>
      <c r="W986" s="475"/>
      <c r="X986" s="475"/>
      <c r="Y986" s="475"/>
      <c r="Z986" s="475"/>
      <c r="AA986" s="475"/>
      <c r="AB986" s="475"/>
      <c r="AC986" s="475"/>
      <c r="AD986" s="475"/>
      <c r="AE986" s="475"/>
      <c r="AF986" s="475"/>
    </row>
    <row r="987" spans="2:32">
      <c r="B987" s="471"/>
      <c r="C987" s="475"/>
      <c r="D987" s="475"/>
      <c r="E987" s="475"/>
      <c r="F987" s="474"/>
      <c r="G987" s="475"/>
      <c r="H987" s="474"/>
      <c r="I987" s="474"/>
      <c r="J987" s="475"/>
      <c r="K987" s="475"/>
      <c r="L987" s="475"/>
      <c r="M987" s="475"/>
      <c r="N987" s="475"/>
      <c r="O987" s="475"/>
      <c r="P987" s="475"/>
      <c r="Q987" s="475"/>
      <c r="R987" s="475"/>
      <c r="S987" s="475"/>
      <c r="T987" s="475"/>
      <c r="U987" s="475"/>
      <c r="V987" s="475"/>
      <c r="W987" s="475"/>
      <c r="X987" s="475"/>
      <c r="Y987" s="475"/>
      <c r="Z987" s="475"/>
      <c r="AA987" s="475"/>
      <c r="AB987" s="475"/>
      <c r="AC987" s="475"/>
      <c r="AD987" s="475"/>
      <c r="AE987" s="475"/>
      <c r="AF987" s="475"/>
    </row>
    <row r="988" spans="2:32">
      <c r="B988" s="471"/>
      <c r="C988" s="475"/>
      <c r="D988" s="475"/>
      <c r="E988" s="475"/>
      <c r="F988" s="474"/>
      <c r="G988" s="475"/>
      <c r="H988" s="474"/>
      <c r="I988" s="474"/>
      <c r="J988" s="475"/>
      <c r="K988" s="475"/>
      <c r="L988" s="475"/>
      <c r="M988" s="475"/>
      <c r="N988" s="475"/>
      <c r="O988" s="475"/>
      <c r="P988" s="475"/>
      <c r="Q988" s="475"/>
      <c r="R988" s="475"/>
      <c r="S988" s="475"/>
      <c r="T988" s="475"/>
      <c r="U988" s="475"/>
      <c r="V988" s="475"/>
      <c r="W988" s="475"/>
      <c r="X988" s="475"/>
      <c r="Y988" s="475"/>
      <c r="Z988" s="475"/>
      <c r="AA988" s="475"/>
      <c r="AB988" s="475"/>
      <c r="AC988" s="475"/>
      <c r="AD988" s="475"/>
      <c r="AE988" s="475"/>
      <c r="AF988" s="475"/>
    </row>
    <row r="989" spans="2:32">
      <c r="B989" s="471"/>
      <c r="C989" s="475"/>
      <c r="D989" s="475"/>
      <c r="E989" s="475"/>
      <c r="F989" s="474"/>
      <c r="G989" s="475"/>
      <c r="H989" s="474"/>
      <c r="I989" s="474"/>
      <c r="J989" s="475"/>
      <c r="K989" s="475"/>
      <c r="L989" s="475"/>
      <c r="M989" s="475"/>
      <c r="N989" s="475"/>
      <c r="O989" s="475"/>
      <c r="P989" s="475"/>
      <c r="Q989" s="475"/>
      <c r="R989" s="475"/>
      <c r="S989" s="475"/>
      <c r="T989" s="475"/>
      <c r="U989" s="475"/>
      <c r="V989" s="475"/>
      <c r="W989" s="475"/>
      <c r="X989" s="475"/>
      <c r="Y989" s="475"/>
      <c r="Z989" s="475"/>
      <c r="AA989" s="475"/>
      <c r="AB989" s="475"/>
      <c r="AC989" s="475"/>
      <c r="AD989" s="475"/>
      <c r="AE989" s="475"/>
      <c r="AF989" s="475"/>
    </row>
    <row r="990" spans="2:32">
      <c r="B990" s="471"/>
      <c r="C990" s="475"/>
      <c r="D990" s="475"/>
      <c r="E990" s="475"/>
      <c r="F990" s="474"/>
      <c r="G990" s="475"/>
      <c r="H990" s="474"/>
      <c r="I990" s="474"/>
      <c r="J990" s="475"/>
      <c r="K990" s="475"/>
      <c r="L990" s="475"/>
      <c r="M990" s="475"/>
      <c r="N990" s="475"/>
      <c r="O990" s="475"/>
      <c r="P990" s="475"/>
      <c r="Q990" s="475"/>
      <c r="R990" s="475"/>
      <c r="S990" s="475"/>
      <c r="T990" s="475"/>
      <c r="U990" s="475"/>
      <c r="V990" s="475"/>
      <c r="W990" s="475"/>
      <c r="X990" s="475"/>
      <c r="Y990" s="475"/>
      <c r="Z990" s="475"/>
      <c r="AA990" s="475"/>
      <c r="AB990" s="475"/>
      <c r="AC990" s="475"/>
      <c r="AD990" s="475"/>
      <c r="AE990" s="475"/>
      <c r="AF990" s="475"/>
    </row>
    <row r="991" spans="2:32">
      <c r="B991" s="471"/>
      <c r="C991" s="475"/>
      <c r="D991" s="475"/>
      <c r="E991" s="475"/>
      <c r="F991" s="474"/>
      <c r="G991" s="475"/>
      <c r="H991" s="474"/>
      <c r="I991" s="474"/>
      <c r="J991" s="475"/>
      <c r="K991" s="475"/>
      <c r="L991" s="475"/>
      <c r="M991" s="475"/>
      <c r="N991" s="475"/>
      <c r="O991" s="475"/>
      <c r="P991" s="475"/>
      <c r="Q991" s="475"/>
      <c r="R991" s="475"/>
      <c r="S991" s="475"/>
      <c r="T991" s="475"/>
      <c r="U991" s="475"/>
      <c r="V991" s="475"/>
      <c r="W991" s="475"/>
      <c r="X991" s="475"/>
      <c r="Y991" s="475"/>
      <c r="Z991" s="475"/>
      <c r="AA991" s="475"/>
      <c r="AB991" s="475"/>
      <c r="AC991" s="475"/>
      <c r="AD991" s="475"/>
      <c r="AE991" s="475"/>
      <c r="AF991" s="475"/>
    </row>
    <row r="992" spans="2:32">
      <c r="B992" s="471"/>
      <c r="C992" s="475"/>
      <c r="D992" s="475"/>
      <c r="E992" s="475"/>
      <c r="F992" s="474"/>
      <c r="G992" s="475"/>
      <c r="H992" s="474"/>
      <c r="I992" s="474"/>
      <c r="J992" s="475"/>
      <c r="K992" s="475"/>
      <c r="L992" s="475"/>
      <c r="M992" s="475"/>
      <c r="N992" s="475"/>
      <c r="O992" s="475"/>
      <c r="P992" s="475"/>
      <c r="Q992" s="475"/>
      <c r="R992" s="475"/>
      <c r="S992" s="475"/>
      <c r="T992" s="475"/>
      <c r="U992" s="475"/>
      <c r="V992" s="475"/>
      <c r="W992" s="475"/>
      <c r="X992" s="475"/>
      <c r="Y992" s="475"/>
      <c r="Z992" s="475"/>
      <c r="AA992" s="475"/>
      <c r="AB992" s="475"/>
      <c r="AC992" s="475"/>
      <c r="AD992" s="475"/>
      <c r="AE992" s="475"/>
      <c r="AF992" s="475"/>
    </row>
    <row r="993" spans="2:32">
      <c r="B993" s="471"/>
      <c r="C993" s="475"/>
      <c r="D993" s="475"/>
      <c r="E993" s="475"/>
      <c r="F993" s="474"/>
      <c r="G993" s="475"/>
      <c r="H993" s="474"/>
      <c r="I993" s="474"/>
      <c r="J993" s="475"/>
      <c r="K993" s="475"/>
      <c r="L993" s="475"/>
      <c r="M993" s="475"/>
      <c r="N993" s="475"/>
      <c r="O993" s="475"/>
      <c r="P993" s="475"/>
      <c r="Q993" s="475"/>
      <c r="R993" s="475"/>
      <c r="S993" s="475"/>
      <c r="T993" s="475"/>
      <c r="U993" s="475"/>
      <c r="V993" s="475"/>
      <c r="W993" s="475"/>
      <c r="X993" s="475"/>
      <c r="Y993" s="475"/>
      <c r="Z993" s="475"/>
      <c r="AA993" s="475"/>
      <c r="AB993" s="475"/>
      <c r="AC993" s="475"/>
      <c r="AD993" s="475"/>
      <c r="AE993" s="475"/>
      <c r="AF993" s="475"/>
    </row>
    <row r="994" spans="2:32">
      <c r="B994" s="471"/>
      <c r="C994" s="475"/>
      <c r="D994" s="475"/>
      <c r="E994" s="475"/>
      <c r="F994" s="474"/>
      <c r="G994" s="475"/>
      <c r="H994" s="474"/>
      <c r="I994" s="474"/>
      <c r="J994" s="475"/>
      <c r="K994" s="475"/>
      <c r="L994" s="475"/>
      <c r="M994" s="475"/>
      <c r="N994" s="475"/>
      <c r="O994" s="475"/>
      <c r="P994" s="475"/>
      <c r="Q994" s="475"/>
      <c r="R994" s="475"/>
      <c r="S994" s="475"/>
      <c r="T994" s="475"/>
      <c r="U994" s="475"/>
      <c r="V994" s="475"/>
      <c r="W994" s="475"/>
      <c r="X994" s="475"/>
      <c r="Y994" s="475"/>
      <c r="Z994" s="475"/>
      <c r="AA994" s="475"/>
      <c r="AB994" s="475"/>
      <c r="AC994" s="475"/>
      <c r="AD994" s="475"/>
      <c r="AE994" s="475"/>
      <c r="AF994" s="475"/>
    </row>
    <row r="995" spans="2:32">
      <c r="B995" s="471"/>
      <c r="C995" s="475"/>
      <c r="D995" s="475"/>
      <c r="E995" s="475"/>
      <c r="F995" s="474"/>
      <c r="G995" s="475"/>
      <c r="H995" s="474"/>
      <c r="I995" s="474"/>
      <c r="J995" s="475"/>
      <c r="K995" s="475"/>
      <c r="L995" s="475"/>
      <c r="M995" s="475"/>
      <c r="N995" s="475"/>
      <c r="O995" s="475"/>
      <c r="P995" s="475"/>
      <c r="Q995" s="475"/>
      <c r="R995" s="475"/>
      <c r="S995" s="475"/>
      <c r="T995" s="475"/>
      <c r="U995" s="475"/>
      <c r="V995" s="475"/>
      <c r="W995" s="475"/>
      <c r="X995" s="475"/>
      <c r="Y995" s="475"/>
      <c r="Z995" s="475"/>
      <c r="AA995" s="475"/>
      <c r="AB995" s="475"/>
      <c r="AC995" s="475"/>
      <c r="AD995" s="475"/>
      <c r="AE995" s="475"/>
      <c r="AF995" s="475"/>
    </row>
    <row r="996" spans="2:32">
      <c r="B996" s="471"/>
      <c r="C996" s="475"/>
      <c r="D996" s="475"/>
      <c r="E996" s="475"/>
      <c r="F996" s="474"/>
      <c r="G996" s="475"/>
      <c r="H996" s="474"/>
      <c r="I996" s="474"/>
      <c r="J996" s="475"/>
      <c r="K996" s="475"/>
      <c r="L996" s="475"/>
      <c r="M996" s="475"/>
      <c r="N996" s="475"/>
      <c r="O996" s="475"/>
      <c r="P996" s="475"/>
      <c r="Q996" s="475"/>
      <c r="R996" s="475"/>
      <c r="S996" s="475"/>
      <c r="T996" s="475"/>
      <c r="U996" s="475"/>
      <c r="V996" s="475"/>
      <c r="W996" s="475"/>
      <c r="X996" s="475"/>
      <c r="Y996" s="475"/>
      <c r="Z996" s="475"/>
      <c r="AA996" s="475"/>
      <c r="AB996" s="475"/>
      <c r="AC996" s="475"/>
      <c r="AD996" s="475"/>
      <c r="AE996" s="475"/>
      <c r="AF996" s="475"/>
    </row>
    <row r="997" spans="2:32">
      <c r="B997" s="471"/>
      <c r="C997" s="475"/>
      <c r="D997" s="475"/>
      <c r="E997" s="475"/>
      <c r="F997" s="474"/>
      <c r="G997" s="475"/>
      <c r="H997" s="474"/>
      <c r="I997" s="474"/>
      <c r="J997" s="475"/>
      <c r="K997" s="475"/>
      <c r="L997" s="475"/>
      <c r="M997" s="475"/>
      <c r="N997" s="475"/>
      <c r="O997" s="475"/>
      <c r="P997" s="475"/>
      <c r="Q997" s="475"/>
      <c r="R997" s="475"/>
      <c r="S997" s="475"/>
      <c r="T997" s="475"/>
      <c r="U997" s="475"/>
      <c r="V997" s="475"/>
      <c r="W997" s="475"/>
      <c r="X997" s="475"/>
      <c r="Y997" s="475"/>
      <c r="Z997" s="475"/>
      <c r="AA997" s="475"/>
      <c r="AB997" s="475"/>
      <c r="AC997" s="475"/>
      <c r="AD997" s="475"/>
      <c r="AE997" s="475"/>
      <c r="AF997" s="475"/>
    </row>
    <row r="998" spans="2:32">
      <c r="B998" s="471"/>
      <c r="C998" s="475"/>
      <c r="D998" s="475"/>
      <c r="E998" s="475"/>
      <c r="F998" s="474"/>
      <c r="G998" s="475"/>
      <c r="H998" s="474"/>
      <c r="I998" s="474"/>
      <c r="J998" s="475"/>
      <c r="K998" s="475"/>
      <c r="L998" s="475"/>
      <c r="M998" s="475"/>
      <c r="N998" s="475"/>
      <c r="O998" s="475"/>
      <c r="P998" s="475"/>
      <c r="Q998" s="475"/>
      <c r="R998" s="475"/>
      <c r="S998" s="475"/>
      <c r="T998" s="475"/>
      <c r="U998" s="475"/>
      <c r="V998" s="475"/>
      <c r="W998" s="475"/>
      <c r="X998" s="475"/>
      <c r="Y998" s="475"/>
      <c r="Z998" s="475"/>
      <c r="AA998" s="475"/>
      <c r="AB998" s="475"/>
      <c r="AC998" s="475"/>
      <c r="AD998" s="475"/>
      <c r="AE998" s="475"/>
      <c r="AF998" s="475"/>
    </row>
    <row r="999" spans="2:32">
      <c r="B999" s="471"/>
      <c r="C999" s="475"/>
      <c r="D999" s="475"/>
      <c r="E999" s="475"/>
      <c r="F999" s="474"/>
      <c r="G999" s="475"/>
      <c r="H999" s="474"/>
      <c r="I999" s="474"/>
      <c r="J999" s="475"/>
      <c r="K999" s="475"/>
      <c r="L999" s="475"/>
      <c r="M999" s="475"/>
      <c r="N999" s="475"/>
      <c r="O999" s="475"/>
      <c r="P999" s="475"/>
      <c r="Q999" s="475"/>
      <c r="R999" s="475"/>
      <c r="S999" s="475"/>
      <c r="T999" s="475"/>
      <c r="U999" s="475"/>
      <c r="V999" s="475"/>
      <c r="W999" s="475"/>
      <c r="X999" s="475"/>
      <c r="Y999" s="475"/>
      <c r="Z999" s="475"/>
      <c r="AA999" s="475"/>
      <c r="AB999" s="475"/>
      <c r="AC999" s="475"/>
      <c r="AD999" s="475"/>
      <c r="AE999" s="475"/>
      <c r="AF999" s="475"/>
    </row>
    <row r="1000" spans="2:32">
      <c r="B1000" s="471"/>
      <c r="C1000" s="475"/>
      <c r="D1000" s="475"/>
      <c r="E1000" s="475"/>
      <c r="F1000" s="474"/>
      <c r="G1000" s="475"/>
      <c r="H1000" s="474"/>
      <c r="I1000" s="474"/>
      <c r="J1000" s="475"/>
      <c r="K1000" s="475"/>
      <c r="L1000" s="475"/>
      <c r="M1000" s="475"/>
      <c r="N1000" s="475"/>
      <c r="O1000" s="475"/>
      <c r="P1000" s="475"/>
      <c r="Q1000" s="475"/>
      <c r="R1000" s="475"/>
      <c r="S1000" s="475"/>
      <c r="T1000" s="475"/>
      <c r="U1000" s="475"/>
      <c r="V1000" s="475"/>
      <c r="W1000" s="475"/>
      <c r="X1000" s="475"/>
      <c r="Y1000" s="475"/>
      <c r="Z1000" s="475"/>
      <c r="AA1000" s="475"/>
      <c r="AB1000" s="475"/>
      <c r="AC1000" s="475"/>
      <c r="AD1000" s="475"/>
      <c r="AE1000" s="475"/>
      <c r="AF1000" s="475"/>
    </row>
    <row r="1001" spans="2:32">
      <c r="B1001" s="471"/>
      <c r="C1001" s="475"/>
      <c r="D1001" s="475"/>
      <c r="E1001" s="475"/>
      <c r="F1001" s="474"/>
      <c r="G1001" s="475"/>
      <c r="H1001" s="474"/>
      <c r="I1001" s="474"/>
      <c r="J1001" s="475"/>
      <c r="K1001" s="475"/>
      <c r="L1001" s="475"/>
      <c r="M1001" s="475"/>
      <c r="N1001" s="475"/>
      <c r="O1001" s="475"/>
      <c r="P1001" s="475"/>
      <c r="Q1001" s="475"/>
      <c r="R1001" s="475"/>
      <c r="S1001" s="475"/>
      <c r="T1001" s="475"/>
      <c r="U1001" s="475"/>
      <c r="V1001" s="475"/>
      <c r="W1001" s="475"/>
      <c r="X1001" s="475"/>
      <c r="Y1001" s="475"/>
      <c r="Z1001" s="475"/>
      <c r="AA1001" s="475"/>
      <c r="AB1001" s="475"/>
      <c r="AC1001" s="475"/>
      <c r="AD1001" s="475"/>
      <c r="AE1001" s="475"/>
      <c r="AF1001" s="475"/>
    </row>
    <row r="1002" spans="2:32">
      <c r="B1002" s="471"/>
      <c r="C1002" s="475"/>
      <c r="D1002" s="475"/>
      <c r="E1002" s="475"/>
      <c r="F1002" s="474"/>
      <c r="G1002" s="475"/>
      <c r="H1002" s="474"/>
      <c r="I1002" s="474"/>
      <c r="J1002" s="475"/>
      <c r="K1002" s="475"/>
      <c r="L1002" s="475"/>
      <c r="M1002" s="475"/>
      <c r="N1002" s="475"/>
      <c r="O1002" s="475"/>
      <c r="P1002" s="475"/>
      <c r="Q1002" s="475"/>
      <c r="R1002" s="475"/>
      <c r="S1002" s="475"/>
      <c r="T1002" s="475"/>
      <c r="U1002" s="475"/>
      <c r="V1002" s="475"/>
      <c r="W1002" s="475"/>
      <c r="X1002" s="475"/>
      <c r="Y1002" s="475"/>
      <c r="Z1002" s="475"/>
      <c r="AA1002" s="475"/>
      <c r="AB1002" s="475"/>
      <c r="AC1002" s="475"/>
      <c r="AD1002" s="475"/>
      <c r="AE1002" s="475"/>
      <c r="AF1002" s="475"/>
    </row>
    <row r="1003" spans="2:32">
      <c r="B1003" s="471"/>
      <c r="C1003" s="475"/>
      <c r="D1003" s="475"/>
      <c r="E1003" s="475"/>
      <c r="F1003" s="474"/>
      <c r="G1003" s="475"/>
      <c r="H1003" s="474"/>
      <c r="I1003" s="474"/>
      <c r="J1003" s="475"/>
      <c r="K1003" s="475"/>
      <c r="L1003" s="475"/>
      <c r="M1003" s="475"/>
      <c r="N1003" s="475"/>
      <c r="O1003" s="475"/>
      <c r="P1003" s="475"/>
      <c r="Q1003" s="475"/>
      <c r="R1003" s="475"/>
      <c r="S1003" s="475"/>
      <c r="T1003" s="475"/>
      <c r="U1003" s="475"/>
      <c r="V1003" s="475"/>
      <c r="W1003" s="475"/>
      <c r="X1003" s="475"/>
      <c r="Y1003" s="475"/>
      <c r="Z1003" s="475"/>
      <c r="AA1003" s="475"/>
      <c r="AB1003" s="475"/>
      <c r="AC1003" s="475"/>
      <c r="AD1003" s="475"/>
      <c r="AE1003" s="475"/>
      <c r="AF1003" s="475"/>
    </row>
    <row r="1004" spans="2:32">
      <c r="B1004" s="471"/>
      <c r="C1004" s="475"/>
      <c r="D1004" s="475"/>
      <c r="E1004" s="475"/>
      <c r="F1004" s="474"/>
      <c r="G1004" s="475"/>
      <c r="H1004" s="474"/>
      <c r="I1004" s="474"/>
      <c r="J1004" s="475"/>
      <c r="K1004" s="475"/>
      <c r="L1004" s="475"/>
      <c r="M1004" s="475"/>
      <c r="N1004" s="475"/>
      <c r="O1004" s="475"/>
      <c r="P1004" s="475"/>
      <c r="Q1004" s="475"/>
      <c r="R1004" s="475"/>
      <c r="S1004" s="475"/>
      <c r="T1004" s="475"/>
      <c r="U1004" s="475"/>
      <c r="V1004" s="475"/>
      <c r="W1004" s="475"/>
      <c r="X1004" s="475"/>
      <c r="Y1004" s="475"/>
      <c r="Z1004" s="475"/>
      <c r="AA1004" s="475"/>
      <c r="AB1004" s="475"/>
      <c r="AC1004" s="475"/>
      <c r="AD1004" s="475"/>
      <c r="AE1004" s="475"/>
      <c r="AF1004" s="475"/>
    </row>
    <row r="1005" spans="2:32">
      <c r="B1005" s="471"/>
      <c r="C1005" s="475"/>
      <c r="D1005" s="475"/>
      <c r="E1005" s="475"/>
      <c r="F1005" s="474"/>
      <c r="G1005" s="475"/>
      <c r="H1005" s="474"/>
      <c r="I1005" s="474"/>
      <c r="J1005" s="475"/>
      <c r="K1005" s="475"/>
      <c r="L1005" s="475"/>
      <c r="M1005" s="475"/>
      <c r="N1005" s="475"/>
      <c r="O1005" s="475"/>
      <c r="P1005" s="475"/>
      <c r="Q1005" s="475"/>
      <c r="R1005" s="475"/>
      <c r="S1005" s="475"/>
      <c r="T1005" s="475"/>
      <c r="U1005" s="475"/>
      <c r="V1005" s="475"/>
      <c r="W1005" s="475"/>
      <c r="X1005" s="475"/>
      <c r="Y1005" s="475"/>
      <c r="Z1005" s="475"/>
      <c r="AA1005" s="475"/>
      <c r="AB1005" s="475"/>
      <c r="AC1005" s="475"/>
      <c r="AD1005" s="475"/>
      <c r="AE1005" s="475"/>
      <c r="AF1005" s="475"/>
    </row>
    <row r="1006" spans="2:32">
      <c r="B1006" s="471"/>
      <c r="C1006" s="475"/>
      <c r="D1006" s="475"/>
      <c r="E1006" s="475"/>
      <c r="F1006" s="474"/>
      <c r="G1006" s="475"/>
      <c r="H1006" s="474"/>
      <c r="I1006" s="474"/>
      <c r="J1006" s="475"/>
      <c r="K1006" s="475"/>
      <c r="L1006" s="475"/>
      <c r="M1006" s="475"/>
      <c r="N1006" s="475"/>
      <c r="O1006" s="475"/>
      <c r="P1006" s="475"/>
      <c r="Q1006" s="475"/>
      <c r="R1006" s="475"/>
      <c r="S1006" s="475"/>
      <c r="T1006" s="475"/>
      <c r="U1006" s="475"/>
      <c r="V1006" s="475"/>
      <c r="W1006" s="475"/>
      <c r="X1006" s="475"/>
      <c r="Y1006" s="475"/>
      <c r="Z1006" s="475"/>
      <c r="AA1006" s="475"/>
      <c r="AB1006" s="475"/>
      <c r="AC1006" s="475"/>
      <c r="AD1006" s="475"/>
      <c r="AE1006" s="475"/>
      <c r="AF1006" s="475"/>
    </row>
    <row r="1007" spans="2:32">
      <c r="B1007" s="471"/>
      <c r="C1007" s="475"/>
      <c r="D1007" s="475"/>
      <c r="E1007" s="475"/>
      <c r="F1007" s="474"/>
      <c r="G1007" s="475"/>
      <c r="H1007" s="474"/>
      <c r="I1007" s="474"/>
      <c r="J1007" s="475"/>
      <c r="K1007" s="475"/>
      <c r="L1007" s="475"/>
      <c r="M1007" s="475"/>
      <c r="N1007" s="475"/>
      <c r="O1007" s="475"/>
      <c r="P1007" s="475"/>
      <c r="Q1007" s="475"/>
      <c r="R1007" s="475"/>
      <c r="S1007" s="475"/>
      <c r="T1007" s="475"/>
      <c r="U1007" s="475"/>
      <c r="V1007" s="475"/>
      <c r="W1007" s="475"/>
      <c r="X1007" s="475"/>
      <c r="Y1007" s="475"/>
      <c r="Z1007" s="475"/>
      <c r="AA1007" s="475"/>
      <c r="AB1007" s="475"/>
      <c r="AC1007" s="475"/>
      <c r="AD1007" s="475"/>
      <c r="AE1007" s="475"/>
      <c r="AF1007" s="475"/>
    </row>
    <row r="1008" spans="2:32">
      <c r="B1008" s="471"/>
      <c r="C1008" s="475"/>
      <c r="D1008" s="475"/>
      <c r="E1008" s="475"/>
      <c r="F1008" s="474"/>
      <c r="G1008" s="475"/>
      <c r="H1008" s="474"/>
      <c r="I1008" s="474"/>
      <c r="J1008" s="475"/>
      <c r="K1008" s="475"/>
      <c r="L1008" s="475"/>
      <c r="M1008" s="475"/>
      <c r="N1008" s="475"/>
      <c r="O1008" s="475"/>
      <c r="P1008" s="475"/>
      <c r="Q1008" s="475"/>
      <c r="R1008" s="475"/>
      <c r="S1008" s="475"/>
      <c r="T1008" s="475"/>
      <c r="U1008" s="475"/>
      <c r="V1008" s="475"/>
      <c r="W1008" s="475"/>
      <c r="X1008" s="475"/>
      <c r="Y1008" s="475"/>
      <c r="Z1008" s="475"/>
      <c r="AA1008" s="475"/>
      <c r="AB1008" s="475"/>
      <c r="AC1008" s="475"/>
      <c r="AD1008" s="475"/>
      <c r="AE1008" s="475"/>
      <c r="AF1008" s="475"/>
    </row>
    <row r="1009" spans="2:32">
      <c r="B1009" s="471"/>
      <c r="C1009" s="475"/>
      <c r="D1009" s="475"/>
      <c r="E1009" s="475"/>
      <c r="F1009" s="474"/>
      <c r="G1009" s="475"/>
      <c r="H1009" s="474"/>
      <c r="I1009" s="474"/>
      <c r="J1009" s="475"/>
      <c r="K1009" s="475"/>
      <c r="L1009" s="475"/>
      <c r="M1009" s="475"/>
      <c r="N1009" s="475"/>
      <c r="O1009" s="475"/>
      <c r="P1009" s="475"/>
      <c r="Q1009" s="475"/>
      <c r="R1009" s="475"/>
      <c r="S1009" s="475"/>
      <c r="T1009" s="475"/>
      <c r="U1009" s="475"/>
      <c r="V1009" s="475"/>
      <c r="W1009" s="475"/>
      <c r="X1009" s="475"/>
      <c r="Y1009" s="475"/>
      <c r="Z1009" s="475"/>
      <c r="AA1009" s="475"/>
      <c r="AB1009" s="475"/>
      <c r="AC1009" s="475"/>
      <c r="AD1009" s="475"/>
      <c r="AE1009" s="475"/>
      <c r="AF1009" s="475"/>
    </row>
    <row r="1010" spans="2:32">
      <c r="B1010" s="471"/>
      <c r="C1010" s="475"/>
      <c r="D1010" s="475"/>
      <c r="E1010" s="475"/>
      <c r="F1010" s="474"/>
      <c r="G1010" s="475"/>
      <c r="H1010" s="474"/>
      <c r="I1010" s="474"/>
      <c r="J1010" s="475"/>
      <c r="K1010" s="475"/>
      <c r="L1010" s="475"/>
      <c r="M1010" s="475"/>
      <c r="N1010" s="475"/>
      <c r="O1010" s="475"/>
      <c r="P1010" s="475"/>
      <c r="Q1010" s="475"/>
      <c r="R1010" s="475"/>
      <c r="S1010" s="475"/>
      <c r="T1010" s="475"/>
      <c r="U1010" s="475"/>
      <c r="V1010" s="475"/>
      <c r="W1010" s="475"/>
      <c r="X1010" s="475"/>
      <c r="Y1010" s="475"/>
      <c r="Z1010" s="475"/>
      <c r="AA1010" s="475"/>
      <c r="AB1010" s="475"/>
      <c r="AC1010" s="475"/>
      <c r="AD1010" s="475"/>
      <c r="AE1010" s="475"/>
      <c r="AF1010" s="475"/>
    </row>
    <row r="1011" spans="2:32">
      <c r="B1011" s="471"/>
      <c r="C1011" s="475"/>
      <c r="D1011" s="475"/>
      <c r="E1011" s="475"/>
      <c r="F1011" s="474"/>
      <c r="G1011" s="475"/>
      <c r="H1011" s="474"/>
      <c r="I1011" s="474"/>
      <c r="J1011" s="475"/>
      <c r="K1011" s="475"/>
      <c r="L1011" s="475"/>
      <c r="M1011" s="475"/>
      <c r="N1011" s="475"/>
      <c r="O1011" s="475"/>
      <c r="P1011" s="475"/>
      <c r="Q1011" s="475"/>
      <c r="R1011" s="475"/>
      <c r="S1011" s="475"/>
      <c r="T1011" s="475"/>
      <c r="U1011" s="475"/>
      <c r="V1011" s="475"/>
      <c r="W1011" s="475"/>
      <c r="X1011" s="475"/>
      <c r="Y1011" s="475"/>
      <c r="Z1011" s="475"/>
      <c r="AA1011" s="475"/>
      <c r="AB1011" s="475"/>
      <c r="AC1011" s="475"/>
      <c r="AD1011" s="475"/>
      <c r="AE1011" s="475"/>
      <c r="AF1011" s="475"/>
    </row>
    <row r="1012" spans="2:32">
      <c r="B1012" s="471"/>
      <c r="C1012" s="475"/>
      <c r="D1012" s="475"/>
      <c r="E1012" s="475"/>
      <c r="F1012" s="474"/>
      <c r="G1012" s="475"/>
      <c r="H1012" s="474"/>
      <c r="I1012" s="474"/>
      <c r="J1012" s="475"/>
      <c r="K1012" s="475"/>
      <c r="L1012" s="475"/>
      <c r="M1012" s="475"/>
      <c r="N1012" s="475"/>
      <c r="O1012" s="475"/>
      <c r="P1012" s="475"/>
      <c r="Q1012" s="475"/>
      <c r="R1012" s="475"/>
      <c r="S1012" s="475"/>
      <c r="T1012" s="475"/>
      <c r="U1012" s="475"/>
      <c r="V1012" s="475"/>
      <c r="W1012" s="475"/>
      <c r="X1012" s="475"/>
      <c r="Y1012" s="475"/>
      <c r="Z1012" s="475"/>
      <c r="AA1012" s="475"/>
      <c r="AB1012" s="475"/>
      <c r="AC1012" s="475"/>
      <c r="AD1012" s="475"/>
      <c r="AE1012" s="475"/>
      <c r="AF1012" s="475"/>
    </row>
    <row r="1013" spans="2:32">
      <c r="B1013" s="471"/>
      <c r="C1013" s="475"/>
      <c r="D1013" s="475"/>
      <c r="E1013" s="475"/>
      <c r="F1013" s="474"/>
      <c r="G1013" s="475"/>
      <c r="H1013" s="474"/>
      <c r="I1013" s="474"/>
      <c r="J1013" s="475"/>
      <c r="K1013" s="475"/>
      <c r="L1013" s="475"/>
      <c r="M1013" s="475"/>
      <c r="N1013" s="475"/>
      <c r="O1013" s="475"/>
      <c r="P1013" s="475"/>
      <c r="Q1013" s="475"/>
      <c r="R1013" s="475"/>
      <c r="S1013" s="475"/>
      <c r="T1013" s="475"/>
      <c r="U1013" s="475"/>
      <c r="V1013" s="475"/>
      <c r="W1013" s="475"/>
      <c r="X1013" s="475"/>
      <c r="Y1013" s="475"/>
      <c r="Z1013" s="475"/>
      <c r="AA1013" s="475"/>
      <c r="AB1013" s="475"/>
      <c r="AC1013" s="475"/>
      <c r="AD1013" s="475"/>
      <c r="AE1013" s="475"/>
      <c r="AF1013" s="475"/>
    </row>
    <row r="1014" spans="2:32">
      <c r="B1014" s="471"/>
      <c r="C1014" s="475"/>
      <c r="D1014" s="475"/>
      <c r="E1014" s="475"/>
      <c r="F1014" s="474"/>
      <c r="G1014" s="475"/>
      <c r="H1014" s="474"/>
      <c r="I1014" s="474"/>
      <c r="J1014" s="475"/>
      <c r="K1014" s="475"/>
      <c r="L1014" s="475"/>
      <c r="M1014" s="475"/>
      <c r="N1014" s="475"/>
      <c r="O1014" s="475"/>
      <c r="P1014" s="475"/>
      <c r="Q1014" s="475"/>
      <c r="R1014" s="475"/>
      <c r="S1014" s="475"/>
      <c r="T1014" s="475"/>
      <c r="U1014" s="475"/>
      <c r="V1014" s="475"/>
      <c r="W1014" s="475"/>
      <c r="X1014" s="475"/>
      <c r="Y1014" s="475"/>
      <c r="Z1014" s="475"/>
      <c r="AA1014" s="475"/>
      <c r="AB1014" s="475"/>
      <c r="AC1014" s="475"/>
      <c r="AD1014" s="475"/>
      <c r="AE1014" s="475"/>
      <c r="AF1014" s="475"/>
    </row>
    <row r="1015" spans="2:32">
      <c r="B1015" s="471"/>
      <c r="C1015" s="475"/>
      <c r="D1015" s="475"/>
      <c r="E1015" s="475"/>
      <c r="F1015" s="474"/>
      <c r="G1015" s="475"/>
      <c r="H1015" s="474"/>
      <c r="I1015" s="474"/>
      <c r="J1015" s="475"/>
      <c r="K1015" s="475"/>
      <c r="L1015" s="475"/>
      <c r="M1015" s="475"/>
      <c r="N1015" s="475"/>
      <c r="O1015" s="475"/>
      <c r="P1015" s="475"/>
      <c r="Q1015" s="475"/>
      <c r="R1015" s="475"/>
      <c r="S1015" s="475"/>
      <c r="T1015" s="475"/>
      <c r="U1015" s="475"/>
      <c r="V1015" s="475"/>
      <c r="W1015" s="475"/>
      <c r="X1015" s="475"/>
      <c r="Y1015" s="475"/>
      <c r="Z1015" s="475"/>
      <c r="AA1015" s="475"/>
      <c r="AB1015" s="475"/>
      <c r="AC1015" s="475"/>
      <c r="AD1015" s="475"/>
      <c r="AE1015" s="475"/>
      <c r="AF1015" s="475"/>
    </row>
    <row r="1016" spans="2:32">
      <c r="B1016" s="471"/>
      <c r="C1016" s="475"/>
      <c r="D1016" s="475"/>
      <c r="E1016" s="475"/>
      <c r="F1016" s="474"/>
      <c r="G1016" s="475"/>
      <c r="H1016" s="474"/>
      <c r="I1016" s="474"/>
      <c r="J1016" s="475"/>
      <c r="K1016" s="475"/>
      <c r="L1016" s="475"/>
      <c r="M1016" s="475"/>
      <c r="N1016" s="475"/>
      <c r="O1016" s="475"/>
      <c r="P1016" s="475"/>
      <c r="Q1016" s="475"/>
      <c r="R1016" s="475"/>
      <c r="S1016" s="475"/>
      <c r="T1016" s="475"/>
      <c r="U1016" s="475"/>
      <c r="V1016" s="475"/>
      <c r="W1016" s="475"/>
      <c r="X1016" s="475"/>
      <c r="Y1016" s="475"/>
      <c r="Z1016" s="475"/>
      <c r="AA1016" s="475"/>
      <c r="AB1016" s="475"/>
      <c r="AC1016" s="475"/>
      <c r="AD1016" s="475"/>
      <c r="AE1016" s="475"/>
      <c r="AF1016" s="475"/>
    </row>
    <row r="1017" spans="2:32">
      <c r="B1017" s="471"/>
      <c r="C1017" s="475"/>
      <c r="D1017" s="475"/>
      <c r="E1017" s="475"/>
      <c r="F1017" s="474"/>
      <c r="G1017" s="475"/>
      <c r="H1017" s="474"/>
      <c r="I1017" s="474"/>
      <c r="J1017" s="475"/>
      <c r="K1017" s="475"/>
      <c r="L1017" s="475"/>
      <c r="M1017" s="475"/>
      <c r="N1017" s="475"/>
      <c r="O1017" s="475"/>
      <c r="P1017" s="475"/>
      <c r="Q1017" s="475"/>
      <c r="R1017" s="475"/>
      <c r="S1017" s="475"/>
      <c r="T1017" s="475"/>
      <c r="U1017" s="475"/>
      <c r="V1017" s="475"/>
      <c r="W1017" s="475"/>
      <c r="X1017" s="475"/>
      <c r="Y1017" s="475"/>
      <c r="Z1017" s="475"/>
      <c r="AA1017" s="475"/>
      <c r="AB1017" s="475"/>
      <c r="AC1017" s="475"/>
      <c r="AD1017" s="475"/>
      <c r="AE1017" s="475"/>
      <c r="AF1017" s="475"/>
    </row>
    <row r="1018" spans="2:32">
      <c r="B1018" s="471"/>
      <c r="C1018" s="475"/>
      <c r="D1018" s="475"/>
      <c r="E1018" s="475"/>
      <c r="F1018" s="474"/>
      <c r="G1018" s="475"/>
      <c r="H1018" s="474"/>
      <c r="I1018" s="474"/>
      <c r="J1018" s="475"/>
      <c r="K1018" s="475"/>
      <c r="L1018" s="475"/>
      <c r="M1018" s="475"/>
      <c r="N1018" s="475"/>
      <c r="O1018" s="475"/>
      <c r="P1018" s="475"/>
      <c r="Q1018" s="475"/>
      <c r="R1018" s="475"/>
      <c r="S1018" s="475"/>
      <c r="T1018" s="475"/>
      <c r="U1018" s="475"/>
      <c r="V1018" s="475"/>
      <c r="W1018" s="475"/>
      <c r="X1018" s="475"/>
      <c r="Y1018" s="475"/>
      <c r="Z1018" s="475"/>
      <c r="AA1018" s="475"/>
      <c r="AB1018" s="475"/>
      <c r="AC1018" s="475"/>
      <c r="AD1018" s="475"/>
      <c r="AE1018" s="475"/>
      <c r="AF1018" s="475"/>
    </row>
    <row r="1019" spans="2:32">
      <c r="B1019" s="471"/>
      <c r="C1019" s="475"/>
      <c r="D1019" s="475"/>
      <c r="E1019" s="475"/>
      <c r="F1019" s="474"/>
      <c r="G1019" s="475"/>
      <c r="H1019" s="474"/>
      <c r="I1019" s="474"/>
      <c r="J1019" s="475"/>
      <c r="K1019" s="475"/>
      <c r="L1019" s="475"/>
      <c r="M1019" s="475"/>
      <c r="N1019" s="475"/>
      <c r="O1019" s="475"/>
      <c r="P1019" s="475"/>
      <c r="Q1019" s="475"/>
      <c r="R1019" s="475"/>
      <c r="S1019" s="475"/>
      <c r="T1019" s="475"/>
      <c r="U1019" s="475"/>
      <c r="V1019" s="475"/>
      <c r="W1019" s="475"/>
      <c r="X1019" s="475"/>
      <c r="Y1019" s="475"/>
      <c r="Z1019" s="475"/>
      <c r="AA1019" s="475"/>
      <c r="AB1019" s="475"/>
      <c r="AC1019" s="475"/>
      <c r="AD1019" s="475"/>
      <c r="AE1019" s="475"/>
      <c r="AF1019" s="475"/>
    </row>
    <row r="1020" spans="2:32">
      <c r="B1020" s="471"/>
      <c r="C1020" s="475"/>
      <c r="D1020" s="475"/>
      <c r="E1020" s="475"/>
      <c r="F1020" s="474"/>
      <c r="G1020" s="475"/>
      <c r="H1020" s="474"/>
      <c r="I1020" s="474"/>
      <c r="J1020" s="475"/>
      <c r="K1020" s="475"/>
      <c r="L1020" s="475"/>
      <c r="M1020" s="475"/>
      <c r="N1020" s="475"/>
      <c r="O1020" s="475"/>
      <c r="P1020" s="475"/>
      <c r="Q1020" s="475"/>
      <c r="R1020" s="475"/>
      <c r="S1020" s="475"/>
      <c r="T1020" s="475"/>
      <c r="U1020" s="475"/>
      <c r="V1020" s="475"/>
      <c r="W1020" s="475"/>
      <c r="X1020" s="475"/>
      <c r="Y1020" s="475"/>
      <c r="Z1020" s="475"/>
      <c r="AA1020" s="475"/>
      <c r="AB1020" s="475"/>
      <c r="AC1020" s="475"/>
      <c r="AD1020" s="475"/>
      <c r="AE1020" s="475"/>
      <c r="AF1020" s="475"/>
    </row>
    <row r="1021" spans="2:32">
      <c r="B1021" s="471"/>
      <c r="C1021" s="475"/>
      <c r="D1021" s="475"/>
      <c r="E1021" s="475"/>
      <c r="F1021" s="474"/>
      <c r="G1021" s="475"/>
      <c r="H1021" s="474"/>
      <c r="I1021" s="474"/>
      <c r="J1021" s="475"/>
      <c r="K1021" s="475"/>
      <c r="L1021" s="475"/>
      <c r="M1021" s="475"/>
      <c r="N1021" s="475"/>
      <c r="O1021" s="475"/>
      <c r="P1021" s="475"/>
      <c r="Q1021" s="475"/>
      <c r="R1021" s="475"/>
      <c r="S1021" s="475"/>
      <c r="T1021" s="475"/>
      <c r="U1021" s="475"/>
      <c r="V1021" s="475"/>
      <c r="W1021" s="475"/>
      <c r="X1021" s="475"/>
      <c r="Y1021" s="475"/>
      <c r="Z1021" s="475"/>
      <c r="AA1021" s="475"/>
      <c r="AB1021" s="475"/>
      <c r="AC1021" s="475"/>
      <c r="AD1021" s="475"/>
      <c r="AE1021" s="475"/>
      <c r="AF1021" s="475"/>
    </row>
    <row r="1022" spans="2:32">
      <c r="B1022" s="471"/>
      <c r="C1022" s="475"/>
      <c r="D1022" s="475"/>
      <c r="E1022" s="475"/>
      <c r="F1022" s="474"/>
      <c r="G1022" s="475"/>
      <c r="H1022" s="474"/>
      <c r="I1022" s="474"/>
      <c r="J1022" s="475"/>
      <c r="K1022" s="475"/>
      <c r="L1022" s="475"/>
      <c r="M1022" s="475"/>
      <c r="N1022" s="475"/>
      <c r="O1022" s="475"/>
      <c r="P1022" s="475"/>
      <c r="Q1022" s="475"/>
      <c r="R1022" s="475"/>
      <c r="S1022" s="475"/>
      <c r="T1022" s="475"/>
      <c r="U1022" s="475"/>
      <c r="V1022" s="475"/>
      <c r="W1022" s="475"/>
      <c r="X1022" s="475"/>
      <c r="Y1022" s="475"/>
      <c r="Z1022" s="475"/>
      <c r="AA1022" s="475"/>
      <c r="AB1022" s="475"/>
      <c r="AC1022" s="475"/>
      <c r="AD1022" s="475"/>
      <c r="AE1022" s="475"/>
      <c r="AF1022" s="475"/>
    </row>
    <row r="1023" spans="2:32">
      <c r="B1023" s="471"/>
      <c r="C1023" s="475"/>
      <c r="D1023" s="475"/>
      <c r="E1023" s="475"/>
      <c r="F1023" s="474"/>
      <c r="G1023" s="475"/>
      <c r="H1023" s="474"/>
      <c r="I1023" s="474"/>
      <c r="J1023" s="475"/>
      <c r="K1023" s="475"/>
      <c r="L1023" s="475"/>
      <c r="M1023" s="475"/>
      <c r="N1023" s="475"/>
      <c r="O1023" s="475"/>
      <c r="P1023" s="475"/>
      <c r="Q1023" s="475"/>
      <c r="R1023" s="475"/>
      <c r="S1023" s="475"/>
      <c r="T1023" s="475"/>
      <c r="U1023" s="475"/>
      <c r="V1023" s="475"/>
      <c r="W1023" s="475"/>
      <c r="X1023" s="475"/>
      <c r="Y1023" s="475"/>
      <c r="Z1023" s="475"/>
      <c r="AA1023" s="475"/>
      <c r="AB1023" s="475"/>
      <c r="AC1023" s="475"/>
      <c r="AD1023" s="475"/>
      <c r="AE1023" s="475"/>
      <c r="AF1023" s="475"/>
    </row>
    <row r="1024" spans="2:32">
      <c r="B1024" s="471"/>
      <c r="C1024" s="475"/>
      <c r="D1024" s="475"/>
      <c r="E1024" s="475"/>
      <c r="F1024" s="474"/>
      <c r="G1024" s="475"/>
      <c r="H1024" s="474"/>
      <c r="I1024" s="474"/>
      <c r="J1024" s="475"/>
      <c r="K1024" s="475"/>
      <c r="L1024" s="475"/>
      <c r="M1024" s="475"/>
      <c r="N1024" s="475"/>
      <c r="O1024" s="475"/>
      <c r="P1024" s="475"/>
      <c r="Q1024" s="475"/>
      <c r="R1024" s="475"/>
      <c r="S1024" s="475"/>
      <c r="T1024" s="475"/>
      <c r="U1024" s="475"/>
      <c r="V1024" s="475"/>
      <c r="W1024" s="475"/>
      <c r="X1024" s="475"/>
      <c r="Y1024" s="475"/>
      <c r="Z1024" s="475"/>
      <c r="AA1024" s="475"/>
      <c r="AB1024" s="475"/>
      <c r="AC1024" s="475"/>
      <c r="AD1024" s="475"/>
      <c r="AE1024" s="475"/>
      <c r="AF1024" s="475"/>
    </row>
    <row r="1025" spans="2:32">
      <c r="B1025" s="471"/>
      <c r="C1025" s="475"/>
      <c r="D1025" s="475"/>
      <c r="E1025" s="475"/>
      <c r="F1025" s="474"/>
      <c r="G1025" s="475"/>
      <c r="H1025" s="474"/>
      <c r="I1025" s="474"/>
      <c r="J1025" s="475"/>
      <c r="K1025" s="475"/>
      <c r="L1025" s="475"/>
      <c r="M1025" s="475"/>
      <c r="N1025" s="475"/>
      <c r="O1025" s="475"/>
      <c r="P1025" s="475"/>
      <c r="Q1025" s="475"/>
      <c r="R1025" s="475"/>
      <c r="S1025" s="475"/>
      <c r="T1025" s="475"/>
      <c r="U1025" s="475"/>
      <c r="V1025" s="475"/>
      <c r="W1025" s="475"/>
      <c r="X1025" s="475"/>
      <c r="Y1025" s="475"/>
      <c r="Z1025" s="475"/>
      <c r="AA1025" s="475"/>
      <c r="AB1025" s="475"/>
      <c r="AC1025" s="475"/>
      <c r="AD1025" s="475"/>
      <c r="AE1025" s="475"/>
      <c r="AF1025" s="475"/>
    </row>
    <row r="1026" spans="2:32">
      <c r="B1026" s="471"/>
      <c r="C1026" s="475"/>
      <c r="D1026" s="475"/>
      <c r="E1026" s="475"/>
      <c r="F1026" s="474"/>
      <c r="G1026" s="475"/>
      <c r="H1026" s="474"/>
      <c r="I1026" s="474"/>
      <c r="J1026" s="475"/>
      <c r="K1026" s="475"/>
      <c r="L1026" s="475"/>
      <c r="M1026" s="475"/>
      <c r="N1026" s="475"/>
      <c r="O1026" s="475"/>
      <c r="P1026" s="475"/>
      <c r="Q1026" s="475"/>
      <c r="R1026" s="475"/>
      <c r="S1026" s="475"/>
      <c r="T1026" s="475"/>
      <c r="U1026" s="475"/>
      <c r="V1026" s="475"/>
      <c r="W1026" s="475"/>
      <c r="X1026" s="475"/>
      <c r="Y1026" s="475"/>
      <c r="Z1026" s="475"/>
      <c r="AA1026" s="475"/>
      <c r="AB1026" s="475"/>
      <c r="AC1026" s="475"/>
      <c r="AD1026" s="475"/>
      <c r="AE1026" s="475"/>
      <c r="AF1026" s="475"/>
    </row>
    <row r="1027" spans="2:32">
      <c r="B1027" s="471"/>
      <c r="C1027" s="475"/>
      <c r="D1027" s="475"/>
      <c r="E1027" s="475"/>
      <c r="F1027" s="474"/>
      <c r="G1027" s="475"/>
      <c r="H1027" s="474"/>
      <c r="I1027" s="474"/>
      <c r="J1027" s="475"/>
      <c r="K1027" s="475"/>
      <c r="L1027" s="475"/>
      <c r="M1027" s="475"/>
      <c r="N1027" s="475"/>
      <c r="O1027" s="475"/>
      <c r="P1027" s="475"/>
      <c r="Q1027" s="475"/>
      <c r="R1027" s="475"/>
      <c r="S1027" s="475"/>
      <c r="T1027" s="475"/>
      <c r="U1027" s="475"/>
      <c r="V1027" s="475"/>
      <c r="W1027" s="475"/>
      <c r="X1027" s="475"/>
      <c r="Y1027" s="475"/>
      <c r="Z1027" s="475"/>
      <c r="AA1027" s="475"/>
      <c r="AB1027" s="475"/>
      <c r="AC1027" s="475"/>
      <c r="AD1027" s="475"/>
      <c r="AE1027" s="475"/>
      <c r="AF1027" s="475"/>
    </row>
    <row r="1028" spans="2:32">
      <c r="B1028" s="471"/>
      <c r="C1028" s="475"/>
      <c r="D1028" s="475"/>
      <c r="E1028" s="475"/>
      <c r="F1028" s="474"/>
      <c r="G1028" s="475"/>
      <c r="H1028" s="474"/>
      <c r="I1028" s="474"/>
      <c r="J1028" s="475"/>
      <c r="K1028" s="475"/>
      <c r="L1028" s="475"/>
      <c r="M1028" s="475"/>
      <c r="N1028" s="475"/>
      <c r="O1028" s="475"/>
      <c r="P1028" s="475"/>
      <c r="Q1028" s="475"/>
      <c r="R1028" s="475"/>
      <c r="S1028" s="475"/>
      <c r="T1028" s="475"/>
      <c r="U1028" s="475"/>
      <c r="V1028" s="475"/>
      <c r="W1028" s="475"/>
      <c r="X1028" s="475"/>
      <c r="Y1028" s="475"/>
      <c r="Z1028" s="475"/>
      <c r="AA1028" s="475"/>
      <c r="AB1028" s="475"/>
      <c r="AC1028" s="475"/>
      <c r="AD1028" s="475"/>
      <c r="AE1028" s="475"/>
      <c r="AF1028" s="475"/>
    </row>
    <row r="1029" spans="2:32">
      <c r="B1029" s="471"/>
      <c r="C1029" s="475"/>
      <c r="D1029" s="475"/>
      <c r="E1029" s="475"/>
      <c r="F1029" s="474"/>
      <c r="G1029" s="475"/>
      <c r="H1029" s="474"/>
      <c r="I1029" s="474"/>
      <c r="J1029" s="475"/>
      <c r="K1029" s="475"/>
      <c r="L1029" s="475"/>
      <c r="M1029" s="475"/>
      <c r="N1029" s="475"/>
      <c r="O1029" s="475"/>
      <c r="P1029" s="475"/>
      <c r="Q1029" s="475"/>
      <c r="R1029" s="475"/>
      <c r="S1029" s="475"/>
      <c r="T1029" s="475"/>
      <c r="U1029" s="475"/>
      <c r="V1029" s="475"/>
      <c r="W1029" s="475"/>
      <c r="X1029" s="475"/>
      <c r="Y1029" s="475"/>
      <c r="Z1029" s="475"/>
      <c r="AA1029" s="475"/>
      <c r="AB1029" s="475"/>
      <c r="AC1029" s="475"/>
      <c r="AD1029" s="475"/>
      <c r="AE1029" s="475"/>
      <c r="AF1029" s="475"/>
    </row>
    <row r="1030" spans="2:32">
      <c r="B1030" s="471"/>
      <c r="C1030" s="475"/>
      <c r="D1030" s="475"/>
      <c r="E1030" s="475"/>
      <c r="F1030" s="474"/>
      <c r="G1030" s="475"/>
      <c r="H1030" s="474"/>
      <c r="I1030" s="474"/>
      <c r="J1030" s="475"/>
      <c r="K1030" s="475"/>
      <c r="L1030" s="475"/>
      <c r="M1030" s="475"/>
      <c r="N1030" s="475"/>
      <c r="O1030" s="475"/>
      <c r="P1030" s="475"/>
      <c r="Q1030" s="475"/>
      <c r="R1030" s="475"/>
      <c r="S1030" s="475"/>
      <c r="T1030" s="475"/>
      <c r="U1030" s="475"/>
      <c r="V1030" s="475"/>
      <c r="W1030" s="475"/>
      <c r="X1030" s="475"/>
      <c r="Y1030" s="475"/>
      <c r="Z1030" s="475"/>
      <c r="AA1030" s="475"/>
      <c r="AB1030" s="475"/>
      <c r="AC1030" s="475"/>
      <c r="AD1030" s="475"/>
      <c r="AE1030" s="475"/>
      <c r="AF1030" s="475"/>
    </row>
    <row r="1031" spans="2:32">
      <c r="B1031" s="471"/>
      <c r="C1031" s="475"/>
      <c r="D1031" s="475"/>
      <c r="E1031" s="475"/>
      <c r="F1031" s="474"/>
      <c r="G1031" s="475"/>
      <c r="H1031" s="474"/>
      <c r="I1031" s="474"/>
      <c r="J1031" s="475"/>
      <c r="K1031" s="475"/>
      <c r="L1031" s="475"/>
      <c r="M1031" s="475"/>
      <c r="N1031" s="475"/>
      <c r="O1031" s="475"/>
      <c r="P1031" s="475"/>
      <c r="Q1031" s="475"/>
      <c r="R1031" s="475"/>
      <c r="S1031" s="475"/>
      <c r="T1031" s="475"/>
      <c r="U1031" s="475"/>
      <c r="V1031" s="475"/>
      <c r="W1031" s="475"/>
      <c r="X1031" s="475"/>
      <c r="Y1031" s="475"/>
      <c r="Z1031" s="475"/>
      <c r="AA1031" s="475"/>
      <c r="AB1031" s="475"/>
      <c r="AC1031" s="475"/>
      <c r="AD1031" s="475"/>
      <c r="AE1031" s="475"/>
      <c r="AF1031" s="475"/>
    </row>
    <row r="1032" spans="2:32">
      <c r="B1032" s="471"/>
      <c r="C1032" s="475"/>
      <c r="D1032" s="475"/>
      <c r="E1032" s="475"/>
      <c r="F1032" s="474"/>
      <c r="G1032" s="475"/>
      <c r="H1032" s="474"/>
      <c r="I1032" s="474"/>
      <c r="J1032" s="475"/>
      <c r="K1032" s="475"/>
      <c r="L1032" s="475"/>
      <c r="M1032" s="475"/>
      <c r="N1032" s="475"/>
      <c r="O1032" s="475"/>
      <c r="P1032" s="475"/>
      <c r="Q1032" s="475"/>
      <c r="R1032" s="475"/>
      <c r="S1032" s="475"/>
      <c r="T1032" s="475"/>
      <c r="U1032" s="475"/>
      <c r="V1032" s="475"/>
      <c r="W1032" s="475"/>
      <c r="X1032" s="475"/>
      <c r="Y1032" s="475"/>
      <c r="Z1032" s="475"/>
      <c r="AA1032" s="475"/>
      <c r="AB1032" s="475"/>
      <c r="AC1032" s="475"/>
      <c r="AD1032" s="475"/>
      <c r="AE1032" s="475"/>
      <c r="AF1032" s="475"/>
    </row>
    <row r="1033" spans="2:32">
      <c r="B1033" s="471"/>
      <c r="C1033" s="475"/>
      <c r="D1033" s="475"/>
      <c r="E1033" s="475"/>
      <c r="F1033" s="474"/>
      <c r="G1033" s="475"/>
      <c r="H1033" s="474"/>
      <c r="I1033" s="474"/>
      <c r="J1033" s="475"/>
      <c r="K1033" s="475"/>
      <c r="L1033" s="475"/>
      <c r="M1033" s="475"/>
      <c r="N1033" s="475"/>
      <c r="O1033" s="475"/>
      <c r="P1033" s="475"/>
      <c r="Q1033" s="475"/>
      <c r="R1033" s="475"/>
      <c r="S1033" s="475"/>
      <c r="T1033" s="475"/>
      <c r="U1033" s="475"/>
      <c r="V1033" s="475"/>
      <c r="W1033" s="475"/>
      <c r="X1033" s="475"/>
      <c r="Y1033" s="475"/>
      <c r="Z1033" s="475"/>
      <c r="AA1033" s="475"/>
      <c r="AB1033" s="475"/>
      <c r="AC1033" s="475"/>
      <c r="AD1033" s="475"/>
      <c r="AE1033" s="475"/>
      <c r="AF1033" s="475"/>
    </row>
    <row r="1034" spans="2:32">
      <c r="B1034" s="471"/>
      <c r="C1034" s="475"/>
      <c r="D1034" s="475"/>
      <c r="E1034" s="475"/>
      <c r="F1034" s="474"/>
      <c r="G1034" s="475"/>
      <c r="H1034" s="474"/>
      <c r="I1034" s="474"/>
      <c r="J1034" s="475"/>
      <c r="K1034" s="475"/>
      <c r="L1034" s="475"/>
      <c r="M1034" s="475"/>
      <c r="N1034" s="475"/>
      <c r="O1034" s="475"/>
      <c r="P1034" s="475"/>
      <c r="Q1034" s="475"/>
      <c r="R1034" s="475"/>
      <c r="S1034" s="475"/>
      <c r="T1034" s="475"/>
      <c r="U1034" s="475"/>
      <c r="V1034" s="475"/>
      <c r="W1034" s="475"/>
      <c r="X1034" s="475"/>
      <c r="Y1034" s="475"/>
      <c r="Z1034" s="475"/>
      <c r="AA1034" s="475"/>
      <c r="AB1034" s="475"/>
      <c r="AC1034" s="475"/>
      <c r="AD1034" s="475"/>
      <c r="AE1034" s="475"/>
      <c r="AF1034" s="475"/>
    </row>
    <row r="1035" spans="2:32">
      <c r="B1035" s="471"/>
      <c r="C1035" s="475"/>
      <c r="D1035" s="475"/>
      <c r="E1035" s="475"/>
      <c r="F1035" s="474"/>
      <c r="G1035" s="475"/>
      <c r="H1035" s="474"/>
      <c r="I1035" s="474"/>
      <c r="J1035" s="475"/>
      <c r="K1035" s="475"/>
      <c r="L1035" s="475"/>
      <c r="M1035" s="475"/>
      <c r="N1035" s="475"/>
      <c r="O1035" s="475"/>
      <c r="P1035" s="475"/>
      <c r="Q1035" s="475"/>
      <c r="R1035" s="475"/>
      <c r="S1035" s="475"/>
      <c r="T1035" s="475"/>
      <c r="U1035" s="475"/>
      <c r="V1035" s="475"/>
      <c r="W1035" s="475"/>
      <c r="X1035" s="475"/>
      <c r="Y1035" s="475"/>
      <c r="Z1035" s="475"/>
      <c r="AA1035" s="475"/>
      <c r="AB1035" s="475"/>
      <c r="AC1035" s="475"/>
      <c r="AD1035" s="475"/>
      <c r="AE1035" s="475"/>
      <c r="AF1035" s="475"/>
    </row>
    <row r="1036" spans="2:32">
      <c r="B1036" s="471"/>
      <c r="C1036" s="475"/>
      <c r="D1036" s="475"/>
      <c r="E1036" s="475"/>
      <c r="F1036" s="474"/>
      <c r="G1036" s="475"/>
      <c r="H1036" s="474"/>
      <c r="I1036" s="474"/>
      <c r="J1036" s="475"/>
      <c r="K1036" s="475"/>
      <c r="L1036" s="475"/>
      <c r="M1036" s="475"/>
      <c r="N1036" s="475"/>
      <c r="O1036" s="475"/>
      <c r="P1036" s="475"/>
      <c r="Q1036" s="475"/>
      <c r="R1036" s="475"/>
      <c r="S1036" s="475"/>
      <c r="T1036" s="475"/>
      <c r="U1036" s="475"/>
      <c r="V1036" s="475"/>
      <c r="W1036" s="475"/>
      <c r="X1036" s="475"/>
      <c r="Y1036" s="475"/>
      <c r="Z1036" s="475"/>
      <c r="AA1036" s="475"/>
      <c r="AB1036" s="475"/>
      <c r="AC1036" s="475"/>
      <c r="AD1036" s="475"/>
      <c r="AE1036" s="475"/>
      <c r="AF1036" s="475"/>
    </row>
    <row r="1037" spans="2:32">
      <c r="B1037" s="471"/>
      <c r="C1037" s="475"/>
      <c r="D1037" s="475"/>
      <c r="E1037" s="475"/>
      <c r="F1037" s="474"/>
      <c r="G1037" s="475"/>
      <c r="H1037" s="474"/>
      <c r="I1037" s="474"/>
      <c r="J1037" s="475"/>
      <c r="K1037" s="475"/>
      <c r="L1037" s="475"/>
      <c r="M1037" s="475"/>
      <c r="N1037" s="475"/>
      <c r="O1037" s="475"/>
      <c r="P1037" s="475"/>
      <c r="Q1037" s="475"/>
      <c r="R1037" s="475"/>
      <c r="S1037" s="475"/>
      <c r="T1037" s="475"/>
      <c r="U1037" s="475"/>
      <c r="V1037" s="475"/>
      <c r="W1037" s="475"/>
      <c r="X1037" s="475"/>
      <c r="Y1037" s="475"/>
      <c r="Z1037" s="475"/>
      <c r="AA1037" s="475"/>
      <c r="AB1037" s="475"/>
      <c r="AC1037" s="475"/>
      <c r="AD1037" s="475"/>
      <c r="AE1037" s="475"/>
      <c r="AF1037" s="475"/>
    </row>
    <row r="1038" spans="2:32">
      <c r="B1038" s="471"/>
      <c r="C1038" s="475"/>
      <c r="D1038" s="475"/>
      <c r="E1038" s="475"/>
      <c r="F1038" s="474"/>
      <c r="G1038" s="475"/>
      <c r="H1038" s="474"/>
      <c r="I1038" s="474"/>
      <c r="J1038" s="475"/>
      <c r="K1038" s="475"/>
      <c r="L1038" s="475"/>
      <c r="M1038" s="475"/>
      <c r="N1038" s="475"/>
      <c r="O1038" s="475"/>
      <c r="P1038" s="475"/>
      <c r="Q1038" s="475"/>
      <c r="R1038" s="475"/>
      <c r="S1038" s="475"/>
      <c r="T1038" s="475"/>
      <c r="U1038" s="475"/>
      <c r="V1038" s="475"/>
      <c r="W1038" s="475"/>
      <c r="X1038" s="475"/>
      <c r="Y1038" s="475"/>
      <c r="Z1038" s="475"/>
      <c r="AA1038" s="475"/>
      <c r="AB1038" s="475"/>
      <c r="AC1038" s="475"/>
      <c r="AD1038" s="475"/>
      <c r="AE1038" s="475"/>
      <c r="AF1038" s="475"/>
    </row>
    <row r="1039" spans="2:32">
      <c r="B1039" s="471"/>
      <c r="C1039" s="475"/>
      <c r="D1039" s="475"/>
      <c r="E1039" s="475"/>
      <c r="F1039" s="474"/>
      <c r="G1039" s="475"/>
      <c r="H1039" s="474"/>
      <c r="I1039" s="474"/>
      <c r="J1039" s="475"/>
      <c r="K1039" s="475"/>
      <c r="L1039" s="475"/>
      <c r="M1039" s="475"/>
      <c r="N1039" s="475"/>
      <c r="O1039" s="475"/>
      <c r="P1039" s="475"/>
      <c r="Q1039" s="475"/>
      <c r="R1039" s="475"/>
      <c r="S1039" s="475"/>
      <c r="T1039" s="475"/>
      <c r="U1039" s="475"/>
      <c r="V1039" s="475"/>
      <c r="W1039" s="475"/>
      <c r="X1039" s="475"/>
      <c r="Y1039" s="475"/>
      <c r="Z1039" s="475"/>
      <c r="AA1039" s="475"/>
      <c r="AB1039" s="475"/>
      <c r="AC1039" s="475"/>
      <c r="AD1039" s="475"/>
      <c r="AE1039" s="475"/>
      <c r="AF1039" s="475"/>
    </row>
    <row r="1040" spans="2:32">
      <c r="B1040" s="471"/>
      <c r="C1040" s="475"/>
      <c r="D1040" s="475"/>
      <c r="E1040" s="475"/>
      <c r="F1040" s="474"/>
      <c r="G1040" s="475"/>
      <c r="H1040" s="474"/>
      <c r="I1040" s="474"/>
      <c r="J1040" s="475"/>
      <c r="K1040" s="475"/>
      <c r="L1040" s="475"/>
      <c r="M1040" s="475"/>
      <c r="N1040" s="475"/>
      <c r="O1040" s="475"/>
      <c r="P1040" s="475"/>
      <c r="Q1040" s="475"/>
      <c r="R1040" s="475"/>
      <c r="S1040" s="475"/>
      <c r="T1040" s="475"/>
      <c r="U1040" s="475"/>
      <c r="V1040" s="475"/>
      <c r="W1040" s="475"/>
      <c r="X1040" s="475"/>
      <c r="Y1040" s="475"/>
      <c r="Z1040" s="475"/>
      <c r="AA1040" s="475"/>
      <c r="AB1040" s="475"/>
      <c r="AC1040" s="475"/>
      <c r="AD1040" s="475"/>
      <c r="AE1040" s="475"/>
      <c r="AF1040" s="475"/>
    </row>
    <row r="1041" spans="2:32">
      <c r="B1041" s="471"/>
      <c r="C1041" s="475"/>
      <c r="D1041" s="475"/>
      <c r="E1041" s="475"/>
      <c r="F1041" s="474"/>
      <c r="G1041" s="475"/>
      <c r="H1041" s="474"/>
      <c r="I1041" s="474"/>
      <c r="J1041" s="475"/>
      <c r="K1041" s="475"/>
      <c r="L1041" s="475"/>
      <c r="M1041" s="475"/>
      <c r="N1041" s="475"/>
      <c r="O1041" s="475"/>
      <c r="P1041" s="475"/>
      <c r="Q1041" s="475"/>
      <c r="R1041" s="475"/>
      <c r="S1041" s="475"/>
      <c r="T1041" s="475"/>
      <c r="U1041" s="475"/>
      <c r="V1041" s="475"/>
      <c r="W1041" s="475"/>
      <c r="X1041" s="475"/>
      <c r="Y1041" s="475"/>
      <c r="Z1041" s="475"/>
      <c r="AA1041" s="475"/>
      <c r="AB1041" s="475"/>
      <c r="AC1041" s="475"/>
      <c r="AD1041" s="475"/>
      <c r="AE1041" s="475"/>
      <c r="AF1041" s="475"/>
    </row>
    <row r="1042" spans="2:32">
      <c r="B1042" s="471"/>
      <c r="C1042" s="475"/>
      <c r="D1042" s="475"/>
      <c r="E1042" s="475"/>
      <c r="F1042" s="474"/>
      <c r="G1042" s="475"/>
      <c r="H1042" s="474"/>
      <c r="I1042" s="474"/>
      <c r="J1042" s="475"/>
      <c r="K1042" s="475"/>
      <c r="L1042" s="475"/>
      <c r="M1042" s="475"/>
      <c r="N1042" s="475"/>
      <c r="O1042" s="475"/>
      <c r="P1042" s="475"/>
      <c r="Q1042" s="475"/>
      <c r="R1042" s="475"/>
      <c r="S1042" s="475"/>
      <c r="T1042" s="475"/>
      <c r="U1042" s="475"/>
      <c r="V1042" s="475"/>
      <c r="W1042" s="475"/>
      <c r="X1042" s="475"/>
      <c r="Y1042" s="475"/>
      <c r="Z1042" s="475"/>
      <c r="AA1042" s="475"/>
      <c r="AB1042" s="475"/>
      <c r="AC1042" s="475"/>
      <c r="AD1042" s="475"/>
      <c r="AE1042" s="475"/>
      <c r="AF1042" s="475"/>
    </row>
    <row r="1043" spans="2:32">
      <c r="B1043" s="471"/>
      <c r="C1043" s="475"/>
      <c r="D1043" s="475"/>
      <c r="E1043" s="475"/>
      <c r="F1043" s="474"/>
      <c r="G1043" s="475"/>
      <c r="H1043" s="474"/>
      <c r="I1043" s="474"/>
      <c r="J1043" s="475"/>
      <c r="K1043" s="475"/>
      <c r="L1043" s="475"/>
      <c r="M1043" s="475"/>
      <c r="N1043" s="475"/>
      <c r="O1043" s="475"/>
      <c r="P1043" s="475"/>
      <c r="Q1043" s="475"/>
      <c r="R1043" s="475"/>
      <c r="S1043" s="475"/>
      <c r="T1043" s="475"/>
      <c r="U1043" s="475"/>
      <c r="V1043" s="475"/>
      <c r="W1043" s="475"/>
      <c r="X1043" s="475"/>
      <c r="Y1043" s="475"/>
      <c r="Z1043" s="475"/>
      <c r="AA1043" s="475"/>
      <c r="AB1043" s="475"/>
      <c r="AC1043" s="475"/>
      <c r="AD1043" s="475"/>
      <c r="AE1043" s="475"/>
      <c r="AF1043" s="475"/>
    </row>
    <row r="1044" spans="2:32">
      <c r="B1044" s="471"/>
      <c r="C1044" s="475"/>
      <c r="D1044" s="475"/>
      <c r="E1044" s="475"/>
      <c r="F1044" s="474"/>
      <c r="G1044" s="475"/>
      <c r="H1044" s="474"/>
      <c r="I1044" s="474"/>
      <c r="J1044" s="475"/>
      <c r="K1044" s="475"/>
      <c r="L1044" s="475"/>
      <c r="M1044" s="475"/>
      <c r="N1044" s="475"/>
      <c r="O1044" s="475"/>
      <c r="P1044" s="475"/>
      <c r="Q1044" s="475"/>
      <c r="R1044" s="475"/>
      <c r="S1044" s="475"/>
      <c r="T1044" s="475"/>
      <c r="U1044" s="475"/>
      <c r="V1044" s="475"/>
      <c r="W1044" s="475"/>
      <c r="X1044" s="475"/>
      <c r="Y1044" s="475"/>
      <c r="Z1044" s="475"/>
      <c r="AA1044" s="475"/>
      <c r="AB1044" s="475"/>
      <c r="AC1044" s="475"/>
      <c r="AD1044" s="475"/>
      <c r="AE1044" s="475"/>
      <c r="AF1044" s="475"/>
    </row>
    <row r="1045" spans="2:32">
      <c r="B1045" s="471"/>
      <c r="C1045" s="475"/>
      <c r="D1045" s="475"/>
      <c r="E1045" s="475"/>
      <c r="F1045" s="474"/>
      <c r="G1045" s="475"/>
      <c r="H1045" s="474"/>
      <c r="I1045" s="474"/>
      <c r="J1045" s="475"/>
      <c r="K1045" s="475"/>
      <c r="L1045" s="475"/>
      <c r="M1045" s="475"/>
      <c r="N1045" s="475"/>
      <c r="O1045" s="475"/>
      <c r="P1045" s="475"/>
      <c r="Q1045" s="475"/>
      <c r="R1045" s="475"/>
      <c r="S1045" s="475"/>
      <c r="T1045" s="475"/>
      <c r="U1045" s="475"/>
      <c r="V1045" s="475"/>
      <c r="W1045" s="475"/>
      <c r="X1045" s="475"/>
      <c r="Y1045" s="475"/>
      <c r="Z1045" s="475"/>
      <c r="AA1045" s="475"/>
      <c r="AB1045" s="475"/>
      <c r="AC1045" s="475"/>
      <c r="AD1045" s="475"/>
      <c r="AE1045" s="475"/>
      <c r="AF1045" s="475"/>
    </row>
    <row r="1046" spans="2:32">
      <c r="B1046" s="471"/>
      <c r="C1046" s="475"/>
      <c r="D1046" s="475"/>
      <c r="E1046" s="475"/>
      <c r="F1046" s="474"/>
      <c r="G1046" s="475"/>
      <c r="H1046" s="474"/>
      <c r="I1046" s="474"/>
      <c r="J1046" s="475"/>
      <c r="K1046" s="475"/>
      <c r="L1046" s="475"/>
      <c r="M1046" s="475"/>
      <c r="N1046" s="475"/>
      <c r="O1046" s="475"/>
      <c r="P1046" s="475"/>
      <c r="Q1046" s="475"/>
      <c r="R1046" s="475"/>
      <c r="S1046" s="475"/>
      <c r="T1046" s="475"/>
      <c r="U1046" s="475"/>
      <c r="V1046" s="475"/>
      <c r="W1046" s="475"/>
      <c r="X1046" s="475"/>
      <c r="Y1046" s="475"/>
      <c r="Z1046" s="475"/>
      <c r="AA1046" s="475"/>
      <c r="AB1046" s="475"/>
      <c r="AC1046" s="475"/>
      <c r="AD1046" s="475"/>
      <c r="AE1046" s="475"/>
      <c r="AF1046" s="475"/>
    </row>
    <row r="1047" spans="2:32">
      <c r="B1047" s="471"/>
      <c r="C1047" s="475"/>
      <c r="D1047" s="475"/>
      <c r="E1047" s="475"/>
      <c r="F1047" s="474"/>
      <c r="G1047" s="475"/>
      <c r="H1047" s="474"/>
      <c r="I1047" s="474"/>
      <c r="J1047" s="475"/>
      <c r="K1047" s="475"/>
      <c r="L1047" s="475"/>
      <c r="M1047" s="475"/>
      <c r="N1047" s="475"/>
      <c r="O1047" s="475"/>
      <c r="P1047" s="475"/>
      <c r="Q1047" s="475"/>
      <c r="R1047" s="475"/>
      <c r="S1047" s="475"/>
      <c r="T1047" s="475"/>
      <c r="U1047" s="475"/>
      <c r="V1047" s="475"/>
      <c r="W1047" s="475"/>
      <c r="X1047" s="475"/>
      <c r="Y1047" s="475"/>
      <c r="Z1047" s="475"/>
      <c r="AA1047" s="475"/>
      <c r="AB1047" s="475"/>
      <c r="AC1047" s="475"/>
      <c r="AD1047" s="475"/>
      <c r="AE1047" s="475"/>
      <c r="AF1047" s="475"/>
    </row>
    <row r="1048" spans="2:32">
      <c r="B1048" s="471"/>
      <c r="C1048" s="475"/>
      <c r="D1048" s="475"/>
      <c r="E1048" s="475"/>
      <c r="F1048" s="474"/>
      <c r="G1048" s="475"/>
      <c r="H1048" s="474"/>
      <c r="I1048" s="474"/>
      <c r="J1048" s="475"/>
      <c r="K1048" s="475"/>
      <c r="L1048" s="475"/>
      <c r="M1048" s="475"/>
      <c r="N1048" s="475"/>
      <c r="O1048" s="475"/>
      <c r="P1048" s="475"/>
      <c r="Q1048" s="475"/>
      <c r="R1048" s="475"/>
      <c r="S1048" s="475"/>
      <c r="T1048" s="475"/>
      <c r="U1048" s="475"/>
      <c r="V1048" s="475"/>
      <c r="W1048" s="475"/>
      <c r="X1048" s="475"/>
      <c r="Y1048" s="475"/>
      <c r="Z1048" s="475"/>
      <c r="AA1048" s="475"/>
      <c r="AB1048" s="475"/>
      <c r="AC1048" s="475"/>
      <c r="AD1048" s="475"/>
      <c r="AE1048" s="475"/>
      <c r="AF1048" s="475"/>
    </row>
    <row r="1049" spans="2:32">
      <c r="B1049" s="471"/>
      <c r="C1049" s="475"/>
      <c r="D1049" s="475"/>
      <c r="E1049" s="475"/>
      <c r="F1049" s="474"/>
      <c r="G1049" s="475"/>
      <c r="H1049" s="474"/>
      <c r="I1049" s="474"/>
      <c r="J1049" s="475"/>
      <c r="K1049" s="475"/>
      <c r="L1049" s="475"/>
      <c r="M1049" s="475"/>
      <c r="N1049" s="475"/>
      <c r="O1049" s="475"/>
      <c r="P1049" s="475"/>
      <c r="Q1049" s="475"/>
      <c r="R1049" s="475"/>
      <c r="S1049" s="475"/>
      <c r="T1049" s="475"/>
      <c r="U1049" s="475"/>
      <c r="V1049" s="475"/>
      <c r="W1049" s="475"/>
      <c r="X1049" s="475"/>
      <c r="Y1049" s="475"/>
      <c r="Z1049" s="475"/>
      <c r="AA1049" s="475"/>
      <c r="AB1049" s="475"/>
      <c r="AC1049" s="475"/>
      <c r="AD1049" s="475"/>
      <c r="AE1049" s="475"/>
      <c r="AF1049" s="475"/>
    </row>
    <row r="1050" spans="2:32">
      <c r="B1050" s="471"/>
      <c r="C1050" s="475"/>
      <c r="D1050" s="475"/>
      <c r="E1050" s="475"/>
      <c r="F1050" s="474"/>
      <c r="G1050" s="475"/>
      <c r="H1050" s="474"/>
      <c r="I1050" s="474"/>
      <c r="J1050" s="475"/>
      <c r="K1050" s="475"/>
      <c r="L1050" s="475"/>
      <c r="M1050" s="475"/>
      <c r="N1050" s="475"/>
      <c r="O1050" s="475"/>
      <c r="P1050" s="475"/>
      <c r="Q1050" s="475"/>
      <c r="R1050" s="475"/>
      <c r="S1050" s="475"/>
      <c r="T1050" s="475"/>
      <c r="U1050" s="475"/>
      <c r="V1050" s="475"/>
      <c r="W1050" s="475"/>
      <c r="X1050" s="475"/>
      <c r="Y1050" s="475"/>
      <c r="Z1050" s="475"/>
      <c r="AA1050" s="475"/>
      <c r="AB1050" s="475"/>
      <c r="AC1050" s="475"/>
      <c r="AD1050" s="475"/>
      <c r="AE1050" s="475"/>
      <c r="AF1050" s="475"/>
    </row>
    <row r="1051" spans="2:32">
      <c r="B1051" s="471"/>
      <c r="C1051" s="475"/>
      <c r="D1051" s="475"/>
      <c r="E1051" s="475"/>
      <c r="F1051" s="474"/>
      <c r="G1051" s="475"/>
      <c r="H1051" s="474"/>
      <c r="I1051" s="474"/>
      <c r="J1051" s="475"/>
      <c r="K1051" s="475"/>
      <c r="L1051" s="475"/>
      <c r="M1051" s="475"/>
      <c r="N1051" s="475"/>
      <c r="O1051" s="475"/>
      <c r="P1051" s="475"/>
      <c r="Q1051" s="475"/>
      <c r="R1051" s="475"/>
      <c r="S1051" s="475"/>
      <c r="T1051" s="475"/>
      <c r="U1051" s="475"/>
      <c r="V1051" s="475"/>
      <c r="W1051" s="475"/>
      <c r="X1051" s="475"/>
      <c r="Y1051" s="475"/>
      <c r="Z1051" s="475"/>
      <c r="AA1051" s="475"/>
      <c r="AB1051" s="475"/>
      <c r="AC1051" s="475"/>
      <c r="AD1051" s="475"/>
      <c r="AE1051" s="475"/>
      <c r="AF1051" s="475"/>
    </row>
    <row r="1052" spans="2:32">
      <c r="B1052" s="471"/>
      <c r="C1052" s="475"/>
      <c r="D1052" s="475"/>
      <c r="E1052" s="475"/>
      <c r="F1052" s="474"/>
      <c r="G1052" s="475"/>
      <c r="H1052" s="474"/>
      <c r="I1052" s="474"/>
      <c r="J1052" s="475"/>
      <c r="K1052" s="475"/>
      <c r="L1052" s="475"/>
      <c r="M1052" s="475"/>
      <c r="N1052" s="475"/>
      <c r="O1052" s="475"/>
      <c r="P1052" s="475"/>
      <c r="Q1052" s="475"/>
      <c r="R1052" s="475"/>
      <c r="S1052" s="475"/>
      <c r="T1052" s="475"/>
      <c r="U1052" s="475"/>
      <c r="V1052" s="475"/>
      <c r="W1052" s="475"/>
      <c r="X1052" s="475"/>
      <c r="Y1052" s="475"/>
      <c r="Z1052" s="475"/>
      <c r="AA1052" s="475"/>
      <c r="AB1052" s="475"/>
      <c r="AC1052" s="475"/>
      <c r="AD1052" s="475"/>
      <c r="AE1052" s="475"/>
      <c r="AF1052" s="475"/>
    </row>
    <row r="1053" spans="2:32">
      <c r="B1053" s="471"/>
      <c r="C1053" s="475"/>
      <c r="D1053" s="475"/>
      <c r="E1053" s="475"/>
      <c r="F1053" s="474"/>
      <c r="G1053" s="475"/>
      <c r="H1053" s="474"/>
      <c r="I1053" s="474"/>
      <c r="J1053" s="475"/>
      <c r="K1053" s="475"/>
      <c r="L1053" s="475"/>
      <c r="M1053" s="475"/>
      <c r="N1053" s="475"/>
      <c r="O1053" s="475"/>
      <c r="P1053" s="475"/>
      <c r="Q1053" s="475"/>
      <c r="R1053" s="475"/>
      <c r="S1053" s="475"/>
      <c r="T1053" s="475"/>
      <c r="U1053" s="475"/>
      <c r="V1053" s="475"/>
      <c r="W1053" s="475"/>
      <c r="X1053" s="475"/>
      <c r="Y1053" s="475"/>
      <c r="Z1053" s="475"/>
      <c r="AA1053" s="475"/>
      <c r="AB1053" s="475"/>
      <c r="AC1053" s="475"/>
      <c r="AD1053" s="475"/>
      <c r="AE1053" s="475"/>
      <c r="AF1053" s="475"/>
    </row>
    <row r="1054" spans="2:32">
      <c r="B1054" s="471"/>
      <c r="C1054" s="475"/>
      <c r="D1054" s="475"/>
      <c r="E1054" s="475"/>
      <c r="F1054" s="474"/>
      <c r="G1054" s="475"/>
      <c r="H1054" s="474"/>
      <c r="I1054" s="474"/>
      <c r="J1054" s="475"/>
      <c r="K1054" s="475"/>
      <c r="L1054" s="475"/>
      <c r="M1054" s="475"/>
      <c r="N1054" s="475"/>
      <c r="O1054" s="475"/>
      <c r="P1054" s="475"/>
      <c r="Q1054" s="475"/>
      <c r="R1054" s="475"/>
      <c r="S1054" s="475"/>
      <c r="T1054" s="475"/>
      <c r="U1054" s="475"/>
      <c r="V1054" s="475"/>
      <c r="W1054" s="475"/>
      <c r="X1054" s="475"/>
      <c r="Y1054" s="475"/>
      <c r="Z1054" s="475"/>
      <c r="AA1054" s="475"/>
      <c r="AB1054" s="475"/>
      <c r="AC1054" s="475"/>
      <c r="AD1054" s="475"/>
      <c r="AE1054" s="475"/>
      <c r="AF1054" s="475"/>
    </row>
    <row r="1055" spans="2:32">
      <c r="B1055" s="471"/>
      <c r="C1055" s="475"/>
      <c r="D1055" s="475"/>
      <c r="E1055" s="475"/>
      <c r="F1055" s="474"/>
      <c r="G1055" s="475"/>
      <c r="H1055" s="474"/>
      <c r="I1055" s="474"/>
      <c r="J1055" s="475"/>
      <c r="K1055" s="475"/>
      <c r="L1055" s="475"/>
      <c r="M1055" s="475"/>
      <c r="N1055" s="475"/>
      <c r="O1055" s="475"/>
      <c r="P1055" s="475"/>
      <c r="Q1055" s="475"/>
      <c r="R1055" s="475"/>
      <c r="S1055" s="475"/>
      <c r="T1055" s="475"/>
      <c r="U1055" s="475"/>
      <c r="V1055" s="475"/>
      <c r="W1055" s="475"/>
      <c r="X1055" s="475"/>
      <c r="Y1055" s="475"/>
      <c r="Z1055" s="475"/>
      <c r="AA1055" s="475"/>
      <c r="AB1055" s="475"/>
      <c r="AC1055" s="475"/>
      <c r="AD1055" s="475"/>
      <c r="AE1055" s="475"/>
      <c r="AF1055" s="475"/>
    </row>
    <row r="1056" spans="2:32">
      <c r="B1056" s="471"/>
      <c r="C1056" s="475"/>
      <c r="D1056" s="475"/>
      <c r="E1056" s="475"/>
      <c r="F1056" s="474"/>
      <c r="G1056" s="475"/>
      <c r="H1056" s="474"/>
      <c r="I1056" s="474"/>
      <c r="J1056" s="475"/>
      <c r="K1056" s="475"/>
      <c r="L1056" s="475"/>
      <c r="M1056" s="475"/>
      <c r="N1056" s="475"/>
      <c r="O1056" s="475"/>
      <c r="P1056" s="475"/>
      <c r="Q1056" s="475"/>
      <c r="R1056" s="475"/>
      <c r="S1056" s="475"/>
      <c r="T1056" s="475"/>
      <c r="U1056" s="475"/>
      <c r="V1056" s="475"/>
      <c r="W1056" s="475"/>
      <c r="X1056" s="475"/>
      <c r="Y1056" s="475"/>
      <c r="Z1056" s="475"/>
      <c r="AA1056" s="475"/>
      <c r="AB1056" s="475"/>
      <c r="AC1056" s="475"/>
      <c r="AD1056" s="475"/>
      <c r="AE1056" s="475"/>
      <c r="AF1056" s="475"/>
    </row>
    <row r="1057" spans="2:32">
      <c r="B1057" s="471"/>
      <c r="C1057" s="475"/>
      <c r="D1057" s="475"/>
      <c r="E1057" s="475"/>
      <c r="F1057" s="474"/>
      <c r="G1057" s="475"/>
      <c r="H1057" s="474"/>
      <c r="I1057" s="474"/>
      <c r="J1057" s="475"/>
      <c r="K1057" s="475"/>
      <c r="L1057" s="475"/>
      <c r="M1057" s="475"/>
      <c r="N1057" s="475"/>
      <c r="O1057" s="475"/>
      <c r="P1057" s="475"/>
      <c r="Q1057" s="475"/>
      <c r="R1057" s="475"/>
      <c r="S1057" s="475"/>
      <c r="T1057" s="475"/>
      <c r="U1057" s="475"/>
      <c r="V1057" s="475"/>
      <c r="W1057" s="475"/>
      <c r="X1057" s="475"/>
      <c r="Y1057" s="475"/>
      <c r="Z1057" s="475"/>
      <c r="AA1057" s="475"/>
      <c r="AB1057" s="475"/>
      <c r="AC1057" s="475"/>
      <c r="AD1057" s="475"/>
      <c r="AE1057" s="475"/>
      <c r="AF1057" s="475"/>
    </row>
    <row r="1058" spans="2:32">
      <c r="B1058" s="471"/>
      <c r="C1058" s="475"/>
      <c r="D1058" s="475"/>
      <c r="E1058" s="475"/>
      <c r="F1058" s="474"/>
      <c r="G1058" s="475"/>
      <c r="H1058" s="474"/>
      <c r="I1058" s="474"/>
      <c r="J1058" s="475"/>
      <c r="K1058" s="475"/>
      <c r="L1058" s="475"/>
      <c r="M1058" s="475"/>
      <c r="N1058" s="475"/>
      <c r="O1058" s="475"/>
      <c r="P1058" s="475"/>
      <c r="Q1058" s="475"/>
      <c r="R1058" s="475"/>
      <c r="S1058" s="475"/>
      <c r="T1058" s="475"/>
      <c r="U1058" s="475"/>
      <c r="V1058" s="475"/>
      <c r="W1058" s="475"/>
      <c r="X1058" s="475"/>
      <c r="Y1058" s="475"/>
      <c r="Z1058" s="475"/>
      <c r="AA1058" s="475"/>
      <c r="AB1058" s="475"/>
      <c r="AC1058" s="475"/>
      <c r="AD1058" s="475"/>
      <c r="AE1058" s="475"/>
      <c r="AF1058" s="475"/>
    </row>
    <row r="1059" spans="2:32">
      <c r="B1059" s="471"/>
      <c r="C1059" s="475"/>
      <c r="D1059" s="475"/>
      <c r="E1059" s="475"/>
      <c r="F1059" s="474"/>
      <c r="G1059" s="475"/>
      <c r="H1059" s="474"/>
      <c r="I1059" s="474"/>
      <c r="J1059" s="475"/>
      <c r="K1059" s="475"/>
      <c r="L1059" s="475"/>
      <c r="M1059" s="475"/>
      <c r="N1059" s="475"/>
      <c r="O1059" s="475"/>
      <c r="P1059" s="475"/>
      <c r="Q1059" s="475"/>
      <c r="R1059" s="475"/>
      <c r="S1059" s="475"/>
      <c r="T1059" s="475"/>
      <c r="U1059" s="475"/>
      <c r="V1059" s="475"/>
      <c r="W1059" s="475"/>
      <c r="X1059" s="475"/>
      <c r="Y1059" s="475"/>
      <c r="Z1059" s="475"/>
      <c r="AA1059" s="475"/>
      <c r="AB1059" s="475"/>
      <c r="AC1059" s="475"/>
      <c r="AD1059" s="475"/>
      <c r="AE1059" s="475"/>
      <c r="AF1059" s="475"/>
    </row>
    <row r="1060" spans="2:32">
      <c r="B1060" s="471"/>
      <c r="C1060" s="475"/>
      <c r="D1060" s="475"/>
      <c r="E1060" s="475"/>
      <c r="F1060" s="474"/>
      <c r="G1060" s="475"/>
      <c r="H1060" s="474"/>
      <c r="I1060" s="474"/>
      <c r="J1060" s="475"/>
      <c r="K1060" s="475"/>
      <c r="L1060" s="475"/>
      <c r="M1060" s="475"/>
      <c r="N1060" s="475"/>
      <c r="O1060" s="475"/>
      <c r="P1060" s="475"/>
      <c r="Q1060" s="475"/>
      <c r="R1060" s="475"/>
      <c r="S1060" s="475"/>
      <c r="T1060" s="475"/>
      <c r="U1060" s="475"/>
      <c r="V1060" s="475"/>
      <c r="W1060" s="475"/>
      <c r="X1060" s="475"/>
      <c r="Y1060" s="475"/>
      <c r="Z1060" s="475"/>
      <c r="AA1060" s="475"/>
      <c r="AB1060" s="475"/>
      <c r="AC1060" s="475"/>
      <c r="AD1060" s="475"/>
      <c r="AE1060" s="475"/>
      <c r="AF1060" s="475"/>
    </row>
    <row r="1061" spans="2:32">
      <c r="B1061" s="471"/>
      <c r="C1061" s="475"/>
      <c r="D1061" s="475"/>
      <c r="E1061" s="475"/>
      <c r="F1061" s="474"/>
      <c r="G1061" s="475"/>
      <c r="H1061" s="474"/>
      <c r="I1061" s="474"/>
      <c r="J1061" s="475"/>
      <c r="K1061" s="475"/>
      <c r="L1061" s="475"/>
      <c r="M1061" s="475"/>
      <c r="N1061" s="475"/>
      <c r="O1061" s="475"/>
      <c r="P1061" s="475"/>
      <c r="Q1061" s="475"/>
      <c r="R1061" s="475"/>
      <c r="S1061" s="475"/>
      <c r="T1061" s="475"/>
      <c r="U1061" s="475"/>
      <c r="V1061" s="475"/>
      <c r="W1061" s="475"/>
      <c r="X1061" s="475"/>
      <c r="Y1061" s="475"/>
      <c r="Z1061" s="475"/>
      <c r="AA1061" s="475"/>
      <c r="AB1061" s="475"/>
      <c r="AC1061" s="475"/>
      <c r="AD1061" s="475"/>
      <c r="AE1061" s="475"/>
      <c r="AF1061" s="475"/>
    </row>
    <row r="1062" spans="2:32">
      <c r="B1062" s="471"/>
      <c r="C1062" s="475"/>
      <c r="D1062" s="475"/>
      <c r="E1062" s="475"/>
      <c r="F1062" s="474"/>
      <c r="G1062" s="475"/>
      <c r="H1062" s="474"/>
      <c r="I1062" s="474"/>
      <c r="J1062" s="475"/>
      <c r="K1062" s="475"/>
      <c r="L1062" s="475"/>
      <c r="M1062" s="475"/>
      <c r="N1062" s="475"/>
      <c r="O1062" s="475"/>
      <c r="P1062" s="475"/>
      <c r="Q1062" s="475"/>
      <c r="R1062" s="475"/>
      <c r="S1062" s="475"/>
      <c r="T1062" s="475"/>
      <c r="U1062" s="475"/>
      <c r="V1062" s="475"/>
      <c r="W1062" s="475"/>
      <c r="X1062" s="475"/>
      <c r="Y1062" s="475"/>
      <c r="Z1062" s="475"/>
      <c r="AA1062" s="475"/>
      <c r="AB1062" s="475"/>
      <c r="AC1062" s="475"/>
      <c r="AD1062" s="475"/>
      <c r="AE1062" s="475"/>
      <c r="AF1062" s="475"/>
    </row>
    <row r="1063" spans="2:32">
      <c r="B1063" s="471"/>
      <c r="C1063" s="475"/>
      <c r="D1063" s="475"/>
      <c r="E1063" s="475"/>
      <c r="F1063" s="474"/>
      <c r="G1063" s="475"/>
      <c r="H1063" s="474"/>
      <c r="I1063" s="474"/>
      <c r="J1063" s="475"/>
      <c r="K1063" s="475"/>
      <c r="L1063" s="475"/>
      <c r="M1063" s="475"/>
      <c r="N1063" s="475"/>
      <c r="O1063" s="475"/>
      <c r="P1063" s="475"/>
      <c r="Q1063" s="475"/>
      <c r="R1063" s="475"/>
      <c r="S1063" s="475"/>
      <c r="T1063" s="475"/>
      <c r="U1063" s="475"/>
      <c r="V1063" s="475"/>
      <c r="W1063" s="475"/>
      <c r="X1063" s="475"/>
      <c r="Y1063" s="475"/>
      <c r="Z1063" s="475"/>
      <c r="AA1063" s="475"/>
      <c r="AB1063" s="475"/>
      <c r="AC1063" s="475"/>
      <c r="AD1063" s="475"/>
      <c r="AE1063" s="475"/>
      <c r="AF1063" s="475"/>
    </row>
    <row r="1064" spans="2:32">
      <c r="B1064" s="471"/>
      <c r="C1064" s="475"/>
      <c r="D1064" s="475"/>
      <c r="E1064" s="475"/>
      <c r="F1064" s="474"/>
      <c r="G1064" s="475"/>
      <c r="H1064" s="474"/>
      <c r="I1064" s="474"/>
      <c r="J1064" s="475"/>
      <c r="K1064" s="475"/>
      <c r="L1064" s="475"/>
      <c r="M1064" s="475"/>
      <c r="N1064" s="475"/>
      <c r="O1064" s="475"/>
      <c r="P1064" s="475"/>
      <c r="Q1064" s="475"/>
      <c r="R1064" s="475"/>
      <c r="S1064" s="475"/>
      <c r="T1064" s="475"/>
      <c r="U1064" s="475"/>
      <c r="V1064" s="475"/>
      <c r="W1064" s="475"/>
      <c r="X1064" s="475"/>
      <c r="Y1064" s="475"/>
      <c r="Z1064" s="475"/>
      <c r="AA1064" s="475"/>
      <c r="AB1064" s="475"/>
      <c r="AC1064" s="475"/>
      <c r="AD1064" s="475"/>
      <c r="AE1064" s="475"/>
      <c r="AF1064" s="475"/>
    </row>
    <row r="1065" spans="2:32">
      <c r="B1065" s="471"/>
      <c r="C1065" s="475"/>
      <c r="D1065" s="475"/>
      <c r="E1065" s="475"/>
      <c r="F1065" s="474"/>
      <c r="G1065" s="475"/>
      <c r="H1065" s="474"/>
      <c r="I1065" s="474"/>
      <c r="J1065" s="475"/>
      <c r="K1065" s="475"/>
      <c r="L1065" s="475"/>
      <c r="M1065" s="475"/>
      <c r="N1065" s="475"/>
      <c r="O1065" s="475"/>
      <c r="P1065" s="475"/>
      <c r="Q1065" s="475"/>
      <c r="R1065" s="475"/>
      <c r="S1065" s="475"/>
      <c r="T1065" s="475"/>
      <c r="U1065" s="475"/>
      <c r="V1065" s="475"/>
      <c r="W1065" s="475"/>
      <c r="X1065" s="475"/>
      <c r="Y1065" s="475"/>
      <c r="Z1065" s="475"/>
      <c r="AA1065" s="475"/>
      <c r="AB1065" s="475"/>
      <c r="AC1065" s="475"/>
      <c r="AD1065" s="475"/>
      <c r="AE1065" s="475"/>
      <c r="AF1065" s="475"/>
    </row>
    <row r="1066" spans="2:32">
      <c r="B1066" s="471"/>
      <c r="C1066" s="475"/>
      <c r="D1066" s="475"/>
      <c r="E1066" s="475"/>
      <c r="F1066" s="474"/>
      <c r="G1066" s="475"/>
      <c r="H1066" s="474"/>
      <c r="I1066" s="474"/>
      <c r="J1066" s="475"/>
      <c r="K1066" s="475"/>
      <c r="L1066" s="475"/>
      <c r="M1066" s="475"/>
      <c r="N1066" s="475"/>
      <c r="O1066" s="475"/>
      <c r="P1066" s="475"/>
      <c r="Q1066" s="475"/>
      <c r="R1066" s="475"/>
      <c r="S1066" s="475"/>
      <c r="T1066" s="475"/>
      <c r="U1066" s="475"/>
      <c r="V1066" s="475"/>
      <c r="W1066" s="475"/>
      <c r="X1066" s="475"/>
      <c r="Y1066" s="475"/>
      <c r="Z1066" s="475"/>
      <c r="AA1066" s="475"/>
      <c r="AB1066" s="475"/>
      <c r="AC1066" s="475"/>
      <c r="AD1066" s="475"/>
      <c r="AE1066" s="475"/>
      <c r="AF1066" s="475"/>
    </row>
    <row r="1067" spans="2:32">
      <c r="B1067" s="471"/>
      <c r="C1067" s="475"/>
      <c r="D1067" s="475"/>
      <c r="E1067" s="475"/>
      <c r="F1067" s="474"/>
      <c r="G1067" s="475"/>
      <c r="H1067" s="474"/>
      <c r="I1067" s="474"/>
      <c r="J1067" s="475"/>
      <c r="K1067" s="475"/>
      <c r="L1067" s="475"/>
      <c r="M1067" s="475"/>
      <c r="N1067" s="475"/>
      <c r="O1067" s="475"/>
      <c r="P1067" s="475"/>
      <c r="Q1067" s="475"/>
      <c r="R1067" s="475"/>
      <c r="S1067" s="475"/>
      <c r="T1067" s="475"/>
      <c r="U1067" s="475"/>
      <c r="V1067" s="475"/>
      <c r="W1067" s="475"/>
      <c r="X1067" s="475"/>
      <c r="Y1067" s="475"/>
      <c r="Z1067" s="475"/>
      <c r="AA1067" s="475"/>
      <c r="AB1067" s="475"/>
      <c r="AC1067" s="475"/>
      <c r="AD1067" s="475"/>
      <c r="AE1067" s="475"/>
      <c r="AF1067" s="475"/>
    </row>
    <row r="1068" spans="2:32">
      <c r="B1068" s="471"/>
      <c r="C1068" s="475"/>
      <c r="D1068" s="475"/>
      <c r="E1068" s="475"/>
      <c r="F1068" s="474"/>
      <c r="G1068" s="475"/>
      <c r="H1068" s="474"/>
      <c r="I1068" s="474"/>
      <c r="J1068" s="475"/>
      <c r="K1068" s="475"/>
      <c r="L1068" s="475"/>
      <c r="M1068" s="475"/>
      <c r="N1068" s="475"/>
      <c r="O1068" s="475"/>
      <c r="P1068" s="475"/>
      <c r="Q1068" s="475"/>
      <c r="R1068" s="475"/>
      <c r="S1068" s="475"/>
      <c r="T1068" s="475"/>
      <c r="U1068" s="475"/>
      <c r="V1068" s="475"/>
      <c r="W1068" s="475"/>
      <c r="X1068" s="475"/>
      <c r="Y1068" s="475"/>
      <c r="Z1068" s="475"/>
      <c r="AA1068" s="475"/>
      <c r="AB1068" s="475"/>
      <c r="AC1068" s="475"/>
      <c r="AD1068" s="475"/>
      <c r="AE1068" s="475"/>
      <c r="AF1068" s="475"/>
    </row>
    <row r="1069" spans="2:32">
      <c r="B1069" s="471"/>
      <c r="C1069" s="475"/>
      <c r="D1069" s="475"/>
      <c r="E1069" s="475"/>
      <c r="F1069" s="474"/>
      <c r="G1069" s="475"/>
      <c r="H1069" s="474"/>
      <c r="I1069" s="474"/>
      <c r="J1069" s="475"/>
      <c r="K1069" s="475"/>
      <c r="L1069" s="475"/>
      <c r="M1069" s="475"/>
      <c r="N1069" s="475"/>
      <c r="O1069" s="475"/>
      <c r="P1069" s="475"/>
      <c r="Q1069" s="475"/>
      <c r="R1069" s="475"/>
      <c r="S1069" s="475"/>
      <c r="T1069" s="475"/>
      <c r="U1069" s="475"/>
      <c r="V1069" s="475"/>
      <c r="W1069" s="475"/>
      <c r="X1069" s="475"/>
      <c r="Y1069" s="475"/>
      <c r="Z1069" s="475"/>
      <c r="AA1069" s="475"/>
      <c r="AB1069" s="475"/>
      <c r="AC1069" s="475"/>
      <c r="AD1069" s="475"/>
      <c r="AE1069" s="475"/>
      <c r="AF1069" s="475"/>
    </row>
    <row r="1070" spans="2:32">
      <c r="B1070" s="471"/>
      <c r="C1070" s="475"/>
      <c r="D1070" s="475"/>
      <c r="E1070" s="475"/>
      <c r="F1070" s="474"/>
      <c r="G1070" s="475"/>
      <c r="H1070" s="474"/>
      <c r="I1070" s="474"/>
      <c r="J1070" s="475"/>
      <c r="K1070" s="475"/>
      <c r="L1070" s="475"/>
      <c r="M1070" s="475"/>
      <c r="N1070" s="475"/>
      <c r="O1070" s="475"/>
      <c r="P1070" s="475"/>
      <c r="Q1070" s="475"/>
      <c r="R1070" s="475"/>
      <c r="S1070" s="475"/>
      <c r="T1070" s="475"/>
      <c r="U1070" s="475"/>
      <c r="V1070" s="475"/>
      <c r="W1070" s="475"/>
      <c r="X1070" s="475"/>
      <c r="Y1070" s="475"/>
      <c r="Z1070" s="475"/>
      <c r="AA1070" s="475"/>
      <c r="AB1070" s="475"/>
      <c r="AC1070" s="475"/>
      <c r="AD1070" s="475"/>
      <c r="AE1070" s="475"/>
      <c r="AF1070" s="475"/>
    </row>
    <row r="1071" spans="2:32">
      <c r="B1071" s="471"/>
      <c r="C1071" s="475"/>
      <c r="D1071" s="475"/>
      <c r="E1071" s="475"/>
      <c r="F1071" s="474"/>
      <c r="G1071" s="475"/>
      <c r="H1071" s="474"/>
      <c r="I1071" s="474"/>
      <c r="J1071" s="475"/>
      <c r="K1071" s="475"/>
      <c r="L1071" s="475"/>
      <c r="M1071" s="475"/>
      <c r="N1071" s="475"/>
      <c r="O1071" s="475"/>
      <c r="P1071" s="475"/>
      <c r="Q1071" s="475"/>
      <c r="R1071" s="475"/>
      <c r="S1071" s="475"/>
      <c r="T1071" s="475"/>
      <c r="U1071" s="475"/>
      <c r="V1071" s="475"/>
      <c r="W1071" s="475"/>
      <c r="X1071" s="475"/>
      <c r="Y1071" s="475"/>
      <c r="Z1071" s="475"/>
      <c r="AA1071" s="475"/>
      <c r="AB1071" s="475"/>
      <c r="AC1071" s="475"/>
      <c r="AD1071" s="475"/>
      <c r="AE1071" s="475"/>
      <c r="AF1071" s="475"/>
    </row>
    <row r="1072" spans="2:32">
      <c r="B1072" s="471"/>
      <c r="C1072" s="475"/>
      <c r="D1072" s="475"/>
      <c r="E1072" s="475"/>
      <c r="F1072" s="474"/>
      <c r="G1072" s="475"/>
      <c r="H1072" s="474"/>
      <c r="I1072" s="474"/>
      <c r="J1072" s="475"/>
      <c r="K1072" s="475"/>
      <c r="L1072" s="475"/>
      <c r="M1072" s="475"/>
      <c r="N1072" s="475"/>
      <c r="O1072" s="475"/>
      <c r="P1072" s="475"/>
      <c r="Q1072" s="475"/>
      <c r="R1072" s="475"/>
      <c r="S1072" s="475"/>
      <c r="T1072" s="475"/>
      <c r="U1072" s="475"/>
      <c r="V1072" s="475"/>
      <c r="W1072" s="475"/>
      <c r="X1072" s="475"/>
      <c r="Y1072" s="475"/>
      <c r="Z1072" s="475"/>
      <c r="AA1072" s="475"/>
      <c r="AB1072" s="475"/>
      <c r="AC1072" s="475"/>
      <c r="AD1072" s="475"/>
      <c r="AE1072" s="475"/>
      <c r="AF1072" s="475"/>
    </row>
    <row r="1073" spans="2:32">
      <c r="B1073" s="471"/>
      <c r="C1073" s="475"/>
      <c r="D1073" s="475"/>
      <c r="E1073" s="475"/>
      <c r="F1073" s="474"/>
      <c r="G1073" s="475"/>
      <c r="H1073" s="474"/>
      <c r="I1073" s="474"/>
      <c r="J1073" s="475"/>
      <c r="K1073" s="475"/>
      <c r="L1073" s="475"/>
      <c r="M1073" s="475"/>
      <c r="N1073" s="475"/>
      <c r="O1073" s="475"/>
      <c r="P1073" s="475"/>
      <c r="Q1073" s="475"/>
      <c r="R1073" s="475"/>
      <c r="S1073" s="475"/>
      <c r="T1073" s="475"/>
      <c r="U1073" s="475"/>
      <c r="V1073" s="475"/>
      <c r="W1073" s="475"/>
      <c r="X1073" s="475"/>
      <c r="Y1073" s="475"/>
      <c r="Z1073" s="475"/>
      <c r="AA1073" s="475"/>
      <c r="AB1073" s="475"/>
      <c r="AC1073" s="475"/>
      <c r="AD1073" s="475"/>
      <c r="AE1073" s="475"/>
      <c r="AF1073" s="475"/>
    </row>
    <row r="1074" spans="2:32">
      <c r="B1074" s="471"/>
      <c r="C1074" s="475"/>
      <c r="D1074" s="475"/>
      <c r="E1074" s="475"/>
      <c r="F1074" s="474"/>
      <c r="G1074" s="475"/>
      <c r="H1074" s="474"/>
      <c r="I1074" s="474"/>
      <c r="J1074" s="475"/>
      <c r="K1074" s="475"/>
      <c r="L1074" s="475"/>
      <c r="M1074" s="475"/>
      <c r="N1074" s="475"/>
      <c r="O1074" s="475"/>
      <c r="P1074" s="475"/>
      <c r="Q1074" s="475"/>
      <c r="R1074" s="475"/>
      <c r="S1074" s="475"/>
      <c r="T1074" s="475"/>
      <c r="U1074" s="475"/>
      <c r="V1074" s="475"/>
      <c r="W1074" s="475"/>
      <c r="X1074" s="475"/>
      <c r="Y1074" s="475"/>
      <c r="Z1074" s="475"/>
      <c r="AA1074" s="475"/>
      <c r="AB1074" s="475"/>
      <c r="AC1074" s="475"/>
      <c r="AD1074" s="475"/>
      <c r="AE1074" s="475"/>
      <c r="AF1074" s="475"/>
    </row>
    <row r="1075" spans="2:32">
      <c r="B1075" s="471"/>
      <c r="C1075" s="475"/>
      <c r="D1075" s="475"/>
      <c r="E1075" s="475"/>
      <c r="F1075" s="474"/>
      <c r="G1075" s="475"/>
      <c r="H1075" s="474"/>
      <c r="I1075" s="474"/>
      <c r="J1075" s="475"/>
      <c r="K1075" s="475"/>
      <c r="L1075" s="475"/>
      <c r="M1075" s="475"/>
      <c r="N1075" s="475"/>
      <c r="O1075" s="475"/>
      <c r="P1075" s="475"/>
      <c r="Q1075" s="475"/>
      <c r="R1075" s="475"/>
      <c r="S1075" s="475"/>
      <c r="T1075" s="475"/>
      <c r="U1075" s="475"/>
      <c r="V1075" s="475"/>
      <c r="W1075" s="475"/>
      <c r="X1075" s="475"/>
      <c r="Y1075" s="475"/>
      <c r="Z1075" s="475"/>
      <c r="AA1075" s="475"/>
      <c r="AB1075" s="475"/>
      <c r="AC1075" s="475"/>
      <c r="AD1075" s="475"/>
      <c r="AE1075" s="475"/>
      <c r="AF1075" s="475"/>
    </row>
    <row r="1076" spans="2:32">
      <c r="B1076" s="471"/>
      <c r="C1076" s="475"/>
      <c r="D1076" s="475"/>
      <c r="E1076" s="475"/>
      <c r="F1076" s="474"/>
      <c r="G1076" s="475"/>
      <c r="H1076" s="474"/>
      <c r="I1076" s="474"/>
      <c r="J1076" s="475"/>
      <c r="K1076" s="475"/>
      <c r="L1076" s="475"/>
      <c r="M1076" s="475"/>
      <c r="N1076" s="475"/>
      <c r="O1076" s="475"/>
      <c r="P1076" s="475"/>
      <c r="Q1076" s="475"/>
      <c r="R1076" s="475"/>
      <c r="S1076" s="475"/>
      <c r="T1076" s="475"/>
      <c r="U1076" s="475"/>
      <c r="V1076" s="475"/>
      <c r="W1076" s="475"/>
      <c r="X1076" s="475"/>
      <c r="Y1076" s="475"/>
      <c r="Z1076" s="475"/>
      <c r="AA1076" s="475"/>
      <c r="AB1076" s="475"/>
      <c r="AC1076" s="475"/>
      <c r="AD1076" s="475"/>
      <c r="AE1076" s="475"/>
      <c r="AF1076" s="475"/>
    </row>
    <row r="1077" spans="2:32">
      <c r="B1077" s="471"/>
      <c r="C1077" s="475"/>
      <c r="D1077" s="475"/>
      <c r="E1077" s="475"/>
      <c r="F1077" s="474"/>
      <c r="G1077" s="475"/>
      <c r="H1077" s="474"/>
      <c r="I1077" s="474"/>
      <c r="J1077" s="475"/>
      <c r="K1077" s="475"/>
      <c r="L1077" s="475"/>
      <c r="M1077" s="475"/>
      <c r="N1077" s="475"/>
      <c r="O1077" s="475"/>
      <c r="P1077" s="475"/>
      <c r="Q1077" s="475"/>
      <c r="R1077" s="475"/>
      <c r="S1077" s="475"/>
      <c r="T1077" s="475"/>
      <c r="U1077" s="475"/>
      <c r="V1077" s="475"/>
      <c r="W1077" s="475"/>
      <c r="X1077" s="475"/>
      <c r="Y1077" s="475"/>
      <c r="Z1077" s="475"/>
      <c r="AA1077" s="475"/>
      <c r="AB1077" s="475"/>
      <c r="AC1077" s="475"/>
      <c r="AD1077" s="475"/>
      <c r="AE1077" s="475"/>
      <c r="AF1077" s="475"/>
    </row>
    <row r="1078" spans="2:32">
      <c r="B1078" s="471"/>
      <c r="C1078" s="475"/>
      <c r="D1078" s="475"/>
      <c r="E1078" s="475"/>
      <c r="F1078" s="474"/>
      <c r="G1078" s="475"/>
      <c r="H1078" s="474"/>
      <c r="I1078" s="474"/>
      <c r="J1078" s="475"/>
      <c r="K1078" s="475"/>
      <c r="L1078" s="475"/>
      <c r="M1078" s="475"/>
      <c r="N1078" s="475"/>
      <c r="O1078" s="475"/>
      <c r="P1078" s="475"/>
      <c r="Q1078" s="475"/>
      <c r="R1078" s="475"/>
      <c r="S1078" s="475"/>
      <c r="T1078" s="475"/>
      <c r="U1078" s="475"/>
      <c r="V1078" s="475"/>
      <c r="W1078" s="475"/>
      <c r="X1078" s="475"/>
      <c r="Y1078" s="475"/>
      <c r="Z1078" s="475"/>
      <c r="AA1078" s="475"/>
      <c r="AB1078" s="475"/>
      <c r="AC1078" s="475"/>
      <c r="AD1078" s="475"/>
      <c r="AE1078" s="475"/>
      <c r="AF1078" s="475"/>
    </row>
    <row r="1079" spans="2:32">
      <c r="B1079" s="471"/>
      <c r="C1079" s="475"/>
      <c r="D1079" s="475"/>
      <c r="E1079" s="475"/>
      <c r="F1079" s="474"/>
      <c r="G1079" s="475"/>
      <c r="H1079" s="474"/>
      <c r="I1079" s="474"/>
      <c r="J1079" s="475"/>
      <c r="K1079" s="475"/>
      <c r="L1079" s="475"/>
      <c r="M1079" s="475"/>
      <c r="N1079" s="475"/>
      <c r="O1079" s="475"/>
      <c r="P1079" s="475"/>
      <c r="Q1079" s="475"/>
      <c r="R1079" s="475"/>
      <c r="S1079" s="475"/>
      <c r="T1079" s="475"/>
      <c r="U1079" s="475"/>
      <c r="V1079" s="475"/>
      <c r="W1079" s="475"/>
      <c r="X1079" s="475"/>
      <c r="Y1079" s="475"/>
      <c r="Z1079" s="475"/>
      <c r="AA1079" s="475"/>
      <c r="AB1079" s="475"/>
      <c r="AC1079" s="475"/>
      <c r="AD1079" s="475"/>
      <c r="AE1079" s="475"/>
      <c r="AF1079" s="475"/>
    </row>
    <row r="1080" spans="2:32">
      <c r="B1080" s="471"/>
      <c r="C1080" s="475"/>
      <c r="D1080" s="475"/>
      <c r="E1080" s="475"/>
      <c r="F1080" s="474"/>
      <c r="G1080" s="475"/>
      <c r="H1080" s="474"/>
      <c r="I1080" s="474"/>
      <c r="J1080" s="475"/>
      <c r="K1080" s="475"/>
      <c r="L1080" s="475"/>
      <c r="M1080" s="475"/>
      <c r="N1080" s="475"/>
      <c r="O1080" s="475"/>
      <c r="P1080" s="475"/>
      <c r="Q1080" s="475"/>
      <c r="R1080" s="475"/>
      <c r="S1080" s="475"/>
      <c r="T1080" s="475"/>
      <c r="U1080" s="475"/>
      <c r="V1080" s="475"/>
      <c r="W1080" s="475"/>
      <c r="X1080" s="475"/>
      <c r="Y1080" s="475"/>
      <c r="Z1080" s="475"/>
      <c r="AA1080" s="475"/>
      <c r="AB1080" s="475"/>
      <c r="AC1080" s="475"/>
      <c r="AD1080" s="475"/>
      <c r="AE1080" s="475"/>
      <c r="AF1080" s="475"/>
    </row>
    <row r="1081" spans="2:32">
      <c r="B1081" s="471"/>
      <c r="C1081" s="475"/>
      <c r="D1081" s="475"/>
      <c r="E1081" s="475"/>
      <c r="F1081" s="474"/>
      <c r="G1081" s="475"/>
      <c r="H1081" s="474"/>
      <c r="I1081" s="474"/>
      <c r="J1081" s="475"/>
      <c r="K1081" s="475"/>
      <c r="L1081" s="475"/>
      <c r="M1081" s="475"/>
      <c r="N1081" s="475"/>
      <c r="O1081" s="475"/>
      <c r="P1081" s="475"/>
      <c r="Q1081" s="475"/>
      <c r="R1081" s="475"/>
      <c r="S1081" s="475"/>
      <c r="T1081" s="475"/>
      <c r="U1081" s="475"/>
      <c r="V1081" s="475"/>
      <c r="W1081" s="475"/>
      <c r="X1081" s="475"/>
      <c r="Y1081" s="475"/>
      <c r="Z1081" s="475"/>
      <c r="AA1081" s="475"/>
      <c r="AB1081" s="475"/>
      <c r="AC1081" s="475"/>
      <c r="AD1081" s="475"/>
      <c r="AE1081" s="475"/>
      <c r="AF1081" s="475"/>
    </row>
    <row r="1082" spans="2:32">
      <c r="B1082" s="471"/>
      <c r="C1082" s="475"/>
      <c r="D1082" s="475"/>
      <c r="E1082" s="475"/>
      <c r="F1082" s="474"/>
      <c r="G1082" s="475"/>
      <c r="H1082" s="474"/>
      <c r="I1082" s="474"/>
      <c r="J1082" s="475"/>
      <c r="K1082" s="475"/>
      <c r="L1082" s="475"/>
      <c r="M1082" s="475"/>
      <c r="N1082" s="475"/>
      <c r="O1082" s="475"/>
      <c r="P1082" s="475"/>
      <c r="Q1082" s="475"/>
      <c r="R1082" s="475"/>
      <c r="S1082" s="475"/>
      <c r="T1082" s="475"/>
      <c r="U1082" s="475"/>
      <c r="V1082" s="475"/>
      <c r="W1082" s="475"/>
      <c r="X1082" s="475"/>
      <c r="Y1082" s="475"/>
      <c r="Z1082" s="475"/>
      <c r="AA1082" s="475"/>
      <c r="AB1082" s="475"/>
      <c r="AC1082" s="475"/>
      <c r="AD1082" s="475"/>
      <c r="AE1082" s="475"/>
      <c r="AF1082" s="475"/>
    </row>
    <row r="1083" spans="2:32">
      <c r="B1083" s="471"/>
      <c r="C1083" s="475"/>
      <c r="D1083" s="475"/>
      <c r="E1083" s="475"/>
      <c r="F1083" s="474"/>
      <c r="G1083" s="475"/>
      <c r="H1083" s="474"/>
      <c r="I1083" s="474"/>
      <c r="J1083" s="475"/>
      <c r="K1083" s="475"/>
      <c r="L1083" s="475"/>
      <c r="M1083" s="475"/>
      <c r="N1083" s="475"/>
      <c r="O1083" s="475"/>
      <c r="P1083" s="475"/>
      <c r="Q1083" s="475"/>
      <c r="R1083" s="475"/>
      <c r="S1083" s="475"/>
      <c r="T1083" s="475"/>
      <c r="U1083" s="475"/>
      <c r="V1083" s="475"/>
      <c r="W1083" s="475"/>
      <c r="X1083" s="475"/>
      <c r="Y1083" s="475"/>
      <c r="Z1083" s="475"/>
      <c r="AA1083" s="475"/>
      <c r="AB1083" s="475"/>
      <c r="AC1083" s="475"/>
      <c r="AD1083" s="475"/>
      <c r="AE1083" s="475"/>
      <c r="AF1083" s="475"/>
    </row>
    <row r="1084" spans="2:32">
      <c r="B1084" s="471"/>
      <c r="C1084" s="475"/>
      <c r="D1084" s="475"/>
      <c r="E1084" s="475"/>
      <c r="F1084" s="474"/>
      <c r="G1084" s="475"/>
      <c r="H1084" s="474"/>
      <c r="I1084" s="474"/>
      <c r="J1084" s="475"/>
      <c r="K1084" s="475"/>
      <c r="L1084" s="475"/>
      <c r="M1084" s="475"/>
      <c r="N1084" s="475"/>
      <c r="O1084" s="475"/>
      <c r="P1084" s="475"/>
      <c r="Q1084" s="475"/>
      <c r="R1084" s="475"/>
      <c r="S1084" s="475"/>
      <c r="T1084" s="475"/>
      <c r="U1084" s="475"/>
      <c r="V1084" s="475"/>
      <c r="W1084" s="475"/>
      <c r="X1084" s="475"/>
      <c r="Y1084" s="475"/>
      <c r="Z1084" s="475"/>
      <c r="AA1084" s="475"/>
      <c r="AB1084" s="475"/>
      <c r="AC1084" s="475"/>
      <c r="AD1084" s="475"/>
      <c r="AE1084" s="475"/>
      <c r="AF1084" s="475"/>
    </row>
    <row r="1085" spans="2:32">
      <c r="B1085" s="471"/>
      <c r="C1085" s="475"/>
      <c r="D1085" s="475"/>
      <c r="E1085" s="475"/>
      <c r="F1085" s="474"/>
      <c r="G1085" s="475"/>
      <c r="H1085" s="474"/>
      <c r="I1085" s="474"/>
      <c r="J1085" s="475"/>
      <c r="K1085" s="475"/>
      <c r="L1085" s="475"/>
      <c r="M1085" s="475"/>
      <c r="N1085" s="475"/>
      <c r="O1085" s="475"/>
      <c r="P1085" s="475"/>
      <c r="Q1085" s="475"/>
      <c r="R1085" s="475"/>
      <c r="S1085" s="475"/>
      <c r="T1085" s="475"/>
      <c r="U1085" s="475"/>
      <c r="V1085" s="475"/>
      <c r="W1085" s="475"/>
      <c r="X1085" s="475"/>
      <c r="Y1085" s="475"/>
      <c r="Z1085" s="475"/>
      <c r="AA1085" s="475"/>
      <c r="AB1085" s="475"/>
      <c r="AC1085" s="475"/>
      <c r="AD1085" s="475"/>
      <c r="AE1085" s="475"/>
      <c r="AF1085" s="475"/>
    </row>
    <row r="1086" spans="2:32">
      <c r="B1086" s="471"/>
      <c r="C1086" s="475"/>
      <c r="D1086" s="475"/>
      <c r="E1086" s="475"/>
      <c r="F1086" s="474"/>
      <c r="G1086" s="475"/>
      <c r="H1086" s="474"/>
      <c r="I1086" s="474"/>
      <c r="J1086" s="475"/>
      <c r="K1086" s="475"/>
      <c r="L1086" s="475"/>
      <c r="M1086" s="475"/>
      <c r="N1086" s="475"/>
      <c r="O1086" s="475"/>
      <c r="P1086" s="475"/>
      <c r="Q1086" s="475"/>
      <c r="R1086" s="475"/>
      <c r="S1086" s="475"/>
      <c r="T1086" s="475"/>
      <c r="U1086" s="475"/>
      <c r="V1086" s="475"/>
      <c r="W1086" s="475"/>
      <c r="X1086" s="475"/>
      <c r="Y1086" s="475"/>
      <c r="Z1086" s="475"/>
      <c r="AA1086" s="475"/>
      <c r="AB1086" s="475"/>
      <c r="AC1086" s="475"/>
      <c r="AD1086" s="475"/>
      <c r="AE1086" s="475"/>
      <c r="AF1086" s="475"/>
    </row>
    <row r="1087" spans="2:32">
      <c r="B1087" s="471"/>
      <c r="C1087" s="475"/>
      <c r="D1087" s="475"/>
      <c r="E1087" s="475"/>
      <c r="F1087" s="474"/>
      <c r="G1087" s="475"/>
      <c r="H1087" s="474"/>
      <c r="I1087" s="474"/>
      <c r="J1087" s="475"/>
      <c r="K1087" s="475"/>
      <c r="L1087" s="475"/>
      <c r="M1087" s="475"/>
      <c r="N1087" s="475"/>
      <c r="O1087" s="475"/>
      <c r="P1087" s="475"/>
      <c r="Q1087" s="475"/>
      <c r="R1087" s="475"/>
      <c r="S1087" s="475"/>
      <c r="T1087" s="475"/>
      <c r="U1087" s="475"/>
      <c r="V1087" s="475"/>
      <c r="W1087" s="475"/>
      <c r="X1087" s="475"/>
      <c r="Y1087" s="475"/>
      <c r="Z1087" s="475"/>
      <c r="AA1087" s="475"/>
      <c r="AB1087" s="475"/>
      <c r="AC1087" s="475"/>
      <c r="AD1087" s="475"/>
      <c r="AE1087" s="475"/>
      <c r="AF1087" s="475"/>
    </row>
    <row r="1088" spans="2:32">
      <c r="B1088" s="471"/>
      <c r="C1088" s="475"/>
      <c r="D1088" s="475"/>
      <c r="E1088" s="475"/>
      <c r="F1088" s="474"/>
      <c r="G1088" s="475"/>
      <c r="H1088" s="474"/>
      <c r="I1088" s="474"/>
      <c r="J1088" s="475"/>
      <c r="K1088" s="475"/>
      <c r="L1088" s="475"/>
      <c r="M1088" s="475"/>
      <c r="N1088" s="475"/>
      <c r="O1088" s="475"/>
      <c r="P1088" s="475"/>
      <c r="Q1088" s="475"/>
      <c r="R1088" s="475"/>
      <c r="S1088" s="475"/>
      <c r="T1088" s="475"/>
      <c r="U1088" s="475"/>
      <c r="V1088" s="475"/>
      <c r="W1088" s="475"/>
      <c r="X1088" s="475"/>
      <c r="Y1088" s="475"/>
      <c r="Z1088" s="475"/>
      <c r="AA1088" s="475"/>
      <c r="AB1088" s="475"/>
      <c r="AC1088" s="475"/>
      <c r="AD1088" s="475"/>
      <c r="AE1088" s="475"/>
      <c r="AF1088" s="475"/>
    </row>
    <row r="1089" spans="2:32">
      <c r="B1089" s="471"/>
      <c r="C1089" s="475"/>
      <c r="D1089" s="475"/>
      <c r="E1089" s="475"/>
      <c r="F1089" s="474"/>
      <c r="G1089" s="475"/>
      <c r="H1089" s="474"/>
      <c r="I1089" s="474"/>
      <c r="J1089" s="475"/>
      <c r="K1089" s="475"/>
      <c r="L1089" s="475"/>
      <c r="M1089" s="475"/>
      <c r="N1089" s="475"/>
      <c r="O1089" s="475"/>
      <c r="P1089" s="475"/>
      <c r="Q1089" s="475"/>
      <c r="R1089" s="475"/>
      <c r="S1089" s="475"/>
      <c r="T1089" s="475"/>
      <c r="U1089" s="475"/>
      <c r="V1089" s="475"/>
      <c r="W1089" s="475"/>
      <c r="X1089" s="475"/>
      <c r="Y1089" s="475"/>
      <c r="Z1089" s="475"/>
      <c r="AA1089" s="475"/>
      <c r="AB1089" s="475"/>
      <c r="AC1089" s="475"/>
      <c r="AD1089" s="475"/>
      <c r="AE1089" s="475"/>
      <c r="AF1089" s="475"/>
    </row>
    <row r="1090" spans="2:32">
      <c r="B1090" s="471"/>
      <c r="C1090" s="475"/>
      <c r="D1090" s="475"/>
      <c r="E1090" s="475"/>
      <c r="F1090" s="474"/>
      <c r="G1090" s="475"/>
      <c r="H1090" s="474"/>
      <c r="I1090" s="474"/>
      <c r="J1090" s="475"/>
      <c r="K1090" s="475"/>
      <c r="L1090" s="475"/>
      <c r="M1090" s="475"/>
      <c r="N1090" s="475"/>
      <c r="O1090" s="475"/>
      <c r="P1090" s="475"/>
      <c r="Q1090" s="475"/>
      <c r="R1090" s="475"/>
      <c r="S1090" s="475"/>
      <c r="T1090" s="475"/>
      <c r="U1090" s="475"/>
      <c r="V1090" s="475"/>
      <c r="W1090" s="475"/>
      <c r="X1090" s="475"/>
      <c r="Y1090" s="475"/>
      <c r="Z1090" s="475"/>
      <c r="AA1090" s="475"/>
      <c r="AB1090" s="475"/>
      <c r="AC1090" s="475"/>
      <c r="AD1090" s="475"/>
      <c r="AE1090" s="475"/>
      <c r="AF1090" s="475"/>
    </row>
    <row r="1091" spans="2:32">
      <c r="B1091" s="471"/>
      <c r="C1091" s="475"/>
      <c r="D1091" s="475"/>
      <c r="E1091" s="475"/>
      <c r="F1091" s="474"/>
      <c r="G1091" s="475"/>
      <c r="H1091" s="474"/>
      <c r="I1091" s="474"/>
      <c r="J1091" s="475"/>
      <c r="K1091" s="475"/>
      <c r="L1091" s="475"/>
      <c r="M1091" s="475"/>
      <c r="N1091" s="475"/>
      <c r="O1091" s="475"/>
      <c r="P1091" s="475"/>
      <c r="Q1091" s="475"/>
      <c r="R1091" s="475"/>
      <c r="S1091" s="475"/>
      <c r="T1091" s="475"/>
      <c r="U1091" s="475"/>
      <c r="V1091" s="475"/>
      <c r="W1091" s="475"/>
      <c r="X1091" s="475"/>
      <c r="Y1091" s="475"/>
      <c r="Z1091" s="475"/>
      <c r="AA1091" s="475"/>
      <c r="AB1091" s="475"/>
      <c r="AC1091" s="475"/>
      <c r="AD1091" s="475"/>
      <c r="AE1091" s="475"/>
      <c r="AF1091" s="475"/>
    </row>
    <row r="1092" spans="2:32">
      <c r="B1092" s="471"/>
      <c r="C1092" s="475"/>
      <c r="D1092" s="475"/>
      <c r="E1092" s="475"/>
      <c r="F1092" s="474"/>
      <c r="G1092" s="475"/>
      <c r="H1092" s="474"/>
      <c r="I1092" s="474"/>
      <c r="J1092" s="475"/>
      <c r="K1092" s="475"/>
      <c r="L1092" s="475"/>
      <c r="M1092" s="475"/>
      <c r="N1092" s="475"/>
      <c r="O1092" s="475"/>
      <c r="P1092" s="475"/>
      <c r="Q1092" s="475"/>
      <c r="R1092" s="475"/>
      <c r="S1092" s="475"/>
      <c r="T1092" s="475"/>
      <c r="U1092" s="475"/>
      <c r="V1092" s="475"/>
      <c r="W1092" s="475"/>
      <c r="X1092" s="475"/>
      <c r="Y1092" s="475"/>
      <c r="Z1092" s="475"/>
      <c r="AA1092" s="475"/>
      <c r="AB1092" s="475"/>
      <c r="AC1092" s="475"/>
      <c r="AD1092" s="475"/>
      <c r="AE1092" s="475"/>
      <c r="AF1092" s="475"/>
    </row>
    <row r="1093" spans="2:32">
      <c r="B1093" s="471"/>
      <c r="C1093" s="475"/>
      <c r="D1093" s="475"/>
      <c r="E1093" s="475"/>
      <c r="F1093" s="474"/>
      <c r="G1093" s="475"/>
      <c r="H1093" s="474"/>
      <c r="I1093" s="474"/>
      <c r="J1093" s="475"/>
      <c r="K1093" s="475"/>
      <c r="L1093" s="475"/>
      <c r="M1093" s="475"/>
      <c r="N1093" s="475"/>
      <c r="O1093" s="475"/>
      <c r="P1093" s="475"/>
      <c r="Q1093" s="475"/>
      <c r="R1093" s="475"/>
      <c r="S1093" s="475"/>
      <c r="T1093" s="475"/>
      <c r="U1093" s="475"/>
      <c r="V1093" s="475"/>
      <c r="W1093" s="475"/>
      <c r="X1093" s="475"/>
      <c r="Y1093" s="475"/>
      <c r="Z1093" s="475"/>
      <c r="AA1093" s="475"/>
      <c r="AB1093" s="475"/>
      <c r="AC1093" s="475"/>
      <c r="AD1093" s="475"/>
      <c r="AE1093" s="475"/>
      <c r="AF1093" s="475"/>
    </row>
    <row r="1094" spans="2:32">
      <c r="B1094" s="471"/>
      <c r="C1094" s="475"/>
      <c r="D1094" s="475"/>
      <c r="E1094" s="475"/>
      <c r="F1094" s="474"/>
      <c r="G1094" s="475"/>
      <c r="H1094" s="474"/>
      <c r="I1094" s="474"/>
      <c r="J1094" s="475"/>
      <c r="K1094" s="475"/>
      <c r="L1094" s="475"/>
      <c r="M1094" s="475"/>
      <c r="N1094" s="475"/>
      <c r="O1094" s="475"/>
      <c r="P1094" s="475"/>
      <c r="Q1094" s="475"/>
      <c r="R1094" s="475"/>
      <c r="S1094" s="475"/>
      <c r="T1094" s="475"/>
      <c r="U1094" s="475"/>
      <c r="V1094" s="475"/>
      <c r="W1094" s="475"/>
      <c r="X1094" s="475"/>
      <c r="Y1094" s="475"/>
      <c r="Z1094" s="475"/>
      <c r="AA1094" s="475"/>
      <c r="AB1094" s="475"/>
      <c r="AC1094" s="475"/>
      <c r="AD1094" s="475"/>
      <c r="AE1094" s="475"/>
      <c r="AF1094" s="475"/>
    </row>
    <row r="1095" spans="2:32">
      <c r="B1095" s="471"/>
      <c r="C1095" s="475"/>
      <c r="D1095" s="475"/>
      <c r="E1095" s="475"/>
      <c r="F1095" s="474"/>
      <c r="G1095" s="475"/>
      <c r="H1095" s="474"/>
      <c r="I1095" s="474"/>
      <c r="J1095" s="475"/>
      <c r="K1095" s="475"/>
      <c r="L1095" s="475"/>
      <c r="M1095" s="475"/>
      <c r="N1095" s="475"/>
      <c r="O1095" s="475"/>
      <c r="P1095" s="475"/>
      <c r="Q1095" s="475"/>
      <c r="R1095" s="475"/>
      <c r="S1095" s="475"/>
      <c r="T1095" s="475"/>
      <c r="U1095" s="475"/>
      <c r="V1095" s="475"/>
      <c r="W1095" s="475"/>
      <c r="X1095" s="475"/>
      <c r="Y1095" s="475"/>
      <c r="Z1095" s="475"/>
      <c r="AA1095" s="475"/>
      <c r="AB1095" s="475"/>
      <c r="AC1095" s="475"/>
      <c r="AD1095" s="475"/>
      <c r="AE1095" s="475"/>
      <c r="AF1095" s="475"/>
    </row>
    <row r="1096" spans="2:32">
      <c r="B1096" s="471"/>
      <c r="C1096" s="475"/>
      <c r="D1096" s="475"/>
      <c r="E1096" s="475"/>
      <c r="F1096" s="474"/>
      <c r="G1096" s="475"/>
      <c r="H1096" s="474"/>
      <c r="I1096" s="474"/>
      <c r="J1096" s="475"/>
      <c r="K1096" s="475"/>
      <c r="L1096" s="475"/>
      <c r="M1096" s="475"/>
      <c r="N1096" s="475"/>
      <c r="O1096" s="475"/>
      <c r="P1096" s="475"/>
      <c r="Q1096" s="475"/>
      <c r="R1096" s="475"/>
      <c r="S1096" s="475"/>
      <c r="T1096" s="475"/>
      <c r="U1096" s="475"/>
      <c r="V1096" s="475"/>
      <c r="W1096" s="475"/>
      <c r="X1096" s="475"/>
      <c r="Y1096" s="475"/>
      <c r="Z1096" s="475"/>
      <c r="AA1096" s="475"/>
      <c r="AB1096" s="475"/>
      <c r="AC1096" s="475"/>
      <c r="AD1096" s="475"/>
      <c r="AE1096" s="475"/>
      <c r="AF1096" s="475"/>
    </row>
    <row r="1097" spans="2:32">
      <c r="B1097" s="471"/>
      <c r="C1097" s="475"/>
      <c r="D1097" s="475"/>
      <c r="E1097" s="475"/>
      <c r="F1097" s="474"/>
      <c r="G1097" s="475"/>
      <c r="H1097" s="474"/>
      <c r="I1097" s="474"/>
      <c r="J1097" s="475"/>
      <c r="K1097" s="475"/>
      <c r="L1097" s="475"/>
      <c r="M1097" s="475"/>
      <c r="N1097" s="475"/>
      <c r="O1097" s="475"/>
      <c r="P1097" s="475"/>
      <c r="Q1097" s="475"/>
      <c r="R1097" s="475"/>
      <c r="S1097" s="475"/>
      <c r="T1097" s="475"/>
      <c r="U1097" s="475"/>
      <c r="V1097" s="475"/>
      <c r="W1097" s="475"/>
      <c r="X1097" s="475"/>
      <c r="Y1097" s="475"/>
      <c r="Z1097" s="475"/>
      <c r="AA1097" s="475"/>
      <c r="AB1097" s="475"/>
      <c r="AC1097" s="475"/>
      <c r="AD1097" s="475"/>
      <c r="AE1097" s="475"/>
      <c r="AF1097" s="475"/>
    </row>
    <row r="1098" spans="2:32">
      <c r="B1098" s="471"/>
      <c r="C1098" s="475"/>
      <c r="D1098" s="475"/>
      <c r="E1098" s="475"/>
      <c r="F1098" s="474"/>
      <c r="G1098" s="475"/>
      <c r="H1098" s="474"/>
      <c r="I1098" s="474"/>
      <c r="J1098" s="475"/>
      <c r="K1098" s="475"/>
      <c r="L1098" s="475"/>
      <c r="M1098" s="475"/>
      <c r="N1098" s="475"/>
      <c r="O1098" s="475"/>
      <c r="P1098" s="475"/>
      <c r="Q1098" s="475"/>
      <c r="R1098" s="475"/>
      <c r="S1098" s="475"/>
      <c r="T1098" s="475"/>
      <c r="U1098" s="475"/>
      <c r="V1098" s="475"/>
      <c r="W1098" s="475"/>
      <c r="X1098" s="475"/>
      <c r="Y1098" s="475"/>
      <c r="Z1098" s="475"/>
      <c r="AA1098" s="475"/>
      <c r="AB1098" s="475"/>
      <c r="AC1098" s="475"/>
      <c r="AD1098" s="475"/>
      <c r="AE1098" s="475"/>
      <c r="AF1098" s="475"/>
    </row>
    <row r="1099" spans="2:32">
      <c r="B1099" s="471"/>
      <c r="C1099" s="475"/>
      <c r="D1099" s="475"/>
      <c r="E1099" s="475"/>
      <c r="F1099" s="474"/>
      <c r="G1099" s="475"/>
      <c r="H1099" s="474"/>
      <c r="I1099" s="474"/>
      <c r="J1099" s="475"/>
      <c r="K1099" s="475"/>
      <c r="L1099" s="475"/>
      <c r="M1099" s="475"/>
      <c r="N1099" s="475"/>
      <c r="O1099" s="475"/>
      <c r="P1099" s="475"/>
      <c r="Q1099" s="475"/>
      <c r="R1099" s="475"/>
      <c r="S1099" s="475"/>
      <c r="T1099" s="475"/>
      <c r="U1099" s="475"/>
      <c r="V1099" s="475"/>
      <c r="W1099" s="475"/>
      <c r="X1099" s="475"/>
      <c r="Y1099" s="475"/>
      <c r="Z1099" s="475"/>
      <c r="AA1099" s="475"/>
      <c r="AB1099" s="475"/>
      <c r="AC1099" s="475"/>
      <c r="AD1099" s="475"/>
      <c r="AE1099" s="475"/>
      <c r="AF1099" s="475"/>
    </row>
    <row r="1100" spans="2:32">
      <c r="B1100" s="471"/>
      <c r="C1100" s="475"/>
      <c r="D1100" s="475"/>
      <c r="E1100" s="475"/>
      <c r="F1100" s="474"/>
      <c r="G1100" s="475"/>
      <c r="H1100" s="474"/>
      <c r="I1100" s="474"/>
      <c r="J1100" s="475"/>
      <c r="K1100" s="475"/>
      <c r="L1100" s="475"/>
      <c r="M1100" s="475"/>
      <c r="N1100" s="475"/>
      <c r="O1100" s="475"/>
      <c r="P1100" s="475"/>
      <c r="Q1100" s="475"/>
      <c r="R1100" s="475"/>
      <c r="S1100" s="475"/>
      <c r="T1100" s="475"/>
      <c r="U1100" s="475"/>
      <c r="V1100" s="475"/>
      <c r="W1100" s="475"/>
      <c r="X1100" s="475"/>
      <c r="Y1100" s="475"/>
      <c r="Z1100" s="475"/>
      <c r="AA1100" s="475"/>
      <c r="AB1100" s="475"/>
      <c r="AC1100" s="475"/>
      <c r="AD1100" s="475"/>
      <c r="AE1100" s="475"/>
      <c r="AF1100" s="475"/>
    </row>
    <row r="1101" spans="2:32">
      <c r="B1101" s="471"/>
      <c r="C1101" s="475"/>
      <c r="D1101" s="475"/>
      <c r="E1101" s="475"/>
      <c r="F1101" s="474"/>
      <c r="G1101" s="475"/>
      <c r="H1101" s="474"/>
      <c r="I1101" s="474"/>
      <c r="J1101" s="475"/>
      <c r="K1101" s="475"/>
      <c r="L1101" s="475"/>
      <c r="M1101" s="475"/>
      <c r="N1101" s="475"/>
      <c r="O1101" s="475"/>
      <c r="P1101" s="475"/>
      <c r="Q1101" s="475"/>
      <c r="R1101" s="475"/>
      <c r="S1101" s="475"/>
      <c r="T1101" s="475"/>
      <c r="U1101" s="475"/>
      <c r="V1101" s="475"/>
      <c r="W1101" s="475"/>
      <c r="X1101" s="475"/>
      <c r="Y1101" s="475"/>
      <c r="Z1101" s="475"/>
      <c r="AA1101" s="475"/>
      <c r="AB1101" s="475"/>
      <c r="AC1101" s="475"/>
      <c r="AD1101" s="475"/>
      <c r="AE1101" s="475"/>
      <c r="AF1101" s="475"/>
    </row>
    <row r="1102" spans="2:32">
      <c r="B1102" s="471"/>
      <c r="C1102" s="475"/>
      <c r="D1102" s="475"/>
      <c r="E1102" s="475"/>
      <c r="F1102" s="474"/>
      <c r="G1102" s="475"/>
      <c r="H1102" s="474"/>
      <c r="I1102" s="474"/>
      <c r="J1102" s="475"/>
      <c r="K1102" s="475"/>
      <c r="L1102" s="475"/>
      <c r="M1102" s="475"/>
      <c r="N1102" s="475"/>
      <c r="O1102" s="475"/>
      <c r="P1102" s="475"/>
      <c r="Q1102" s="475"/>
      <c r="R1102" s="475"/>
      <c r="S1102" s="475"/>
      <c r="T1102" s="475"/>
      <c r="U1102" s="475"/>
      <c r="V1102" s="475"/>
      <c r="W1102" s="475"/>
      <c r="X1102" s="475"/>
      <c r="Y1102" s="475"/>
      <c r="Z1102" s="475"/>
      <c r="AA1102" s="475"/>
      <c r="AB1102" s="475"/>
      <c r="AC1102" s="475"/>
      <c r="AD1102" s="475"/>
      <c r="AE1102" s="475"/>
      <c r="AF1102" s="475"/>
    </row>
    <row r="1103" spans="2:32">
      <c r="B1103" s="471"/>
      <c r="C1103" s="475"/>
      <c r="D1103" s="475"/>
      <c r="E1103" s="475"/>
      <c r="F1103" s="474"/>
      <c r="G1103" s="475"/>
      <c r="H1103" s="474"/>
      <c r="I1103" s="474"/>
      <c r="J1103" s="475"/>
      <c r="K1103" s="475"/>
      <c r="L1103" s="475"/>
      <c r="M1103" s="475"/>
      <c r="N1103" s="475"/>
      <c r="O1103" s="475"/>
      <c r="P1103" s="475"/>
      <c r="Q1103" s="475"/>
      <c r="R1103" s="475"/>
      <c r="S1103" s="475"/>
      <c r="T1103" s="475"/>
      <c r="U1103" s="475"/>
      <c r="V1103" s="475"/>
      <c r="W1103" s="475"/>
      <c r="X1103" s="475"/>
      <c r="Y1103" s="475"/>
      <c r="Z1103" s="475"/>
      <c r="AA1103" s="475"/>
      <c r="AB1103" s="475"/>
      <c r="AC1103" s="475"/>
      <c r="AD1103" s="475"/>
      <c r="AE1103" s="475"/>
      <c r="AF1103" s="475"/>
    </row>
    <row r="1104" spans="2:32">
      <c r="B1104" s="471"/>
      <c r="C1104" s="475"/>
      <c r="D1104" s="475"/>
      <c r="E1104" s="475"/>
      <c r="F1104" s="474"/>
      <c r="G1104" s="475"/>
      <c r="H1104" s="474"/>
      <c r="I1104" s="474"/>
      <c r="J1104" s="475"/>
      <c r="K1104" s="475"/>
      <c r="L1104" s="475"/>
      <c r="M1104" s="475"/>
      <c r="N1104" s="475"/>
      <c r="O1104" s="475"/>
      <c r="P1104" s="475"/>
      <c r="Q1104" s="475"/>
      <c r="R1104" s="475"/>
      <c r="S1104" s="475"/>
      <c r="T1104" s="475"/>
      <c r="U1104" s="475"/>
      <c r="V1104" s="475"/>
      <c r="W1104" s="475"/>
      <c r="X1104" s="475"/>
      <c r="Y1104" s="475"/>
      <c r="Z1104" s="475"/>
      <c r="AA1104" s="475"/>
      <c r="AB1104" s="475"/>
      <c r="AC1104" s="475"/>
      <c r="AD1104" s="475"/>
      <c r="AE1104" s="475"/>
      <c r="AF1104" s="475"/>
    </row>
    <row r="1105" spans="2:32">
      <c r="B1105" s="471"/>
      <c r="C1105" s="475"/>
      <c r="D1105" s="475"/>
      <c r="E1105" s="475"/>
      <c r="F1105" s="474"/>
      <c r="G1105" s="475"/>
      <c r="H1105" s="474"/>
      <c r="I1105" s="474"/>
      <c r="J1105" s="475"/>
      <c r="K1105" s="475"/>
      <c r="L1105" s="475"/>
      <c r="M1105" s="475"/>
      <c r="N1105" s="475"/>
      <c r="O1105" s="475"/>
      <c r="P1105" s="475"/>
      <c r="Q1105" s="475"/>
      <c r="R1105" s="475"/>
      <c r="S1105" s="475"/>
      <c r="T1105" s="475"/>
      <c r="U1105" s="475"/>
      <c r="V1105" s="475"/>
      <c r="W1105" s="475"/>
      <c r="X1105" s="475"/>
      <c r="Y1105" s="475"/>
      <c r="Z1105" s="475"/>
      <c r="AA1105" s="475"/>
      <c r="AB1105" s="475"/>
      <c r="AC1105" s="475"/>
      <c r="AD1105" s="475"/>
      <c r="AE1105" s="475"/>
      <c r="AF1105" s="475"/>
    </row>
    <row r="1106" spans="2:32">
      <c r="B1106" s="471"/>
      <c r="C1106" s="475"/>
      <c r="D1106" s="475"/>
      <c r="E1106" s="475"/>
      <c r="F1106" s="474"/>
      <c r="G1106" s="475"/>
      <c r="H1106" s="474"/>
      <c r="I1106" s="474"/>
      <c r="J1106" s="475"/>
      <c r="K1106" s="475"/>
      <c r="L1106" s="475"/>
      <c r="M1106" s="475"/>
      <c r="N1106" s="475"/>
      <c r="O1106" s="475"/>
      <c r="P1106" s="475"/>
      <c r="Q1106" s="475"/>
      <c r="R1106" s="475"/>
      <c r="S1106" s="475"/>
      <c r="T1106" s="475"/>
      <c r="U1106" s="475"/>
      <c r="V1106" s="475"/>
      <c r="W1106" s="475"/>
      <c r="X1106" s="475"/>
      <c r="Y1106" s="475"/>
      <c r="Z1106" s="475"/>
      <c r="AA1106" s="475"/>
      <c r="AB1106" s="475"/>
      <c r="AC1106" s="475"/>
      <c r="AD1106" s="475"/>
      <c r="AE1106" s="475"/>
      <c r="AF1106" s="475"/>
    </row>
    <row r="1107" spans="2:32">
      <c r="B1107" s="471"/>
      <c r="C1107" s="475"/>
      <c r="D1107" s="475"/>
      <c r="E1107" s="475"/>
      <c r="F1107" s="474"/>
      <c r="G1107" s="475"/>
      <c r="H1107" s="474"/>
      <c r="I1107" s="474"/>
      <c r="J1107" s="475"/>
      <c r="K1107" s="475"/>
      <c r="L1107" s="475"/>
      <c r="M1107" s="475"/>
      <c r="N1107" s="475"/>
      <c r="O1107" s="475"/>
      <c r="P1107" s="475"/>
      <c r="Q1107" s="475"/>
      <c r="R1107" s="475"/>
      <c r="S1107" s="475"/>
      <c r="T1107" s="475"/>
      <c r="U1107" s="475"/>
      <c r="V1107" s="475"/>
      <c r="W1107" s="475"/>
      <c r="X1107" s="475"/>
      <c r="Y1107" s="475"/>
      <c r="Z1107" s="475"/>
      <c r="AA1107" s="475"/>
      <c r="AB1107" s="475"/>
      <c r="AC1107" s="475"/>
      <c r="AD1107" s="475"/>
      <c r="AE1107" s="475"/>
      <c r="AF1107" s="475"/>
    </row>
    <row r="1108" spans="2:32">
      <c r="B1108" s="471"/>
      <c r="C1108" s="475"/>
      <c r="D1108" s="475"/>
      <c r="E1108" s="475"/>
      <c r="F1108" s="474"/>
      <c r="G1108" s="475"/>
      <c r="H1108" s="474"/>
      <c r="I1108" s="474"/>
      <c r="J1108" s="475"/>
      <c r="K1108" s="475"/>
      <c r="L1108" s="475"/>
      <c r="M1108" s="475"/>
      <c r="N1108" s="475"/>
      <c r="O1108" s="475"/>
      <c r="P1108" s="475"/>
      <c r="Q1108" s="475"/>
      <c r="R1108" s="475"/>
      <c r="S1108" s="475"/>
      <c r="T1108" s="475"/>
      <c r="U1108" s="475"/>
      <c r="V1108" s="475"/>
      <c r="W1108" s="475"/>
      <c r="X1108" s="475"/>
      <c r="Y1108" s="475"/>
      <c r="Z1108" s="475"/>
      <c r="AA1108" s="475"/>
      <c r="AB1108" s="475"/>
      <c r="AC1108" s="475"/>
      <c r="AD1108" s="475"/>
      <c r="AE1108" s="475"/>
      <c r="AF1108" s="475"/>
    </row>
    <row r="1109" spans="2:32">
      <c r="B1109" s="471"/>
      <c r="C1109" s="475"/>
      <c r="D1109" s="475"/>
      <c r="E1109" s="475"/>
      <c r="F1109" s="474"/>
      <c r="G1109" s="475"/>
      <c r="H1109" s="474"/>
      <c r="I1109" s="474"/>
      <c r="J1109" s="475"/>
      <c r="K1109" s="475"/>
      <c r="L1109" s="475"/>
      <c r="M1109" s="475"/>
      <c r="N1109" s="475"/>
      <c r="O1109" s="475"/>
      <c r="P1109" s="475"/>
      <c r="Q1109" s="475"/>
      <c r="R1109" s="475"/>
      <c r="S1109" s="475"/>
      <c r="T1109" s="475"/>
      <c r="U1109" s="475"/>
      <c r="V1109" s="475"/>
      <c r="W1109" s="475"/>
      <c r="X1109" s="475"/>
      <c r="Y1109" s="475"/>
      <c r="Z1109" s="475"/>
      <c r="AA1109" s="475"/>
      <c r="AB1109" s="475"/>
      <c r="AC1109" s="475"/>
      <c r="AD1109" s="475"/>
      <c r="AE1109" s="475"/>
      <c r="AF1109" s="475"/>
    </row>
    <row r="1110" spans="2:32">
      <c r="B1110" s="471"/>
      <c r="C1110" s="475"/>
      <c r="D1110" s="475"/>
      <c r="E1110" s="475"/>
      <c r="F1110" s="474"/>
      <c r="G1110" s="475"/>
      <c r="H1110" s="474"/>
      <c r="I1110" s="474"/>
      <c r="J1110" s="475"/>
      <c r="K1110" s="475"/>
      <c r="L1110" s="475"/>
      <c r="M1110" s="475"/>
      <c r="N1110" s="475"/>
      <c r="O1110" s="475"/>
      <c r="P1110" s="475"/>
      <c r="Q1110" s="475"/>
      <c r="R1110" s="475"/>
      <c r="S1110" s="475"/>
      <c r="T1110" s="475"/>
      <c r="U1110" s="475"/>
      <c r="V1110" s="475"/>
      <c r="W1110" s="475"/>
      <c r="X1110" s="475"/>
      <c r="Y1110" s="475"/>
      <c r="Z1110" s="475"/>
      <c r="AA1110" s="475"/>
      <c r="AB1110" s="475"/>
      <c r="AC1110" s="475"/>
      <c r="AD1110" s="475"/>
      <c r="AE1110" s="475"/>
      <c r="AF1110" s="475"/>
    </row>
    <row r="1111" spans="2:32">
      <c r="B1111" s="471"/>
      <c r="C1111" s="475"/>
      <c r="D1111" s="475"/>
      <c r="E1111" s="475"/>
      <c r="F1111" s="474"/>
      <c r="G1111" s="475"/>
      <c r="H1111" s="474"/>
      <c r="I1111" s="474"/>
      <c r="J1111" s="475"/>
      <c r="K1111" s="475"/>
      <c r="L1111" s="475"/>
      <c r="M1111" s="475"/>
      <c r="N1111" s="475"/>
      <c r="O1111" s="475"/>
      <c r="P1111" s="475"/>
      <c r="Q1111" s="475"/>
      <c r="R1111" s="475"/>
      <c r="S1111" s="475"/>
      <c r="T1111" s="475"/>
      <c r="U1111" s="475"/>
      <c r="V1111" s="475"/>
      <c r="W1111" s="475"/>
      <c r="X1111" s="475"/>
      <c r="Y1111" s="475"/>
      <c r="Z1111" s="475"/>
      <c r="AA1111" s="475"/>
      <c r="AB1111" s="475"/>
      <c r="AC1111" s="475"/>
      <c r="AD1111" s="475"/>
      <c r="AE1111" s="475"/>
      <c r="AF1111" s="475"/>
    </row>
    <row r="1112" spans="2:32">
      <c r="B1112" s="471"/>
      <c r="C1112" s="475"/>
      <c r="D1112" s="475"/>
      <c r="E1112" s="475"/>
      <c r="F1112" s="474"/>
      <c r="G1112" s="475"/>
      <c r="H1112" s="474"/>
      <c r="I1112" s="474"/>
      <c r="J1112" s="475"/>
      <c r="K1112" s="475"/>
      <c r="L1112" s="475"/>
      <c r="M1112" s="475"/>
      <c r="N1112" s="475"/>
      <c r="O1112" s="475"/>
      <c r="P1112" s="475"/>
      <c r="Q1112" s="475"/>
      <c r="R1112" s="475"/>
      <c r="S1112" s="475"/>
      <c r="T1112" s="475"/>
      <c r="U1112" s="475"/>
      <c r="V1112" s="475"/>
      <c r="W1112" s="475"/>
      <c r="X1112" s="475"/>
      <c r="Y1112" s="475"/>
      <c r="Z1112" s="475"/>
      <c r="AA1112" s="475"/>
      <c r="AB1112" s="475"/>
      <c r="AC1112" s="475"/>
      <c r="AD1112" s="475"/>
      <c r="AE1112" s="475"/>
      <c r="AF1112" s="475"/>
    </row>
    <row r="1113" spans="2:32">
      <c r="B1113" s="471"/>
      <c r="C1113" s="475"/>
      <c r="D1113" s="475"/>
      <c r="E1113" s="475"/>
      <c r="F1113" s="474"/>
      <c r="G1113" s="475"/>
      <c r="H1113" s="474"/>
      <c r="I1113" s="474"/>
      <c r="J1113" s="475"/>
      <c r="K1113" s="475"/>
      <c r="L1113" s="475"/>
      <c r="M1113" s="475"/>
      <c r="N1113" s="475"/>
      <c r="O1113" s="475"/>
      <c r="P1113" s="475"/>
      <c r="Q1113" s="475"/>
      <c r="R1113" s="475"/>
      <c r="S1113" s="475"/>
      <c r="T1113" s="475"/>
      <c r="U1113" s="475"/>
      <c r="V1113" s="475"/>
      <c r="W1113" s="475"/>
      <c r="X1113" s="475"/>
      <c r="Y1113" s="475"/>
      <c r="Z1113" s="475"/>
      <c r="AA1113" s="475"/>
      <c r="AB1113" s="475"/>
      <c r="AC1113" s="475"/>
      <c r="AD1113" s="475"/>
      <c r="AE1113" s="475"/>
      <c r="AF1113" s="475"/>
    </row>
    <row r="1114" spans="2:32">
      <c r="B1114" s="471"/>
      <c r="C1114" s="475"/>
      <c r="D1114" s="475"/>
      <c r="E1114" s="475"/>
      <c r="F1114" s="474"/>
      <c r="G1114" s="475"/>
      <c r="H1114" s="474"/>
      <c r="I1114" s="474"/>
      <c r="J1114" s="475"/>
      <c r="K1114" s="475"/>
      <c r="L1114" s="475"/>
      <c r="M1114" s="475"/>
      <c r="N1114" s="475"/>
      <c r="O1114" s="475"/>
      <c r="P1114" s="475"/>
      <c r="Q1114" s="475"/>
      <c r="R1114" s="475"/>
      <c r="S1114" s="475"/>
      <c r="T1114" s="475"/>
      <c r="U1114" s="475"/>
      <c r="V1114" s="475"/>
      <c r="W1114" s="475"/>
      <c r="X1114" s="475"/>
      <c r="Y1114" s="475"/>
      <c r="Z1114" s="475"/>
      <c r="AA1114" s="475"/>
      <c r="AB1114" s="475"/>
      <c r="AC1114" s="475"/>
      <c r="AD1114" s="475"/>
      <c r="AE1114" s="475"/>
      <c r="AF1114" s="475"/>
    </row>
    <row r="1115" spans="2:32">
      <c r="B1115" s="471"/>
      <c r="C1115" s="475"/>
      <c r="D1115" s="475"/>
      <c r="E1115" s="475"/>
      <c r="F1115" s="474"/>
      <c r="G1115" s="475"/>
      <c r="H1115" s="474"/>
      <c r="I1115" s="474"/>
      <c r="J1115" s="475"/>
      <c r="K1115" s="475"/>
      <c r="L1115" s="475"/>
      <c r="M1115" s="475"/>
      <c r="N1115" s="475"/>
      <c r="O1115" s="475"/>
      <c r="P1115" s="475"/>
      <c r="Q1115" s="475"/>
      <c r="R1115" s="475"/>
      <c r="S1115" s="475"/>
      <c r="T1115" s="475"/>
      <c r="U1115" s="475"/>
      <c r="V1115" s="475"/>
      <c r="W1115" s="475"/>
      <c r="X1115" s="475"/>
      <c r="Y1115" s="475"/>
      <c r="Z1115" s="475"/>
      <c r="AA1115" s="475"/>
      <c r="AB1115" s="475"/>
      <c r="AC1115" s="475"/>
      <c r="AD1115" s="475"/>
      <c r="AE1115" s="475"/>
      <c r="AF1115" s="475"/>
    </row>
    <row r="1116" spans="2:32">
      <c r="B1116" s="471"/>
      <c r="C1116" s="475"/>
      <c r="D1116" s="475"/>
      <c r="E1116" s="475"/>
      <c r="F1116" s="474"/>
      <c r="G1116" s="475"/>
      <c r="H1116" s="474"/>
      <c r="I1116" s="474"/>
      <c r="J1116" s="475"/>
      <c r="K1116" s="475"/>
      <c r="L1116" s="475"/>
      <c r="M1116" s="475"/>
      <c r="N1116" s="475"/>
      <c r="O1116" s="475"/>
      <c r="P1116" s="475"/>
      <c r="Q1116" s="475"/>
      <c r="R1116" s="475"/>
      <c r="S1116" s="475"/>
      <c r="T1116" s="475"/>
      <c r="U1116" s="475"/>
      <c r="V1116" s="475"/>
      <c r="W1116" s="475"/>
      <c r="X1116" s="475"/>
      <c r="Y1116" s="475"/>
      <c r="Z1116" s="475"/>
      <c r="AA1116" s="475"/>
      <c r="AB1116" s="475"/>
      <c r="AC1116" s="475"/>
      <c r="AD1116" s="475"/>
      <c r="AE1116" s="475"/>
      <c r="AF1116" s="475"/>
    </row>
    <row r="1117" spans="2:32">
      <c r="B1117" s="471"/>
      <c r="C1117" s="475"/>
      <c r="D1117" s="475"/>
      <c r="E1117" s="475"/>
      <c r="F1117" s="474"/>
      <c r="G1117" s="475"/>
      <c r="H1117" s="474"/>
      <c r="I1117" s="474"/>
      <c r="J1117" s="475"/>
      <c r="K1117" s="475"/>
      <c r="L1117" s="475"/>
      <c r="M1117" s="475"/>
      <c r="N1117" s="475"/>
      <c r="O1117" s="475"/>
      <c r="P1117" s="475"/>
      <c r="Q1117" s="475"/>
      <c r="R1117" s="475"/>
      <c r="S1117" s="475"/>
      <c r="T1117" s="475"/>
      <c r="U1117" s="475"/>
      <c r="V1117" s="475"/>
      <c r="W1117" s="475"/>
      <c r="X1117" s="475"/>
      <c r="Y1117" s="475"/>
      <c r="Z1117" s="475"/>
      <c r="AA1117" s="475"/>
      <c r="AB1117" s="475"/>
      <c r="AC1117" s="475"/>
      <c r="AD1117" s="475"/>
      <c r="AE1117" s="475"/>
      <c r="AF1117" s="475"/>
    </row>
    <row r="1118" spans="2:32">
      <c r="B1118" s="471"/>
      <c r="C1118" s="475"/>
      <c r="D1118" s="475"/>
      <c r="E1118" s="475"/>
      <c r="F1118" s="474"/>
      <c r="G1118" s="475"/>
      <c r="H1118" s="474"/>
      <c r="I1118" s="474"/>
      <c r="J1118" s="475"/>
      <c r="K1118" s="475"/>
      <c r="L1118" s="475"/>
      <c r="M1118" s="475"/>
      <c r="N1118" s="475"/>
      <c r="O1118" s="475"/>
      <c r="P1118" s="475"/>
      <c r="Q1118" s="475"/>
      <c r="R1118" s="475"/>
      <c r="S1118" s="475"/>
      <c r="T1118" s="475"/>
      <c r="U1118" s="475"/>
      <c r="V1118" s="475"/>
      <c r="W1118" s="475"/>
      <c r="X1118" s="475"/>
      <c r="Y1118" s="475"/>
      <c r="Z1118" s="475"/>
      <c r="AA1118" s="475"/>
      <c r="AB1118" s="475"/>
      <c r="AC1118" s="475"/>
      <c r="AD1118" s="475"/>
      <c r="AE1118" s="475"/>
      <c r="AF1118" s="475"/>
    </row>
    <row r="1119" spans="2:32">
      <c r="B1119" s="471"/>
      <c r="C1119" s="475"/>
      <c r="D1119" s="475"/>
      <c r="E1119" s="475"/>
      <c r="F1119" s="474"/>
      <c r="G1119" s="475"/>
      <c r="H1119" s="474"/>
      <c r="I1119" s="474"/>
      <c r="J1119" s="475"/>
      <c r="K1119" s="475"/>
      <c r="L1119" s="475"/>
      <c r="M1119" s="475"/>
      <c r="N1119" s="475"/>
      <c r="O1119" s="475"/>
      <c r="P1119" s="475"/>
      <c r="Q1119" s="475"/>
      <c r="R1119" s="475"/>
      <c r="S1119" s="475"/>
      <c r="T1119" s="475"/>
      <c r="U1119" s="475"/>
      <c r="V1119" s="475"/>
      <c r="W1119" s="475"/>
      <c r="X1119" s="475"/>
      <c r="Y1119" s="475"/>
      <c r="Z1119" s="475"/>
      <c r="AA1119" s="475"/>
      <c r="AB1119" s="475"/>
      <c r="AC1119" s="475"/>
      <c r="AD1119" s="475"/>
      <c r="AE1119" s="475"/>
      <c r="AF1119" s="475"/>
    </row>
    <row r="1120" spans="2:32">
      <c r="B1120" s="471"/>
      <c r="C1120" s="475"/>
      <c r="D1120" s="475"/>
      <c r="E1120" s="475"/>
      <c r="F1120" s="474"/>
      <c r="G1120" s="475"/>
      <c r="H1120" s="474"/>
      <c r="I1120" s="474"/>
      <c r="J1120" s="475"/>
      <c r="K1120" s="475"/>
      <c r="L1120" s="475"/>
      <c r="M1120" s="475"/>
      <c r="N1120" s="475"/>
      <c r="O1120" s="475"/>
      <c r="P1120" s="475"/>
      <c r="Q1120" s="475"/>
      <c r="R1120" s="475"/>
      <c r="S1120" s="475"/>
      <c r="T1120" s="475"/>
      <c r="U1120" s="475"/>
      <c r="V1120" s="475"/>
      <c r="W1120" s="475"/>
      <c r="X1120" s="475"/>
      <c r="Y1120" s="475"/>
      <c r="Z1120" s="475"/>
      <c r="AA1120" s="475"/>
      <c r="AB1120" s="475"/>
      <c r="AC1120" s="475"/>
      <c r="AD1120" s="475"/>
      <c r="AE1120" s="475"/>
      <c r="AF1120" s="475"/>
    </row>
    <row r="1121" spans="2:32">
      <c r="B1121" s="471"/>
      <c r="C1121" s="475"/>
      <c r="D1121" s="475"/>
      <c r="E1121" s="475"/>
      <c r="F1121" s="474"/>
      <c r="G1121" s="475"/>
      <c r="H1121" s="474"/>
      <c r="I1121" s="474"/>
      <c r="J1121" s="475"/>
      <c r="K1121" s="475"/>
      <c r="L1121" s="475"/>
      <c r="M1121" s="475"/>
      <c r="N1121" s="475"/>
      <c r="O1121" s="475"/>
      <c r="P1121" s="475"/>
      <c r="Q1121" s="475"/>
      <c r="R1121" s="475"/>
      <c r="S1121" s="475"/>
      <c r="T1121" s="475"/>
      <c r="U1121" s="475"/>
      <c r="V1121" s="475"/>
      <c r="W1121" s="475"/>
      <c r="X1121" s="475"/>
      <c r="Y1121" s="475"/>
      <c r="Z1121" s="475"/>
      <c r="AA1121" s="475"/>
      <c r="AB1121" s="475"/>
      <c r="AC1121" s="475"/>
      <c r="AD1121" s="475"/>
      <c r="AE1121" s="475"/>
      <c r="AF1121" s="475"/>
    </row>
    <row r="1122" spans="2:32">
      <c r="B1122" s="471"/>
      <c r="C1122" s="475"/>
      <c r="D1122" s="475"/>
      <c r="E1122" s="475"/>
      <c r="F1122" s="474"/>
      <c r="G1122" s="475"/>
      <c r="H1122" s="474"/>
      <c r="I1122" s="474"/>
      <c r="J1122" s="475"/>
      <c r="K1122" s="475"/>
      <c r="L1122" s="475"/>
      <c r="M1122" s="475"/>
      <c r="N1122" s="475"/>
      <c r="O1122" s="475"/>
      <c r="P1122" s="475"/>
      <c r="Q1122" s="475"/>
      <c r="R1122" s="475"/>
      <c r="S1122" s="475"/>
      <c r="T1122" s="475"/>
      <c r="U1122" s="475"/>
      <c r="V1122" s="475"/>
      <c r="W1122" s="475"/>
      <c r="X1122" s="475"/>
      <c r="Y1122" s="475"/>
      <c r="Z1122" s="475"/>
      <c r="AA1122" s="475"/>
      <c r="AB1122" s="475"/>
      <c r="AC1122" s="475"/>
      <c r="AD1122" s="475"/>
      <c r="AE1122" s="475"/>
      <c r="AF1122" s="475"/>
    </row>
    <row r="1123" spans="2:32">
      <c r="B1123" s="471"/>
      <c r="C1123" s="475"/>
      <c r="D1123" s="475"/>
      <c r="E1123" s="475"/>
      <c r="F1123" s="474"/>
      <c r="G1123" s="475"/>
      <c r="H1123" s="474"/>
      <c r="I1123" s="474"/>
      <c r="J1123" s="475"/>
      <c r="K1123" s="475"/>
      <c r="L1123" s="475"/>
      <c r="M1123" s="475"/>
      <c r="N1123" s="475"/>
      <c r="O1123" s="475"/>
      <c r="P1123" s="475"/>
      <c r="Q1123" s="475"/>
      <c r="R1123" s="475"/>
      <c r="S1123" s="475"/>
      <c r="T1123" s="475"/>
      <c r="U1123" s="475"/>
      <c r="V1123" s="475"/>
      <c r="W1123" s="475"/>
      <c r="X1123" s="475"/>
      <c r="Y1123" s="475"/>
      <c r="Z1123" s="475"/>
      <c r="AA1123" s="475"/>
      <c r="AB1123" s="475"/>
      <c r="AC1123" s="475"/>
      <c r="AD1123" s="475"/>
      <c r="AE1123" s="475"/>
      <c r="AF1123" s="475"/>
    </row>
    <row r="1124" spans="2:32">
      <c r="B1124" s="471"/>
      <c r="C1124" s="475"/>
      <c r="D1124" s="475"/>
      <c r="E1124" s="475"/>
      <c r="F1124" s="474"/>
      <c r="G1124" s="475"/>
      <c r="H1124" s="474"/>
      <c r="I1124" s="474"/>
      <c r="J1124" s="475"/>
      <c r="K1124" s="475"/>
      <c r="L1124" s="475"/>
      <c r="M1124" s="475"/>
      <c r="N1124" s="475"/>
      <c r="O1124" s="475"/>
      <c r="P1124" s="475"/>
      <c r="Q1124" s="475"/>
      <c r="R1124" s="475"/>
      <c r="S1124" s="475"/>
      <c r="T1124" s="475"/>
      <c r="U1124" s="475"/>
      <c r="V1124" s="475"/>
      <c r="W1124" s="475"/>
      <c r="X1124" s="475"/>
      <c r="Y1124" s="475"/>
      <c r="Z1124" s="475"/>
      <c r="AA1124" s="475"/>
      <c r="AB1124" s="475"/>
      <c r="AC1124" s="475"/>
      <c r="AD1124" s="475"/>
      <c r="AE1124" s="475"/>
      <c r="AF1124" s="475"/>
    </row>
    <row r="1125" spans="2:32">
      <c r="B1125" s="471"/>
      <c r="C1125" s="475"/>
      <c r="D1125" s="475"/>
      <c r="E1125" s="475"/>
      <c r="F1125" s="474"/>
      <c r="G1125" s="475"/>
      <c r="H1125" s="474"/>
      <c r="I1125" s="474"/>
      <c r="J1125" s="475"/>
      <c r="K1125" s="475"/>
      <c r="L1125" s="475"/>
      <c r="M1125" s="475"/>
      <c r="N1125" s="475"/>
      <c r="O1125" s="475"/>
      <c r="P1125" s="475"/>
      <c r="Q1125" s="475"/>
      <c r="R1125" s="475"/>
      <c r="S1125" s="475"/>
      <c r="T1125" s="475"/>
      <c r="U1125" s="475"/>
      <c r="V1125" s="475"/>
      <c r="W1125" s="475"/>
      <c r="X1125" s="475"/>
      <c r="Y1125" s="475"/>
      <c r="Z1125" s="475"/>
      <c r="AA1125" s="475"/>
      <c r="AB1125" s="475"/>
      <c r="AC1125" s="475"/>
      <c r="AD1125" s="475"/>
      <c r="AE1125" s="475"/>
      <c r="AF1125" s="475"/>
    </row>
    <row r="1126" spans="2:32">
      <c r="B1126" s="471"/>
      <c r="C1126" s="475"/>
      <c r="D1126" s="475"/>
      <c r="E1126" s="475"/>
      <c r="F1126" s="474"/>
      <c r="G1126" s="475"/>
      <c r="H1126" s="474"/>
      <c r="I1126" s="474"/>
      <c r="J1126" s="475"/>
      <c r="K1126" s="475"/>
      <c r="L1126" s="475"/>
      <c r="M1126" s="475"/>
      <c r="N1126" s="475"/>
      <c r="O1126" s="475"/>
      <c r="P1126" s="475"/>
      <c r="Q1126" s="475"/>
      <c r="R1126" s="475"/>
      <c r="S1126" s="475"/>
      <c r="T1126" s="475"/>
      <c r="U1126" s="475"/>
      <c r="V1126" s="475"/>
      <c r="W1126" s="475"/>
      <c r="X1126" s="475"/>
      <c r="Y1126" s="475"/>
      <c r="Z1126" s="475"/>
      <c r="AA1126" s="475"/>
      <c r="AB1126" s="475"/>
      <c r="AC1126" s="475"/>
      <c r="AD1126" s="475"/>
      <c r="AE1126" s="475"/>
      <c r="AF1126" s="475"/>
    </row>
    <row r="1127" spans="2:32">
      <c r="B1127" s="471"/>
      <c r="C1127" s="475"/>
      <c r="D1127" s="475"/>
      <c r="E1127" s="475"/>
      <c r="F1127" s="474"/>
      <c r="G1127" s="475"/>
      <c r="H1127" s="474"/>
      <c r="I1127" s="474"/>
      <c r="J1127" s="475"/>
      <c r="K1127" s="475"/>
      <c r="L1127" s="475"/>
      <c r="M1127" s="475"/>
      <c r="N1127" s="475"/>
      <c r="O1127" s="475"/>
      <c r="P1127" s="475"/>
      <c r="Q1127" s="475"/>
      <c r="R1127" s="475"/>
      <c r="S1127" s="475"/>
      <c r="T1127" s="475"/>
      <c r="U1127" s="475"/>
      <c r="V1127" s="475"/>
      <c r="W1127" s="475"/>
      <c r="X1127" s="475"/>
      <c r="Y1127" s="475"/>
      <c r="Z1127" s="475"/>
      <c r="AA1127" s="475"/>
      <c r="AB1127" s="475"/>
      <c r="AC1127" s="475"/>
      <c r="AD1127" s="475"/>
      <c r="AE1127" s="475"/>
      <c r="AF1127" s="475"/>
    </row>
    <row r="1128" spans="2:32">
      <c r="B1128" s="471"/>
      <c r="C1128" s="475"/>
      <c r="D1128" s="475"/>
      <c r="E1128" s="475"/>
      <c r="F1128" s="474"/>
      <c r="G1128" s="475"/>
      <c r="H1128" s="474"/>
      <c r="I1128" s="474"/>
      <c r="J1128" s="475"/>
      <c r="K1128" s="475"/>
      <c r="L1128" s="475"/>
      <c r="M1128" s="475"/>
      <c r="N1128" s="475"/>
      <c r="O1128" s="475"/>
      <c r="P1128" s="475"/>
      <c r="Q1128" s="475"/>
      <c r="R1128" s="475"/>
      <c r="S1128" s="475"/>
      <c r="T1128" s="475"/>
      <c r="U1128" s="475"/>
      <c r="V1128" s="475"/>
      <c r="W1128" s="475"/>
      <c r="X1128" s="475"/>
      <c r="Y1128" s="475"/>
      <c r="Z1128" s="475"/>
      <c r="AA1128" s="475"/>
      <c r="AB1128" s="475"/>
      <c r="AC1128" s="475"/>
      <c r="AD1128" s="475"/>
      <c r="AE1128" s="475"/>
      <c r="AF1128" s="475"/>
    </row>
    <row r="1129" spans="2:32">
      <c r="B1129" s="471"/>
      <c r="C1129" s="475"/>
      <c r="D1129" s="475"/>
      <c r="E1129" s="475"/>
      <c r="F1129" s="474"/>
      <c r="G1129" s="475"/>
      <c r="H1129" s="474"/>
      <c r="I1129" s="474"/>
      <c r="J1129" s="475"/>
      <c r="K1129" s="475"/>
      <c r="L1129" s="475"/>
      <c r="M1129" s="475"/>
      <c r="N1129" s="475"/>
      <c r="O1129" s="475"/>
      <c r="P1129" s="475"/>
      <c r="Q1129" s="475"/>
      <c r="R1129" s="475"/>
      <c r="S1129" s="475"/>
      <c r="T1129" s="475"/>
      <c r="U1129" s="475"/>
      <c r="V1129" s="475"/>
      <c r="W1129" s="475"/>
      <c r="X1129" s="475"/>
      <c r="Y1129" s="475"/>
      <c r="Z1129" s="475"/>
      <c r="AA1129" s="475"/>
      <c r="AB1129" s="475"/>
      <c r="AC1129" s="475"/>
      <c r="AD1129" s="475"/>
      <c r="AE1129" s="475"/>
      <c r="AF1129" s="475"/>
    </row>
    <row r="1130" spans="2:32">
      <c r="B1130" s="471"/>
      <c r="C1130" s="475"/>
      <c r="D1130" s="475"/>
      <c r="E1130" s="475"/>
      <c r="F1130" s="474"/>
      <c r="G1130" s="475"/>
      <c r="H1130" s="474"/>
      <c r="I1130" s="474"/>
      <c r="J1130" s="475"/>
      <c r="K1130" s="475"/>
      <c r="L1130" s="475"/>
      <c r="M1130" s="475"/>
      <c r="N1130" s="475"/>
      <c r="O1130" s="475"/>
      <c r="P1130" s="475"/>
      <c r="Q1130" s="475"/>
      <c r="R1130" s="475"/>
      <c r="S1130" s="475"/>
      <c r="T1130" s="475"/>
      <c r="U1130" s="475"/>
      <c r="V1130" s="475"/>
      <c r="W1130" s="475"/>
      <c r="X1130" s="475"/>
      <c r="Y1130" s="475"/>
      <c r="Z1130" s="475"/>
      <c r="AA1130" s="475"/>
      <c r="AB1130" s="475"/>
      <c r="AC1130" s="475"/>
      <c r="AD1130" s="475"/>
      <c r="AE1130" s="475"/>
      <c r="AF1130" s="475"/>
    </row>
    <row r="1131" spans="2:32">
      <c r="B1131" s="471"/>
      <c r="C1131" s="475"/>
      <c r="D1131" s="475"/>
      <c r="E1131" s="475"/>
      <c r="F1131" s="474"/>
      <c r="G1131" s="475"/>
      <c r="H1131" s="474"/>
      <c r="I1131" s="474"/>
      <c r="J1131" s="475"/>
      <c r="K1131" s="475"/>
      <c r="L1131" s="475"/>
      <c r="M1131" s="475"/>
      <c r="N1131" s="475"/>
      <c r="O1131" s="475"/>
      <c r="P1131" s="475"/>
      <c r="Q1131" s="475"/>
      <c r="R1131" s="475"/>
      <c r="S1131" s="475"/>
      <c r="T1131" s="475"/>
      <c r="U1131" s="475"/>
      <c r="V1131" s="475"/>
      <c r="W1131" s="475"/>
      <c r="X1131" s="475"/>
      <c r="Y1131" s="475"/>
      <c r="Z1131" s="475"/>
      <c r="AA1131" s="475"/>
      <c r="AB1131" s="475"/>
      <c r="AC1131" s="475"/>
      <c r="AD1131" s="475"/>
      <c r="AE1131" s="475"/>
      <c r="AF1131" s="475"/>
    </row>
    <row r="1132" spans="2:32">
      <c r="B1132" s="471"/>
      <c r="C1132" s="475"/>
      <c r="D1132" s="475"/>
      <c r="E1132" s="475"/>
      <c r="F1132" s="474"/>
      <c r="G1132" s="475"/>
      <c r="H1132" s="474"/>
      <c r="I1132" s="474"/>
      <c r="J1132" s="475"/>
      <c r="K1132" s="475"/>
      <c r="L1132" s="475"/>
      <c r="M1132" s="475"/>
      <c r="N1132" s="475"/>
      <c r="O1132" s="475"/>
      <c r="P1132" s="475"/>
      <c r="Q1132" s="475"/>
      <c r="R1132" s="475"/>
      <c r="S1132" s="475"/>
      <c r="T1132" s="475"/>
      <c r="U1132" s="475"/>
      <c r="V1132" s="475"/>
      <c r="W1132" s="475"/>
      <c r="X1132" s="475"/>
      <c r="Y1132" s="475"/>
      <c r="Z1132" s="475"/>
      <c r="AA1132" s="475"/>
      <c r="AB1132" s="475"/>
      <c r="AC1132" s="475"/>
      <c r="AD1132" s="475"/>
      <c r="AE1132" s="475"/>
      <c r="AF1132" s="475"/>
    </row>
    <row r="1133" spans="2:32">
      <c r="B1133" s="471"/>
      <c r="C1133" s="475"/>
      <c r="D1133" s="475"/>
      <c r="E1133" s="475"/>
      <c r="F1133" s="474"/>
      <c r="G1133" s="475"/>
      <c r="H1133" s="474"/>
      <c r="I1133" s="474"/>
      <c r="J1133" s="475"/>
      <c r="K1133" s="475"/>
      <c r="L1133" s="475"/>
      <c r="M1133" s="475"/>
      <c r="N1133" s="475"/>
      <c r="O1133" s="475"/>
      <c r="P1133" s="475"/>
      <c r="Q1133" s="475"/>
      <c r="R1133" s="475"/>
      <c r="S1133" s="475"/>
      <c r="T1133" s="475"/>
      <c r="U1133" s="475"/>
      <c r="V1133" s="475"/>
      <c r="W1133" s="475"/>
      <c r="X1133" s="475"/>
      <c r="Y1133" s="475"/>
      <c r="Z1133" s="475"/>
      <c r="AA1133" s="475"/>
      <c r="AB1133" s="475"/>
      <c r="AC1133" s="475"/>
      <c r="AD1133" s="475"/>
      <c r="AE1133" s="475"/>
      <c r="AF1133" s="475"/>
    </row>
    <row r="1134" spans="2:32">
      <c r="B1134" s="471"/>
      <c r="C1134" s="475"/>
      <c r="D1134" s="475"/>
      <c r="E1134" s="475"/>
      <c r="F1134" s="474"/>
      <c r="G1134" s="475"/>
      <c r="H1134" s="474"/>
      <c r="I1134" s="474"/>
      <c r="J1134" s="475"/>
      <c r="K1134" s="475"/>
      <c r="L1134" s="475"/>
      <c r="M1134" s="475"/>
      <c r="N1134" s="475"/>
      <c r="O1134" s="475"/>
      <c r="P1134" s="475"/>
      <c r="Q1134" s="475"/>
      <c r="R1134" s="475"/>
      <c r="S1134" s="475"/>
      <c r="T1134" s="475"/>
      <c r="U1134" s="475"/>
      <c r="V1134" s="475"/>
      <c r="W1134" s="475"/>
      <c r="X1134" s="475"/>
      <c r="Y1134" s="475"/>
      <c r="Z1134" s="475"/>
      <c r="AA1134" s="475"/>
      <c r="AB1134" s="475"/>
      <c r="AC1134" s="475"/>
      <c r="AD1134" s="475"/>
      <c r="AE1134" s="475"/>
      <c r="AF1134" s="475"/>
    </row>
    <row r="1135" spans="2:32">
      <c r="B1135" s="471"/>
      <c r="C1135" s="475"/>
      <c r="D1135" s="475"/>
      <c r="E1135" s="475"/>
      <c r="F1135" s="474"/>
      <c r="G1135" s="475"/>
      <c r="H1135" s="474"/>
      <c r="I1135" s="474"/>
      <c r="J1135" s="475"/>
      <c r="K1135" s="475"/>
      <c r="L1135" s="475"/>
      <c r="M1135" s="475"/>
      <c r="N1135" s="475"/>
      <c r="O1135" s="475"/>
      <c r="P1135" s="475"/>
      <c r="Q1135" s="475"/>
      <c r="R1135" s="475"/>
      <c r="S1135" s="475"/>
      <c r="T1135" s="475"/>
      <c r="U1135" s="475"/>
      <c r="V1135" s="475"/>
      <c r="W1135" s="475"/>
      <c r="X1135" s="475"/>
      <c r="Y1135" s="475"/>
      <c r="Z1135" s="475"/>
      <c r="AA1135" s="475"/>
      <c r="AB1135" s="475"/>
      <c r="AC1135" s="475"/>
      <c r="AD1135" s="475"/>
      <c r="AE1135" s="475"/>
      <c r="AF1135" s="475"/>
    </row>
    <row r="1136" spans="2:32">
      <c r="B1136" s="471"/>
      <c r="C1136" s="475"/>
      <c r="D1136" s="475"/>
      <c r="E1136" s="475"/>
      <c r="F1136" s="474"/>
      <c r="G1136" s="475"/>
      <c r="H1136" s="474"/>
      <c r="I1136" s="474"/>
      <c r="J1136" s="475"/>
      <c r="K1136" s="475"/>
      <c r="L1136" s="475"/>
      <c r="M1136" s="475"/>
      <c r="N1136" s="475"/>
      <c r="O1136" s="475"/>
      <c r="P1136" s="475"/>
      <c r="Q1136" s="475"/>
      <c r="R1136" s="475"/>
      <c r="S1136" s="475"/>
      <c r="T1136" s="475"/>
      <c r="U1136" s="475"/>
      <c r="V1136" s="475"/>
      <c r="W1136" s="475"/>
      <c r="X1136" s="475"/>
      <c r="Y1136" s="475"/>
      <c r="Z1136" s="475"/>
      <c r="AA1136" s="475"/>
      <c r="AB1136" s="475"/>
      <c r="AC1136" s="475"/>
      <c r="AD1136" s="475"/>
      <c r="AE1136" s="475"/>
      <c r="AF1136" s="475"/>
    </row>
    <row r="1137" spans="2:32">
      <c r="B1137" s="471"/>
      <c r="C1137" s="475"/>
      <c r="D1137" s="475"/>
      <c r="E1137" s="475"/>
      <c r="F1137" s="474"/>
      <c r="G1137" s="475"/>
      <c r="H1137" s="474"/>
      <c r="I1137" s="474"/>
      <c r="J1137" s="475"/>
      <c r="K1137" s="475"/>
      <c r="L1137" s="475"/>
      <c r="M1137" s="475"/>
      <c r="N1137" s="475"/>
      <c r="O1137" s="475"/>
      <c r="P1137" s="475"/>
      <c r="Q1137" s="475"/>
      <c r="R1137" s="475"/>
      <c r="S1137" s="475"/>
      <c r="T1137" s="475"/>
      <c r="U1137" s="475"/>
      <c r="V1137" s="475"/>
      <c r="W1137" s="475"/>
      <c r="X1137" s="475"/>
      <c r="Y1137" s="475"/>
      <c r="Z1137" s="475"/>
      <c r="AA1137" s="475"/>
      <c r="AB1137" s="475"/>
      <c r="AC1137" s="475"/>
      <c r="AD1137" s="475"/>
      <c r="AE1137" s="475"/>
      <c r="AF1137" s="475"/>
    </row>
    <row r="1138" spans="2:32">
      <c r="B1138" s="471"/>
      <c r="C1138" s="475"/>
      <c r="D1138" s="475"/>
      <c r="E1138" s="475"/>
      <c r="F1138" s="474"/>
      <c r="G1138" s="475"/>
      <c r="H1138" s="474"/>
      <c r="I1138" s="474"/>
      <c r="J1138" s="475"/>
      <c r="K1138" s="475"/>
      <c r="L1138" s="475"/>
      <c r="M1138" s="475"/>
      <c r="N1138" s="475"/>
      <c r="O1138" s="475"/>
      <c r="P1138" s="475"/>
      <c r="Q1138" s="475"/>
      <c r="R1138" s="475"/>
      <c r="S1138" s="475"/>
      <c r="T1138" s="475"/>
      <c r="U1138" s="475"/>
      <c r="V1138" s="475"/>
      <c r="W1138" s="475"/>
      <c r="X1138" s="475"/>
      <c r="Y1138" s="475"/>
      <c r="Z1138" s="475"/>
      <c r="AA1138" s="475"/>
      <c r="AB1138" s="475"/>
      <c r="AC1138" s="475"/>
      <c r="AD1138" s="475"/>
      <c r="AE1138" s="475"/>
      <c r="AF1138" s="475"/>
    </row>
    <row r="1139" spans="2:32">
      <c r="B1139" s="471"/>
      <c r="C1139" s="475"/>
      <c r="D1139" s="475"/>
      <c r="E1139" s="475"/>
      <c r="F1139" s="474"/>
      <c r="G1139" s="475"/>
      <c r="H1139" s="474"/>
      <c r="I1139" s="474"/>
      <c r="J1139" s="475"/>
      <c r="K1139" s="475"/>
      <c r="L1139" s="475"/>
      <c r="M1139" s="475"/>
      <c r="N1139" s="475"/>
      <c r="O1139" s="475"/>
      <c r="P1139" s="475"/>
      <c r="Q1139" s="475"/>
      <c r="R1139" s="475"/>
      <c r="S1139" s="475"/>
      <c r="T1139" s="475"/>
      <c r="U1139" s="475"/>
      <c r="V1139" s="475"/>
      <c r="W1139" s="475"/>
      <c r="X1139" s="475"/>
      <c r="Y1139" s="475"/>
      <c r="Z1139" s="475"/>
      <c r="AA1139" s="475"/>
      <c r="AB1139" s="475"/>
      <c r="AC1139" s="475"/>
      <c r="AD1139" s="475"/>
      <c r="AE1139" s="475"/>
      <c r="AF1139" s="475"/>
    </row>
    <row r="1140" spans="2:32">
      <c r="B1140" s="471"/>
      <c r="C1140" s="475"/>
      <c r="D1140" s="475"/>
      <c r="E1140" s="475"/>
      <c r="F1140" s="474"/>
      <c r="G1140" s="475"/>
      <c r="H1140" s="474"/>
      <c r="I1140" s="474"/>
      <c r="J1140" s="475"/>
      <c r="K1140" s="475"/>
      <c r="L1140" s="475"/>
      <c r="M1140" s="475"/>
      <c r="N1140" s="475"/>
      <c r="O1140" s="475"/>
      <c r="P1140" s="475"/>
      <c r="Q1140" s="475"/>
      <c r="R1140" s="475"/>
      <c r="S1140" s="475"/>
      <c r="T1140" s="475"/>
      <c r="U1140" s="475"/>
      <c r="V1140" s="475"/>
      <c r="W1140" s="475"/>
      <c r="X1140" s="475"/>
      <c r="Y1140" s="475"/>
      <c r="Z1140" s="475"/>
      <c r="AA1140" s="475"/>
      <c r="AB1140" s="475"/>
      <c r="AC1140" s="475"/>
      <c r="AD1140" s="475"/>
      <c r="AE1140" s="475"/>
      <c r="AF1140" s="475"/>
    </row>
    <row r="1141" spans="2:32">
      <c r="B1141" s="471"/>
      <c r="C1141" s="475"/>
      <c r="D1141" s="475"/>
      <c r="E1141" s="475"/>
      <c r="F1141" s="474"/>
      <c r="G1141" s="475"/>
      <c r="H1141" s="474"/>
      <c r="I1141" s="474"/>
      <c r="J1141" s="475"/>
      <c r="K1141" s="475"/>
      <c r="L1141" s="475"/>
      <c r="M1141" s="475"/>
      <c r="N1141" s="475"/>
      <c r="O1141" s="475"/>
      <c r="P1141" s="475"/>
      <c r="Q1141" s="475"/>
      <c r="R1141" s="475"/>
      <c r="S1141" s="475"/>
      <c r="T1141" s="475"/>
      <c r="U1141" s="475"/>
      <c r="V1141" s="475"/>
      <c r="W1141" s="475"/>
      <c r="X1141" s="475"/>
      <c r="Y1141" s="475"/>
      <c r="Z1141" s="475"/>
      <c r="AA1141" s="475"/>
      <c r="AB1141" s="475"/>
      <c r="AC1141" s="475"/>
      <c r="AD1141" s="475"/>
      <c r="AE1141" s="475"/>
      <c r="AF1141" s="475"/>
    </row>
    <row r="1142" spans="2:32">
      <c r="B1142" s="471"/>
      <c r="C1142" s="475"/>
      <c r="D1142" s="475"/>
      <c r="E1142" s="475"/>
      <c r="F1142" s="474"/>
      <c r="G1142" s="475"/>
      <c r="H1142" s="474"/>
      <c r="I1142" s="474"/>
      <c r="J1142" s="475"/>
      <c r="K1142" s="475"/>
      <c r="L1142" s="475"/>
      <c r="M1142" s="475"/>
      <c r="N1142" s="475"/>
      <c r="O1142" s="475"/>
      <c r="P1142" s="475"/>
      <c r="Q1142" s="475"/>
      <c r="R1142" s="475"/>
      <c r="S1142" s="475"/>
      <c r="T1142" s="475"/>
      <c r="U1142" s="475"/>
      <c r="V1142" s="475"/>
      <c r="W1142" s="475"/>
      <c r="X1142" s="475"/>
      <c r="Y1142" s="475"/>
      <c r="Z1142" s="475"/>
      <c r="AA1142" s="475"/>
      <c r="AB1142" s="475"/>
      <c r="AC1142" s="475"/>
      <c r="AD1142" s="475"/>
      <c r="AE1142" s="475"/>
      <c r="AF1142" s="475"/>
    </row>
    <row r="1143" spans="2:32">
      <c r="B1143" s="471"/>
      <c r="C1143" s="475"/>
      <c r="D1143" s="475"/>
      <c r="E1143" s="475"/>
      <c r="F1143" s="474"/>
      <c r="G1143" s="475"/>
      <c r="H1143" s="474"/>
      <c r="I1143" s="474"/>
      <c r="J1143" s="475"/>
      <c r="K1143" s="475"/>
      <c r="L1143" s="475"/>
      <c r="M1143" s="475"/>
      <c r="N1143" s="475"/>
      <c r="O1143" s="475"/>
      <c r="P1143" s="475"/>
      <c r="Q1143" s="475"/>
      <c r="R1143" s="475"/>
      <c r="S1143" s="475"/>
      <c r="T1143" s="475"/>
      <c r="U1143" s="475"/>
      <c r="V1143" s="475"/>
      <c r="W1143" s="475"/>
      <c r="X1143" s="475"/>
      <c r="Y1143" s="475"/>
      <c r="Z1143" s="475"/>
      <c r="AA1143" s="475"/>
      <c r="AB1143" s="475"/>
      <c r="AC1143" s="475"/>
      <c r="AD1143" s="475"/>
      <c r="AE1143" s="475"/>
      <c r="AF1143" s="475"/>
    </row>
    <row r="1144" spans="2:32">
      <c r="B1144" s="471"/>
      <c r="C1144" s="475"/>
      <c r="D1144" s="475"/>
      <c r="E1144" s="475"/>
      <c r="F1144" s="474"/>
      <c r="G1144" s="475"/>
      <c r="H1144" s="474"/>
      <c r="I1144" s="474"/>
      <c r="J1144" s="475"/>
      <c r="K1144" s="475"/>
      <c r="L1144" s="475"/>
      <c r="M1144" s="475"/>
      <c r="N1144" s="475"/>
      <c r="O1144" s="475"/>
      <c r="P1144" s="475"/>
      <c r="Q1144" s="475"/>
      <c r="R1144" s="475"/>
      <c r="S1144" s="475"/>
      <c r="T1144" s="475"/>
      <c r="U1144" s="475"/>
      <c r="V1144" s="475"/>
      <c r="W1144" s="475"/>
      <c r="X1144" s="475"/>
      <c r="Y1144" s="475"/>
      <c r="Z1144" s="475"/>
      <c r="AA1144" s="475"/>
      <c r="AB1144" s="475"/>
      <c r="AC1144" s="475"/>
      <c r="AD1144" s="475"/>
      <c r="AE1144" s="475"/>
      <c r="AF1144" s="475"/>
    </row>
    <row r="1145" spans="2:32">
      <c r="B1145" s="471"/>
      <c r="C1145" s="475"/>
      <c r="D1145" s="475"/>
      <c r="E1145" s="475"/>
      <c r="F1145" s="474"/>
      <c r="G1145" s="475"/>
      <c r="H1145" s="474"/>
      <c r="I1145" s="474"/>
      <c r="J1145" s="475"/>
      <c r="K1145" s="475"/>
      <c r="L1145" s="475"/>
      <c r="M1145" s="475"/>
      <c r="N1145" s="475"/>
      <c r="O1145" s="475"/>
      <c r="P1145" s="475"/>
      <c r="Q1145" s="475"/>
      <c r="R1145" s="475"/>
      <c r="S1145" s="475"/>
      <c r="T1145" s="475"/>
      <c r="U1145" s="475"/>
      <c r="V1145" s="475"/>
      <c r="W1145" s="475"/>
      <c r="X1145" s="475"/>
      <c r="Y1145" s="475"/>
      <c r="Z1145" s="475"/>
      <c r="AA1145" s="475"/>
      <c r="AB1145" s="475"/>
      <c r="AC1145" s="475"/>
      <c r="AD1145" s="475"/>
      <c r="AE1145" s="475"/>
      <c r="AF1145" s="475"/>
    </row>
    <row r="1146" spans="2:32">
      <c r="B1146" s="471"/>
      <c r="C1146" s="475"/>
      <c r="D1146" s="475"/>
      <c r="E1146" s="475"/>
      <c r="F1146" s="474"/>
      <c r="G1146" s="475"/>
      <c r="H1146" s="474"/>
      <c r="I1146" s="474"/>
      <c r="J1146" s="475"/>
      <c r="K1146" s="475"/>
      <c r="L1146" s="475"/>
      <c r="M1146" s="475"/>
      <c r="N1146" s="475"/>
      <c r="O1146" s="475"/>
      <c r="P1146" s="475"/>
      <c r="Q1146" s="475"/>
      <c r="R1146" s="475"/>
      <c r="S1146" s="475"/>
      <c r="T1146" s="475"/>
      <c r="U1146" s="475"/>
      <c r="V1146" s="475"/>
      <c r="W1146" s="475"/>
      <c r="X1146" s="475"/>
      <c r="Y1146" s="475"/>
      <c r="Z1146" s="475"/>
      <c r="AA1146" s="475"/>
      <c r="AB1146" s="475"/>
      <c r="AC1146" s="475"/>
      <c r="AD1146" s="475"/>
      <c r="AE1146" s="475"/>
      <c r="AF1146" s="475"/>
    </row>
    <row r="1147" spans="2:32">
      <c r="B1147" s="471"/>
      <c r="C1147" s="475"/>
      <c r="D1147" s="475"/>
      <c r="E1147" s="475"/>
      <c r="F1147" s="474"/>
      <c r="G1147" s="475"/>
      <c r="H1147" s="474"/>
      <c r="I1147" s="474"/>
      <c r="J1147" s="475"/>
      <c r="K1147" s="475"/>
      <c r="L1147" s="475"/>
      <c r="M1147" s="475"/>
      <c r="N1147" s="475"/>
      <c r="O1147" s="475"/>
      <c r="P1147" s="475"/>
      <c r="Q1147" s="475"/>
      <c r="R1147" s="475"/>
      <c r="S1147" s="475"/>
      <c r="T1147" s="475"/>
      <c r="U1147" s="475"/>
      <c r="V1147" s="475"/>
      <c r="W1147" s="475"/>
      <c r="X1147" s="475"/>
      <c r="Y1147" s="475"/>
      <c r="Z1147" s="475"/>
      <c r="AA1147" s="475"/>
      <c r="AB1147" s="475"/>
      <c r="AC1147" s="475"/>
      <c r="AD1147" s="475"/>
      <c r="AE1147" s="475"/>
      <c r="AF1147" s="475"/>
    </row>
    <row r="1148" spans="2:32">
      <c r="B1148" s="471"/>
      <c r="C1148" s="475"/>
      <c r="D1148" s="475"/>
      <c r="E1148" s="475"/>
      <c r="F1148" s="474"/>
      <c r="G1148" s="475"/>
      <c r="H1148" s="474"/>
      <c r="I1148" s="474"/>
      <c r="J1148" s="475"/>
      <c r="K1148" s="475"/>
      <c r="L1148" s="475"/>
      <c r="M1148" s="475"/>
      <c r="N1148" s="475"/>
      <c r="O1148" s="475"/>
      <c r="P1148" s="475"/>
      <c r="Q1148" s="475"/>
      <c r="R1148" s="475"/>
      <c r="S1148" s="475"/>
      <c r="T1148" s="475"/>
      <c r="U1148" s="475"/>
      <c r="V1148" s="475"/>
      <c r="W1148" s="475"/>
      <c r="X1148" s="475"/>
      <c r="Y1148" s="475"/>
      <c r="Z1148" s="475"/>
      <c r="AA1148" s="475"/>
      <c r="AB1148" s="475"/>
      <c r="AC1148" s="475"/>
      <c r="AD1148" s="475"/>
      <c r="AE1148" s="475"/>
      <c r="AF1148" s="475"/>
    </row>
    <row r="1149" spans="2:32">
      <c r="B1149" s="471"/>
      <c r="C1149" s="475"/>
      <c r="D1149" s="475"/>
      <c r="E1149" s="475"/>
      <c r="F1149" s="474"/>
      <c r="G1149" s="475"/>
      <c r="H1149" s="474"/>
      <c r="I1149" s="474"/>
      <c r="J1149" s="475"/>
      <c r="K1149" s="475"/>
      <c r="L1149" s="475"/>
      <c r="M1149" s="475"/>
      <c r="N1149" s="475"/>
      <c r="O1149" s="475"/>
      <c r="P1149" s="475"/>
      <c r="Q1149" s="475"/>
      <c r="R1149" s="475"/>
      <c r="S1149" s="475"/>
      <c r="T1149" s="475"/>
      <c r="U1149" s="475"/>
      <c r="V1149" s="475"/>
      <c r="W1149" s="475"/>
      <c r="X1149" s="475"/>
      <c r="Y1149" s="475"/>
      <c r="Z1149" s="475"/>
      <c r="AA1149" s="475"/>
      <c r="AB1149" s="475"/>
      <c r="AC1149" s="475"/>
      <c r="AD1149" s="475"/>
      <c r="AE1149" s="475"/>
      <c r="AF1149" s="475"/>
    </row>
    <row r="1150" spans="2:32">
      <c r="B1150" s="471"/>
      <c r="C1150" s="475"/>
      <c r="D1150" s="475"/>
      <c r="E1150" s="475"/>
      <c r="F1150" s="474"/>
      <c r="G1150" s="475"/>
      <c r="H1150" s="474"/>
      <c r="I1150" s="474"/>
      <c r="J1150" s="475"/>
      <c r="K1150" s="475"/>
      <c r="L1150" s="475"/>
      <c r="M1150" s="475"/>
      <c r="N1150" s="475"/>
      <c r="O1150" s="475"/>
      <c r="P1150" s="475"/>
      <c r="Q1150" s="475"/>
      <c r="R1150" s="475"/>
      <c r="S1150" s="475"/>
      <c r="T1150" s="475"/>
      <c r="U1150" s="475"/>
      <c r="V1150" s="475"/>
      <c r="W1150" s="475"/>
      <c r="X1150" s="475"/>
      <c r="Y1150" s="475"/>
      <c r="Z1150" s="475"/>
      <c r="AA1150" s="475"/>
      <c r="AB1150" s="475"/>
      <c r="AC1150" s="475"/>
      <c r="AD1150" s="475"/>
      <c r="AE1150" s="475"/>
      <c r="AF1150" s="475"/>
    </row>
    <row r="1151" spans="2:32">
      <c r="B1151" s="471"/>
      <c r="C1151" s="475"/>
      <c r="D1151" s="475"/>
      <c r="E1151" s="475"/>
      <c r="F1151" s="474"/>
      <c r="G1151" s="475"/>
      <c r="H1151" s="474"/>
      <c r="I1151" s="474"/>
      <c r="J1151" s="475"/>
      <c r="K1151" s="475"/>
      <c r="L1151" s="475"/>
      <c r="M1151" s="475"/>
      <c r="N1151" s="475"/>
      <c r="O1151" s="475"/>
      <c r="P1151" s="475"/>
      <c r="Q1151" s="475"/>
      <c r="R1151" s="475"/>
      <c r="S1151" s="475"/>
      <c r="T1151" s="475"/>
      <c r="U1151" s="475"/>
      <c r="V1151" s="475"/>
      <c r="W1151" s="475"/>
      <c r="X1151" s="475"/>
      <c r="Y1151" s="475"/>
      <c r="Z1151" s="475"/>
      <c r="AA1151" s="475"/>
      <c r="AB1151" s="475"/>
      <c r="AC1151" s="475"/>
      <c r="AD1151" s="475"/>
      <c r="AE1151" s="475"/>
      <c r="AF1151" s="475"/>
    </row>
    <row r="1152" spans="2:32">
      <c r="B1152" s="471"/>
      <c r="C1152" s="475"/>
      <c r="D1152" s="475"/>
      <c r="E1152" s="475"/>
      <c r="F1152" s="474"/>
      <c r="G1152" s="475"/>
      <c r="H1152" s="474"/>
      <c r="I1152" s="474"/>
      <c r="J1152" s="475"/>
      <c r="K1152" s="475"/>
      <c r="L1152" s="475"/>
      <c r="M1152" s="475"/>
      <c r="N1152" s="475"/>
      <c r="O1152" s="475"/>
      <c r="P1152" s="475"/>
      <c r="Q1152" s="475"/>
      <c r="R1152" s="475"/>
      <c r="S1152" s="475"/>
      <c r="T1152" s="475"/>
      <c r="U1152" s="475"/>
      <c r="V1152" s="475"/>
      <c r="W1152" s="475"/>
      <c r="X1152" s="475"/>
      <c r="Y1152" s="475"/>
      <c r="Z1152" s="475"/>
      <c r="AA1152" s="475"/>
      <c r="AB1152" s="475"/>
      <c r="AC1152" s="475"/>
      <c r="AD1152" s="475"/>
      <c r="AE1152" s="475"/>
      <c r="AF1152" s="475"/>
    </row>
    <row r="1153" spans="2:32">
      <c r="B1153" s="471"/>
      <c r="C1153" s="475"/>
      <c r="D1153" s="475"/>
      <c r="E1153" s="475"/>
      <c r="F1153" s="474"/>
      <c r="G1153" s="475"/>
      <c r="H1153" s="474"/>
      <c r="I1153" s="474"/>
      <c r="J1153" s="475"/>
      <c r="K1153" s="475"/>
      <c r="L1153" s="475"/>
      <c r="M1153" s="475"/>
      <c r="N1153" s="475"/>
      <c r="O1153" s="475"/>
      <c r="P1153" s="475"/>
      <c r="Q1153" s="475"/>
      <c r="R1153" s="475"/>
      <c r="S1153" s="475"/>
      <c r="T1153" s="475"/>
      <c r="U1153" s="475"/>
      <c r="V1153" s="475"/>
      <c r="W1153" s="475"/>
      <c r="X1153" s="475"/>
      <c r="Y1153" s="475"/>
      <c r="Z1153" s="475"/>
      <c r="AA1153" s="475"/>
      <c r="AB1153" s="475"/>
      <c r="AC1153" s="475"/>
      <c r="AD1153" s="475"/>
      <c r="AE1153" s="475"/>
      <c r="AF1153" s="475"/>
    </row>
    <row r="1154" spans="2:32">
      <c r="B1154" s="471"/>
      <c r="C1154" s="475"/>
      <c r="D1154" s="475"/>
      <c r="E1154" s="475"/>
      <c r="F1154" s="474"/>
      <c r="G1154" s="475"/>
      <c r="H1154" s="474"/>
      <c r="I1154" s="474"/>
      <c r="J1154" s="475"/>
      <c r="K1154" s="475"/>
      <c r="L1154" s="475"/>
      <c r="M1154" s="475"/>
      <c r="N1154" s="475"/>
      <c r="O1154" s="475"/>
      <c r="P1154" s="475"/>
      <c r="Q1154" s="475"/>
      <c r="R1154" s="475"/>
      <c r="S1154" s="475"/>
      <c r="T1154" s="475"/>
      <c r="U1154" s="475"/>
      <c r="V1154" s="475"/>
      <c r="W1154" s="475"/>
      <c r="X1154" s="475"/>
      <c r="Y1154" s="475"/>
      <c r="Z1154" s="475"/>
      <c r="AA1154" s="475"/>
      <c r="AB1154" s="475"/>
      <c r="AC1154" s="475"/>
      <c r="AD1154" s="475"/>
      <c r="AE1154" s="475"/>
      <c r="AF1154" s="475"/>
    </row>
    <row r="1155" spans="2:32">
      <c r="B1155" s="471"/>
      <c r="C1155" s="475"/>
      <c r="D1155" s="475"/>
      <c r="E1155" s="475"/>
      <c r="F1155" s="474"/>
      <c r="G1155" s="475"/>
      <c r="H1155" s="474"/>
      <c r="I1155" s="474"/>
      <c r="J1155" s="475"/>
      <c r="K1155" s="475"/>
      <c r="L1155" s="475"/>
      <c r="M1155" s="475"/>
      <c r="N1155" s="475"/>
      <c r="O1155" s="475"/>
      <c r="P1155" s="475"/>
      <c r="Q1155" s="475"/>
      <c r="R1155" s="475"/>
      <c r="S1155" s="475"/>
      <c r="T1155" s="475"/>
      <c r="U1155" s="475"/>
      <c r="V1155" s="475"/>
      <c r="W1155" s="475"/>
      <c r="X1155" s="475"/>
      <c r="Y1155" s="475"/>
      <c r="Z1155" s="475"/>
      <c r="AA1155" s="475"/>
      <c r="AB1155" s="475"/>
      <c r="AC1155" s="475"/>
      <c r="AD1155" s="475"/>
      <c r="AE1155" s="475"/>
      <c r="AF1155" s="475"/>
    </row>
    <row r="1156" spans="2:32">
      <c r="B1156" s="471"/>
      <c r="C1156" s="475"/>
      <c r="D1156" s="475"/>
      <c r="E1156" s="475"/>
      <c r="F1156" s="474"/>
      <c r="G1156" s="475"/>
      <c r="H1156" s="474"/>
      <c r="I1156" s="474"/>
      <c r="J1156" s="475"/>
      <c r="K1156" s="475"/>
      <c r="L1156" s="475"/>
      <c r="M1156" s="475"/>
      <c r="N1156" s="475"/>
      <c r="O1156" s="475"/>
      <c r="P1156" s="475"/>
      <c r="Q1156" s="475"/>
      <c r="R1156" s="475"/>
      <c r="S1156" s="475"/>
      <c r="T1156" s="475"/>
      <c r="U1156" s="475"/>
      <c r="V1156" s="475"/>
      <c r="W1156" s="475"/>
      <c r="X1156" s="475"/>
      <c r="Y1156" s="475"/>
      <c r="Z1156" s="475"/>
      <c r="AA1156" s="475"/>
      <c r="AB1156" s="475"/>
      <c r="AC1156" s="475"/>
      <c r="AD1156" s="475"/>
      <c r="AE1156" s="475"/>
      <c r="AF1156" s="475"/>
    </row>
    <row r="1157" spans="2:32">
      <c r="B1157" s="471"/>
      <c r="C1157" s="475"/>
      <c r="D1157" s="475"/>
      <c r="E1157" s="475"/>
      <c r="F1157" s="474"/>
      <c r="G1157" s="475"/>
      <c r="H1157" s="474"/>
      <c r="I1157" s="474"/>
      <c r="J1157" s="475"/>
      <c r="K1157" s="475"/>
      <c r="L1157" s="475"/>
      <c r="M1157" s="475"/>
      <c r="N1157" s="475"/>
      <c r="O1157" s="475"/>
      <c r="P1157" s="475"/>
      <c r="Q1157" s="475"/>
      <c r="R1157" s="475"/>
      <c r="S1157" s="475"/>
      <c r="T1157" s="475"/>
      <c r="U1157" s="475"/>
      <c r="V1157" s="475"/>
      <c r="W1157" s="475"/>
      <c r="X1157" s="475"/>
      <c r="Y1157" s="475"/>
      <c r="Z1157" s="475"/>
      <c r="AA1157" s="475"/>
      <c r="AB1157" s="475"/>
      <c r="AC1157" s="475"/>
      <c r="AD1157" s="475"/>
      <c r="AE1157" s="475"/>
      <c r="AF1157" s="475"/>
    </row>
    <row r="1158" spans="2:32">
      <c r="B1158" s="471"/>
      <c r="C1158" s="475"/>
      <c r="D1158" s="475"/>
      <c r="E1158" s="475"/>
      <c r="F1158" s="474"/>
      <c r="G1158" s="475"/>
      <c r="H1158" s="474"/>
      <c r="I1158" s="474"/>
      <c r="J1158" s="475"/>
      <c r="K1158" s="475"/>
      <c r="L1158" s="475"/>
      <c r="M1158" s="475"/>
      <c r="N1158" s="475"/>
      <c r="O1158" s="475"/>
      <c r="P1158" s="475"/>
      <c r="Q1158" s="475"/>
      <c r="R1158" s="475"/>
      <c r="S1158" s="475"/>
      <c r="T1158" s="475"/>
      <c r="U1158" s="475"/>
      <c r="V1158" s="475"/>
      <c r="W1158" s="475"/>
      <c r="X1158" s="475"/>
      <c r="Y1158" s="475"/>
      <c r="Z1158" s="475"/>
      <c r="AA1158" s="475"/>
      <c r="AB1158" s="475"/>
      <c r="AC1158" s="475"/>
      <c r="AD1158" s="475"/>
      <c r="AE1158" s="475"/>
      <c r="AF1158" s="475"/>
    </row>
    <row r="1159" spans="2:32">
      <c r="B1159" s="471"/>
      <c r="C1159" s="475"/>
      <c r="D1159" s="475"/>
      <c r="E1159" s="475"/>
      <c r="F1159" s="474"/>
      <c r="G1159" s="475"/>
      <c r="H1159" s="474"/>
      <c r="I1159" s="474"/>
      <c r="J1159" s="475"/>
      <c r="K1159" s="475"/>
      <c r="L1159" s="475"/>
      <c r="M1159" s="475"/>
      <c r="N1159" s="475"/>
      <c r="O1159" s="475"/>
      <c r="P1159" s="475"/>
      <c r="Q1159" s="475"/>
      <c r="R1159" s="475"/>
      <c r="S1159" s="475"/>
      <c r="T1159" s="475"/>
      <c r="U1159" s="475"/>
      <c r="V1159" s="475"/>
      <c r="W1159" s="475"/>
      <c r="X1159" s="475"/>
      <c r="Y1159" s="475"/>
      <c r="Z1159" s="475"/>
      <c r="AA1159" s="475"/>
      <c r="AB1159" s="475"/>
      <c r="AC1159" s="475"/>
      <c r="AD1159" s="475"/>
      <c r="AE1159" s="475"/>
      <c r="AF1159" s="475"/>
    </row>
    <row r="1160" spans="2:32">
      <c r="B1160" s="471"/>
      <c r="C1160" s="475"/>
      <c r="D1160" s="475"/>
      <c r="E1160" s="475"/>
      <c r="F1160" s="474"/>
      <c r="G1160" s="475"/>
      <c r="H1160" s="474"/>
      <c r="I1160" s="474"/>
      <c r="J1160" s="475"/>
      <c r="K1160" s="475"/>
      <c r="L1160" s="475"/>
      <c r="M1160" s="475"/>
      <c r="N1160" s="475"/>
      <c r="O1160" s="475"/>
      <c r="P1160" s="475"/>
      <c r="Q1160" s="475"/>
      <c r="R1160" s="475"/>
      <c r="S1160" s="475"/>
      <c r="T1160" s="475"/>
      <c r="U1160" s="475"/>
      <c r="V1160" s="475"/>
      <c r="W1160" s="475"/>
      <c r="X1160" s="475"/>
      <c r="Y1160" s="475"/>
      <c r="Z1160" s="475"/>
      <c r="AA1160" s="475"/>
      <c r="AB1160" s="475"/>
      <c r="AC1160" s="475"/>
      <c r="AD1160" s="475"/>
      <c r="AE1160" s="475"/>
      <c r="AF1160" s="475"/>
    </row>
    <row r="1161" spans="2:32">
      <c r="B1161" s="471"/>
      <c r="C1161" s="475"/>
      <c r="D1161" s="475"/>
      <c r="E1161" s="475"/>
      <c r="F1161" s="474"/>
      <c r="G1161" s="475"/>
      <c r="H1161" s="474"/>
      <c r="I1161" s="474"/>
      <c r="J1161" s="475"/>
      <c r="K1161" s="475"/>
      <c r="L1161" s="475"/>
      <c r="M1161" s="475"/>
      <c r="N1161" s="475"/>
      <c r="O1161" s="475"/>
      <c r="P1161" s="475"/>
      <c r="Q1161" s="475"/>
      <c r="R1161" s="475"/>
      <c r="S1161" s="475"/>
      <c r="T1161" s="475"/>
      <c r="U1161" s="475"/>
      <c r="V1161" s="475"/>
      <c r="W1161" s="475"/>
      <c r="X1161" s="475"/>
      <c r="Y1161" s="475"/>
      <c r="Z1161" s="475"/>
      <c r="AA1161" s="475"/>
      <c r="AB1161" s="475"/>
      <c r="AC1161" s="475"/>
      <c r="AD1161" s="475"/>
      <c r="AE1161" s="475"/>
      <c r="AF1161" s="475"/>
    </row>
    <row r="1162" spans="2:32">
      <c r="B1162" s="471"/>
      <c r="C1162" s="475"/>
      <c r="D1162" s="475"/>
      <c r="E1162" s="475"/>
      <c r="F1162" s="474"/>
      <c r="G1162" s="475"/>
      <c r="H1162" s="474"/>
      <c r="I1162" s="474"/>
      <c r="J1162" s="475"/>
      <c r="K1162" s="475"/>
      <c r="L1162" s="475"/>
      <c r="M1162" s="475"/>
      <c r="N1162" s="475"/>
      <c r="O1162" s="475"/>
      <c r="P1162" s="475"/>
      <c r="Q1162" s="475"/>
      <c r="R1162" s="475"/>
      <c r="S1162" s="475"/>
      <c r="T1162" s="475"/>
      <c r="U1162" s="475"/>
      <c r="V1162" s="475"/>
      <c r="W1162" s="475"/>
      <c r="X1162" s="475"/>
      <c r="Y1162" s="475"/>
      <c r="Z1162" s="475"/>
      <c r="AA1162" s="475"/>
      <c r="AB1162" s="475"/>
      <c r="AC1162" s="475"/>
      <c r="AD1162" s="475"/>
      <c r="AE1162" s="475"/>
      <c r="AF1162" s="475"/>
    </row>
    <row r="1163" spans="2:32">
      <c r="B1163" s="471"/>
      <c r="C1163" s="475"/>
      <c r="D1163" s="475"/>
      <c r="E1163" s="475"/>
      <c r="F1163" s="474"/>
      <c r="G1163" s="475"/>
      <c r="H1163" s="474"/>
      <c r="I1163" s="474"/>
      <c r="J1163" s="475"/>
      <c r="K1163" s="475"/>
      <c r="L1163" s="475"/>
      <c r="M1163" s="475"/>
      <c r="N1163" s="475"/>
      <c r="O1163" s="475"/>
      <c r="P1163" s="475"/>
      <c r="Q1163" s="475"/>
      <c r="R1163" s="475"/>
      <c r="S1163" s="475"/>
      <c r="T1163" s="475"/>
      <c r="U1163" s="475"/>
      <c r="V1163" s="475"/>
      <c r="W1163" s="475"/>
      <c r="X1163" s="475"/>
      <c r="Y1163" s="475"/>
      <c r="Z1163" s="475"/>
      <c r="AA1163" s="475"/>
      <c r="AB1163" s="475"/>
      <c r="AC1163" s="475"/>
      <c r="AD1163" s="475"/>
      <c r="AE1163" s="475"/>
      <c r="AF1163" s="475"/>
    </row>
    <row r="1164" spans="2:32">
      <c r="B1164" s="471"/>
      <c r="C1164" s="475"/>
      <c r="D1164" s="475"/>
      <c r="E1164" s="475"/>
      <c r="F1164" s="474"/>
      <c r="G1164" s="475"/>
      <c r="H1164" s="474"/>
      <c r="I1164" s="474"/>
      <c r="J1164" s="475"/>
      <c r="K1164" s="475"/>
      <c r="L1164" s="475"/>
      <c r="M1164" s="475"/>
      <c r="N1164" s="475"/>
      <c r="O1164" s="475"/>
      <c r="P1164" s="475"/>
      <c r="Q1164" s="475"/>
      <c r="R1164" s="475"/>
      <c r="S1164" s="475"/>
      <c r="T1164" s="475"/>
      <c r="U1164" s="475"/>
      <c r="V1164" s="475"/>
      <c r="W1164" s="475"/>
      <c r="X1164" s="475"/>
      <c r="Y1164" s="475"/>
      <c r="Z1164" s="475"/>
      <c r="AA1164" s="475"/>
      <c r="AB1164" s="475"/>
      <c r="AC1164" s="475"/>
      <c r="AD1164" s="475"/>
      <c r="AE1164" s="475"/>
      <c r="AF1164" s="475"/>
    </row>
    <row r="1165" spans="2:32">
      <c r="B1165" s="471"/>
      <c r="C1165" s="475"/>
      <c r="D1165" s="475"/>
      <c r="E1165" s="475"/>
      <c r="F1165" s="474"/>
      <c r="G1165" s="475"/>
      <c r="H1165" s="474"/>
      <c r="I1165" s="474"/>
      <c r="J1165" s="475"/>
      <c r="K1165" s="475"/>
      <c r="L1165" s="475"/>
      <c r="M1165" s="475"/>
      <c r="N1165" s="475"/>
      <c r="O1165" s="475"/>
      <c r="P1165" s="475"/>
      <c r="Q1165" s="475"/>
      <c r="R1165" s="475"/>
      <c r="S1165" s="475"/>
      <c r="T1165" s="475"/>
      <c r="U1165" s="475"/>
      <c r="V1165" s="475"/>
      <c r="W1165" s="475"/>
      <c r="X1165" s="475"/>
      <c r="Y1165" s="475"/>
      <c r="Z1165" s="475"/>
      <c r="AA1165" s="475"/>
      <c r="AB1165" s="475"/>
      <c r="AC1165" s="475"/>
      <c r="AD1165" s="475"/>
      <c r="AE1165" s="475"/>
      <c r="AF1165" s="475"/>
    </row>
    <row r="1166" spans="2:32">
      <c r="B1166" s="471"/>
      <c r="C1166" s="475"/>
      <c r="D1166" s="475"/>
      <c r="E1166" s="475"/>
      <c r="F1166" s="474"/>
      <c r="G1166" s="475"/>
      <c r="H1166" s="474"/>
      <c r="I1166" s="474"/>
      <c r="J1166" s="475"/>
      <c r="K1166" s="475"/>
      <c r="L1166" s="475"/>
      <c r="M1166" s="475"/>
      <c r="N1166" s="475"/>
      <c r="O1166" s="475"/>
      <c r="P1166" s="475"/>
      <c r="Q1166" s="475"/>
      <c r="R1166" s="475"/>
      <c r="S1166" s="475"/>
      <c r="T1166" s="475"/>
      <c r="U1166" s="475"/>
      <c r="V1166" s="475"/>
      <c r="W1166" s="475"/>
      <c r="X1166" s="475"/>
      <c r="Y1166" s="475"/>
      <c r="Z1166" s="475"/>
      <c r="AA1166" s="475"/>
      <c r="AB1166" s="475"/>
      <c r="AC1166" s="475"/>
      <c r="AD1166" s="475"/>
      <c r="AE1166" s="475"/>
      <c r="AF1166" s="475"/>
    </row>
    <row r="1167" spans="2:32">
      <c r="B1167" s="471"/>
      <c r="C1167" s="475"/>
      <c r="D1167" s="475"/>
      <c r="E1167" s="475"/>
      <c r="F1167" s="474"/>
      <c r="G1167" s="475"/>
      <c r="H1167" s="474"/>
      <c r="I1167" s="474"/>
      <c r="J1167" s="475"/>
      <c r="K1167" s="475"/>
      <c r="L1167" s="475"/>
      <c r="M1167" s="475"/>
      <c r="N1167" s="475"/>
      <c r="O1167" s="475"/>
      <c r="P1167" s="475"/>
      <c r="Q1167" s="475"/>
      <c r="R1167" s="475"/>
      <c r="S1167" s="475"/>
      <c r="T1167" s="475"/>
      <c r="U1167" s="475"/>
      <c r="V1167" s="475"/>
      <c r="W1167" s="475"/>
      <c r="X1167" s="475"/>
      <c r="Y1167" s="475"/>
      <c r="Z1167" s="475"/>
      <c r="AA1167" s="475"/>
      <c r="AB1167" s="475"/>
      <c r="AC1167" s="475"/>
      <c r="AD1167" s="475"/>
      <c r="AE1167" s="475"/>
      <c r="AF1167" s="475"/>
    </row>
    <row r="1168" spans="2:32">
      <c r="B1168" s="471"/>
      <c r="C1168" s="475"/>
      <c r="D1168" s="475"/>
      <c r="E1168" s="475"/>
      <c r="F1168" s="474"/>
      <c r="G1168" s="475"/>
      <c r="H1168" s="474"/>
      <c r="I1168" s="474"/>
      <c r="J1168" s="475"/>
      <c r="K1168" s="475"/>
      <c r="L1168" s="475"/>
      <c r="M1168" s="475"/>
      <c r="N1168" s="475"/>
      <c r="O1168" s="475"/>
      <c r="P1168" s="475"/>
      <c r="Q1168" s="475"/>
      <c r="R1168" s="475"/>
      <c r="S1168" s="475"/>
      <c r="T1168" s="475"/>
      <c r="U1168" s="475"/>
      <c r="V1168" s="475"/>
      <c r="W1168" s="475"/>
      <c r="X1168" s="475"/>
      <c r="Y1168" s="475"/>
      <c r="Z1168" s="475"/>
      <c r="AA1168" s="475"/>
      <c r="AB1168" s="475"/>
      <c r="AC1168" s="475"/>
      <c r="AD1168" s="475"/>
      <c r="AE1168" s="475"/>
      <c r="AF1168" s="475"/>
    </row>
    <row r="1169" spans="2:32">
      <c r="B1169" s="471"/>
      <c r="C1169" s="475"/>
      <c r="D1169" s="475"/>
      <c r="E1169" s="475"/>
      <c r="F1169" s="474"/>
      <c r="G1169" s="475"/>
      <c r="H1169" s="474"/>
      <c r="I1169" s="474"/>
      <c r="J1169" s="475"/>
      <c r="K1169" s="475"/>
      <c r="L1169" s="475"/>
      <c r="M1169" s="475"/>
      <c r="N1169" s="475"/>
      <c r="O1169" s="475"/>
      <c r="P1169" s="475"/>
      <c r="Q1169" s="475"/>
      <c r="R1169" s="475"/>
      <c r="S1169" s="475"/>
      <c r="T1169" s="475"/>
      <c r="U1169" s="475"/>
      <c r="V1169" s="475"/>
      <c r="W1169" s="475"/>
      <c r="X1169" s="475"/>
      <c r="Y1169" s="475"/>
      <c r="Z1169" s="475"/>
      <c r="AA1169" s="475"/>
      <c r="AB1169" s="475"/>
      <c r="AC1169" s="475"/>
      <c r="AD1169" s="475"/>
      <c r="AE1169" s="475"/>
      <c r="AF1169" s="475"/>
    </row>
    <row r="1170" spans="2:32">
      <c r="B1170" s="471"/>
      <c r="C1170" s="475"/>
      <c r="D1170" s="475"/>
      <c r="E1170" s="475"/>
      <c r="F1170" s="474"/>
      <c r="G1170" s="475"/>
      <c r="H1170" s="474"/>
      <c r="I1170" s="474"/>
      <c r="J1170" s="475"/>
      <c r="K1170" s="475"/>
      <c r="L1170" s="475"/>
      <c r="M1170" s="475"/>
      <c r="N1170" s="475"/>
      <c r="O1170" s="475"/>
      <c r="P1170" s="475"/>
      <c r="Q1170" s="475"/>
      <c r="R1170" s="475"/>
      <c r="S1170" s="475"/>
      <c r="T1170" s="475"/>
      <c r="U1170" s="475"/>
      <c r="V1170" s="475"/>
      <c r="W1170" s="475"/>
      <c r="X1170" s="475"/>
      <c r="Y1170" s="475"/>
      <c r="Z1170" s="475"/>
      <c r="AA1170" s="475"/>
      <c r="AB1170" s="475"/>
      <c r="AC1170" s="475"/>
      <c r="AD1170" s="475"/>
      <c r="AE1170" s="475"/>
      <c r="AF1170" s="475"/>
    </row>
    <row r="1171" spans="2:32">
      <c r="B1171" s="471"/>
      <c r="C1171" s="475"/>
      <c r="D1171" s="475"/>
      <c r="E1171" s="475"/>
      <c r="F1171" s="474"/>
      <c r="G1171" s="475"/>
      <c r="H1171" s="474"/>
      <c r="I1171" s="474"/>
      <c r="J1171" s="475"/>
      <c r="K1171" s="475"/>
      <c r="L1171" s="475"/>
      <c r="M1171" s="475"/>
      <c r="N1171" s="475"/>
      <c r="O1171" s="475"/>
      <c r="P1171" s="475"/>
      <c r="Q1171" s="475"/>
      <c r="R1171" s="475"/>
      <c r="S1171" s="475"/>
      <c r="T1171" s="475"/>
      <c r="U1171" s="475"/>
      <c r="V1171" s="475"/>
      <c r="W1171" s="475"/>
      <c r="X1171" s="475"/>
      <c r="Y1171" s="475"/>
      <c r="Z1171" s="475"/>
      <c r="AA1171" s="475"/>
      <c r="AB1171" s="475"/>
      <c r="AC1171" s="475"/>
      <c r="AD1171" s="475"/>
      <c r="AE1171" s="475"/>
      <c r="AF1171" s="475"/>
    </row>
    <row r="1172" spans="2:32">
      <c r="B1172" s="471"/>
      <c r="C1172" s="475"/>
      <c r="D1172" s="475"/>
      <c r="E1172" s="475"/>
      <c r="F1172" s="474"/>
      <c r="G1172" s="475"/>
      <c r="H1172" s="474"/>
      <c r="I1172" s="474"/>
      <c r="J1172" s="475"/>
      <c r="K1172" s="475"/>
      <c r="L1172" s="475"/>
      <c r="M1172" s="475"/>
      <c r="N1172" s="475"/>
      <c r="O1172" s="475"/>
      <c r="P1172" s="475"/>
      <c r="Q1172" s="475"/>
      <c r="R1172" s="475"/>
      <c r="S1172" s="475"/>
      <c r="T1172" s="475"/>
      <c r="U1172" s="475"/>
      <c r="V1172" s="475"/>
      <c r="W1172" s="475"/>
      <c r="X1172" s="475"/>
      <c r="Y1172" s="475"/>
      <c r="Z1172" s="475"/>
      <c r="AA1172" s="475"/>
      <c r="AB1172" s="475"/>
      <c r="AC1172" s="475"/>
      <c r="AD1172" s="475"/>
      <c r="AE1172" s="475"/>
      <c r="AF1172" s="475"/>
    </row>
    <row r="1173" spans="2:32">
      <c r="B1173" s="471"/>
      <c r="C1173" s="475"/>
      <c r="D1173" s="475"/>
      <c r="E1173" s="475"/>
      <c r="F1173" s="474"/>
      <c r="G1173" s="475"/>
      <c r="H1173" s="474"/>
      <c r="I1173" s="474"/>
      <c r="J1173" s="475"/>
      <c r="K1173" s="475"/>
      <c r="L1173" s="475"/>
      <c r="M1173" s="475"/>
      <c r="N1173" s="475"/>
      <c r="O1173" s="475"/>
      <c r="P1173" s="475"/>
      <c r="Q1173" s="475"/>
      <c r="R1173" s="475"/>
      <c r="S1173" s="475"/>
      <c r="T1173" s="475"/>
      <c r="U1173" s="475"/>
      <c r="V1173" s="475"/>
      <c r="W1173" s="475"/>
      <c r="X1173" s="475"/>
      <c r="Y1173" s="475"/>
      <c r="Z1173" s="475"/>
      <c r="AA1173" s="475"/>
      <c r="AB1173" s="475"/>
      <c r="AC1173" s="475"/>
      <c r="AD1173" s="475"/>
      <c r="AE1173" s="475"/>
      <c r="AF1173" s="475"/>
    </row>
    <row r="1174" spans="2:32">
      <c r="B1174" s="471"/>
      <c r="C1174" s="475"/>
      <c r="D1174" s="475"/>
      <c r="E1174" s="475"/>
      <c r="F1174" s="474"/>
      <c r="G1174" s="475"/>
      <c r="H1174" s="474"/>
      <c r="I1174" s="474"/>
      <c r="J1174" s="475"/>
      <c r="K1174" s="475"/>
      <c r="L1174" s="475"/>
      <c r="M1174" s="475"/>
      <c r="N1174" s="475"/>
      <c r="O1174" s="475"/>
      <c r="P1174" s="475"/>
      <c r="Q1174" s="475"/>
      <c r="R1174" s="475"/>
      <c r="S1174" s="475"/>
      <c r="T1174" s="475"/>
      <c r="U1174" s="475"/>
      <c r="V1174" s="475"/>
      <c r="W1174" s="475"/>
      <c r="X1174" s="475"/>
      <c r="Y1174" s="475"/>
      <c r="Z1174" s="475"/>
      <c r="AA1174" s="475"/>
      <c r="AB1174" s="475"/>
      <c r="AC1174" s="475"/>
      <c r="AD1174" s="475"/>
      <c r="AE1174" s="475"/>
      <c r="AF1174" s="475"/>
    </row>
    <row r="1175" spans="2:32">
      <c r="B1175" s="471"/>
      <c r="C1175" s="475"/>
      <c r="D1175" s="475"/>
      <c r="E1175" s="475"/>
      <c r="F1175" s="474"/>
      <c r="G1175" s="475"/>
      <c r="H1175" s="474"/>
      <c r="I1175" s="474"/>
      <c r="J1175" s="475"/>
      <c r="K1175" s="475"/>
      <c r="L1175" s="475"/>
      <c r="M1175" s="475"/>
      <c r="N1175" s="475"/>
      <c r="O1175" s="475"/>
      <c r="P1175" s="475"/>
      <c r="Q1175" s="475"/>
      <c r="R1175" s="475"/>
      <c r="S1175" s="475"/>
      <c r="T1175" s="475"/>
      <c r="U1175" s="475"/>
      <c r="V1175" s="475"/>
      <c r="W1175" s="475"/>
      <c r="X1175" s="475"/>
      <c r="Y1175" s="475"/>
      <c r="Z1175" s="475"/>
      <c r="AA1175" s="475"/>
      <c r="AB1175" s="475"/>
      <c r="AC1175" s="475"/>
      <c r="AD1175" s="475"/>
      <c r="AE1175" s="475"/>
      <c r="AF1175" s="475"/>
    </row>
    <row r="1176" spans="2:32">
      <c r="B1176" s="471"/>
      <c r="C1176" s="475"/>
      <c r="D1176" s="475"/>
      <c r="E1176" s="475"/>
      <c r="F1176" s="474"/>
      <c r="G1176" s="475"/>
      <c r="H1176" s="474"/>
      <c r="I1176" s="474"/>
      <c r="J1176" s="475"/>
      <c r="K1176" s="475"/>
      <c r="L1176" s="475"/>
      <c r="M1176" s="475"/>
      <c r="N1176" s="475"/>
      <c r="O1176" s="475"/>
      <c r="P1176" s="475"/>
      <c r="Q1176" s="475"/>
      <c r="R1176" s="475"/>
      <c r="S1176" s="475"/>
      <c r="T1176" s="475"/>
      <c r="U1176" s="475"/>
      <c r="V1176" s="475"/>
      <c r="W1176" s="475"/>
      <c r="X1176" s="475"/>
      <c r="Y1176" s="475"/>
      <c r="Z1176" s="475"/>
      <c r="AA1176" s="475"/>
      <c r="AB1176" s="475"/>
      <c r="AC1176" s="475"/>
      <c r="AD1176" s="475"/>
      <c r="AE1176" s="475"/>
      <c r="AF1176" s="475"/>
    </row>
    <row r="1177" spans="2:32">
      <c r="B1177" s="471"/>
      <c r="C1177" s="475"/>
      <c r="D1177" s="475"/>
      <c r="E1177" s="475"/>
      <c r="F1177" s="474"/>
      <c r="G1177" s="475"/>
      <c r="H1177" s="474"/>
      <c r="I1177" s="474"/>
      <c r="J1177" s="475"/>
      <c r="K1177" s="475"/>
      <c r="L1177" s="475"/>
      <c r="M1177" s="475"/>
      <c r="N1177" s="475"/>
      <c r="O1177" s="475"/>
      <c r="P1177" s="475"/>
      <c r="Q1177" s="475"/>
      <c r="R1177" s="475"/>
      <c r="S1177" s="475"/>
      <c r="T1177" s="475"/>
      <c r="U1177" s="475"/>
      <c r="V1177" s="475"/>
      <c r="W1177" s="475"/>
      <c r="X1177" s="475"/>
      <c r="Y1177" s="475"/>
      <c r="Z1177" s="475"/>
      <c r="AA1177" s="475"/>
      <c r="AB1177" s="475"/>
      <c r="AC1177" s="475"/>
      <c r="AD1177" s="475"/>
      <c r="AE1177" s="475"/>
      <c r="AF1177" s="475"/>
    </row>
    <row r="1178" spans="2:32">
      <c r="B1178" s="471"/>
      <c r="C1178" s="475"/>
      <c r="D1178" s="475"/>
      <c r="E1178" s="475"/>
      <c r="F1178" s="474"/>
      <c r="G1178" s="475"/>
      <c r="H1178" s="474"/>
      <c r="I1178" s="474"/>
      <c r="J1178" s="475"/>
      <c r="K1178" s="475"/>
      <c r="L1178" s="475"/>
      <c r="M1178" s="475"/>
      <c r="N1178" s="475"/>
      <c r="O1178" s="475"/>
      <c r="P1178" s="475"/>
      <c r="Q1178" s="475"/>
      <c r="R1178" s="475"/>
      <c r="S1178" s="475"/>
      <c r="T1178" s="475"/>
      <c r="U1178" s="475"/>
      <c r="V1178" s="475"/>
      <c r="W1178" s="475"/>
      <c r="X1178" s="475"/>
      <c r="Y1178" s="475"/>
      <c r="Z1178" s="475"/>
      <c r="AA1178" s="475"/>
      <c r="AB1178" s="475"/>
      <c r="AC1178" s="475"/>
      <c r="AD1178" s="475"/>
      <c r="AE1178" s="475"/>
      <c r="AF1178" s="475"/>
    </row>
    <row r="1179" spans="2:32">
      <c r="B1179" s="471"/>
      <c r="C1179" s="475"/>
      <c r="D1179" s="475"/>
      <c r="E1179" s="475"/>
      <c r="F1179" s="474"/>
      <c r="G1179" s="475"/>
      <c r="H1179" s="474"/>
      <c r="I1179" s="474"/>
      <c r="J1179" s="475"/>
      <c r="K1179" s="475"/>
      <c r="L1179" s="475"/>
      <c r="M1179" s="475"/>
      <c r="N1179" s="475"/>
      <c r="O1179" s="475"/>
      <c r="P1179" s="475"/>
      <c r="Q1179" s="475"/>
      <c r="R1179" s="475"/>
      <c r="S1179" s="475"/>
      <c r="T1179" s="475"/>
      <c r="U1179" s="475"/>
      <c r="V1179" s="475"/>
      <c r="W1179" s="475"/>
      <c r="X1179" s="475"/>
      <c r="Y1179" s="475"/>
      <c r="Z1179" s="475"/>
      <c r="AA1179" s="475"/>
      <c r="AB1179" s="475"/>
      <c r="AC1179" s="475"/>
      <c r="AD1179" s="475"/>
      <c r="AE1179" s="475"/>
      <c r="AF1179" s="475"/>
    </row>
    <row r="1180" spans="2:32">
      <c r="B1180" s="471"/>
      <c r="C1180" s="475"/>
      <c r="D1180" s="475"/>
      <c r="E1180" s="475"/>
      <c r="F1180" s="474"/>
      <c r="G1180" s="475"/>
      <c r="H1180" s="474"/>
      <c r="I1180" s="474"/>
      <c r="J1180" s="475"/>
      <c r="K1180" s="475"/>
      <c r="L1180" s="475"/>
      <c r="M1180" s="475"/>
      <c r="N1180" s="475"/>
      <c r="O1180" s="475"/>
      <c r="P1180" s="475"/>
      <c r="Q1180" s="475"/>
      <c r="R1180" s="475"/>
      <c r="S1180" s="475"/>
      <c r="T1180" s="475"/>
      <c r="U1180" s="475"/>
      <c r="V1180" s="475"/>
      <c r="W1180" s="475"/>
      <c r="X1180" s="475"/>
      <c r="Y1180" s="475"/>
      <c r="Z1180" s="475"/>
      <c r="AA1180" s="475"/>
      <c r="AB1180" s="475"/>
      <c r="AC1180" s="475"/>
      <c r="AD1180" s="475"/>
      <c r="AE1180" s="475"/>
      <c r="AF1180" s="475"/>
    </row>
    <row r="1181" spans="2:32">
      <c r="B1181" s="471"/>
      <c r="C1181" s="475"/>
      <c r="D1181" s="475"/>
      <c r="E1181" s="475"/>
      <c r="F1181" s="474"/>
      <c r="G1181" s="475"/>
      <c r="H1181" s="474"/>
      <c r="I1181" s="474"/>
      <c r="J1181" s="475"/>
      <c r="K1181" s="475"/>
      <c r="L1181" s="475"/>
      <c r="M1181" s="475"/>
      <c r="N1181" s="475"/>
      <c r="O1181" s="475"/>
      <c r="P1181" s="475"/>
      <c r="Q1181" s="475"/>
      <c r="R1181" s="475"/>
      <c r="S1181" s="475"/>
      <c r="T1181" s="475"/>
      <c r="U1181" s="475"/>
      <c r="V1181" s="475"/>
      <c r="W1181" s="475"/>
      <c r="X1181" s="475"/>
      <c r="Y1181" s="475"/>
      <c r="Z1181" s="475"/>
      <c r="AA1181" s="475"/>
      <c r="AB1181" s="475"/>
      <c r="AC1181" s="475"/>
      <c r="AD1181" s="475"/>
      <c r="AE1181" s="475"/>
      <c r="AF1181" s="475"/>
    </row>
    <row r="1182" spans="2:32">
      <c r="B1182" s="471"/>
      <c r="C1182" s="475"/>
      <c r="D1182" s="475"/>
      <c r="E1182" s="475"/>
      <c r="F1182" s="474"/>
      <c r="G1182" s="475"/>
      <c r="H1182" s="474"/>
      <c r="I1182" s="474"/>
      <c r="J1182" s="475"/>
      <c r="K1182" s="475"/>
      <c r="L1182" s="475"/>
      <c r="M1182" s="475"/>
      <c r="N1182" s="475"/>
      <c r="O1182" s="475"/>
      <c r="P1182" s="475"/>
      <c r="Q1182" s="475"/>
      <c r="R1182" s="475"/>
      <c r="S1182" s="475"/>
      <c r="T1182" s="475"/>
      <c r="U1182" s="475"/>
      <c r="V1182" s="475"/>
      <c r="W1182" s="475"/>
      <c r="X1182" s="475"/>
      <c r="Y1182" s="475"/>
      <c r="Z1182" s="475"/>
      <c r="AA1182" s="475"/>
      <c r="AB1182" s="475"/>
      <c r="AC1182" s="475"/>
      <c r="AD1182" s="475"/>
      <c r="AE1182" s="475"/>
      <c r="AF1182" s="475"/>
    </row>
    <row r="1183" spans="2:32">
      <c r="B1183" s="471"/>
      <c r="C1183" s="475"/>
      <c r="D1183" s="475"/>
      <c r="E1183" s="475"/>
      <c r="F1183" s="474"/>
      <c r="G1183" s="475"/>
      <c r="H1183" s="474"/>
      <c r="I1183" s="474"/>
      <c r="J1183" s="475"/>
      <c r="K1183" s="475"/>
      <c r="L1183" s="475"/>
      <c r="M1183" s="475"/>
      <c r="N1183" s="475"/>
      <c r="O1183" s="475"/>
      <c r="P1183" s="475"/>
      <c r="Q1183" s="475"/>
      <c r="R1183" s="475"/>
      <c r="S1183" s="475"/>
      <c r="T1183" s="475"/>
      <c r="U1183" s="475"/>
      <c r="V1183" s="475"/>
      <c r="W1183" s="475"/>
      <c r="X1183" s="475"/>
      <c r="Y1183" s="475"/>
      <c r="Z1183" s="475"/>
      <c r="AA1183" s="475"/>
      <c r="AB1183" s="475"/>
      <c r="AC1183" s="475"/>
      <c r="AD1183" s="475"/>
      <c r="AE1183" s="475"/>
      <c r="AF1183" s="475"/>
    </row>
    <row r="1184" spans="2:32">
      <c r="B1184" s="471"/>
      <c r="C1184" s="475"/>
      <c r="D1184" s="475"/>
      <c r="E1184" s="475"/>
      <c r="F1184" s="474"/>
      <c r="G1184" s="475"/>
      <c r="H1184" s="474"/>
      <c r="I1184" s="474"/>
      <c r="J1184" s="475"/>
      <c r="K1184" s="475"/>
      <c r="L1184" s="475"/>
      <c r="M1184" s="475"/>
      <c r="N1184" s="475"/>
      <c r="O1184" s="475"/>
      <c r="P1184" s="475"/>
      <c r="Q1184" s="475"/>
      <c r="R1184" s="475"/>
      <c r="S1184" s="475"/>
      <c r="T1184" s="475"/>
      <c r="U1184" s="475"/>
      <c r="V1184" s="475"/>
      <c r="W1184" s="475"/>
      <c r="X1184" s="475"/>
      <c r="Y1184" s="475"/>
      <c r="Z1184" s="475"/>
      <c r="AA1184" s="475"/>
      <c r="AB1184" s="475"/>
      <c r="AC1184" s="475"/>
      <c r="AD1184" s="475"/>
      <c r="AE1184" s="475"/>
      <c r="AF1184" s="475"/>
    </row>
    <row r="1185" spans="2:32">
      <c r="B1185" s="471"/>
      <c r="C1185" s="475"/>
      <c r="D1185" s="475"/>
      <c r="E1185" s="475"/>
      <c r="F1185" s="474"/>
      <c r="G1185" s="475"/>
      <c r="H1185" s="474"/>
      <c r="I1185" s="474"/>
      <c r="J1185" s="475"/>
      <c r="K1185" s="475"/>
      <c r="L1185" s="475"/>
      <c r="M1185" s="475"/>
      <c r="N1185" s="475"/>
      <c r="O1185" s="475"/>
      <c r="P1185" s="475"/>
      <c r="Q1185" s="475"/>
      <c r="R1185" s="475"/>
      <c r="S1185" s="475"/>
      <c r="T1185" s="475"/>
      <c r="U1185" s="475"/>
      <c r="V1185" s="475"/>
      <c r="W1185" s="475"/>
      <c r="X1185" s="475"/>
      <c r="Y1185" s="475"/>
      <c r="Z1185" s="475"/>
      <c r="AA1185" s="475"/>
      <c r="AB1185" s="475"/>
      <c r="AC1185" s="475"/>
      <c r="AD1185" s="475"/>
      <c r="AE1185" s="475"/>
      <c r="AF1185" s="475"/>
    </row>
    <row r="1186" spans="2:32">
      <c r="B1186" s="471"/>
      <c r="C1186" s="475"/>
      <c r="D1186" s="475"/>
      <c r="E1186" s="475"/>
      <c r="F1186" s="474"/>
      <c r="G1186" s="475"/>
      <c r="H1186" s="474"/>
      <c r="I1186" s="474"/>
      <c r="J1186" s="475"/>
      <c r="K1186" s="475"/>
      <c r="L1186" s="475"/>
      <c r="M1186" s="475"/>
      <c r="N1186" s="475"/>
      <c r="O1186" s="475"/>
      <c r="P1186" s="475"/>
      <c r="Q1186" s="475"/>
      <c r="R1186" s="475"/>
      <c r="S1186" s="475"/>
      <c r="T1186" s="475"/>
      <c r="U1186" s="475"/>
      <c r="V1186" s="475"/>
      <c r="W1186" s="475"/>
      <c r="X1186" s="475"/>
      <c r="Y1186" s="475"/>
      <c r="Z1186" s="475"/>
      <c r="AA1186" s="475"/>
      <c r="AB1186" s="475"/>
      <c r="AC1186" s="475"/>
      <c r="AD1186" s="475"/>
      <c r="AE1186" s="475"/>
      <c r="AF1186" s="475"/>
    </row>
    <row r="1187" spans="2:32">
      <c r="B1187" s="471"/>
      <c r="C1187" s="475"/>
      <c r="D1187" s="475"/>
      <c r="E1187" s="475"/>
      <c r="F1187" s="474"/>
      <c r="G1187" s="475"/>
      <c r="H1187" s="474"/>
      <c r="I1187" s="474"/>
      <c r="J1187" s="475"/>
      <c r="K1187" s="475"/>
      <c r="L1187" s="475"/>
      <c r="M1187" s="475"/>
      <c r="N1187" s="475"/>
      <c r="O1187" s="475"/>
      <c r="P1187" s="475"/>
      <c r="Q1187" s="475"/>
      <c r="R1187" s="475"/>
      <c r="S1187" s="475"/>
      <c r="T1187" s="475"/>
      <c r="U1187" s="475"/>
      <c r="V1187" s="475"/>
      <c r="W1187" s="475"/>
      <c r="X1187" s="475"/>
      <c r="Y1187" s="475"/>
      <c r="Z1187" s="475"/>
      <c r="AA1187" s="475"/>
      <c r="AB1187" s="475"/>
      <c r="AC1187" s="475"/>
      <c r="AD1187" s="475"/>
      <c r="AE1187" s="475"/>
      <c r="AF1187" s="475"/>
    </row>
    <row r="1188" spans="2:32">
      <c r="B1188" s="471"/>
      <c r="C1188" s="475"/>
      <c r="D1188" s="475"/>
      <c r="E1188" s="475"/>
      <c r="F1188" s="474"/>
      <c r="G1188" s="475"/>
      <c r="H1188" s="474"/>
      <c r="I1188" s="474"/>
      <c r="J1188" s="475"/>
      <c r="K1188" s="475"/>
      <c r="L1188" s="475"/>
      <c r="M1188" s="475"/>
      <c r="N1188" s="475"/>
      <c r="O1188" s="475"/>
      <c r="P1188" s="475"/>
      <c r="Q1188" s="475"/>
      <c r="R1188" s="475"/>
      <c r="S1188" s="475"/>
      <c r="T1188" s="475"/>
      <c r="U1188" s="475"/>
      <c r="V1188" s="475"/>
      <c r="W1188" s="475"/>
      <c r="X1188" s="475"/>
      <c r="Y1188" s="475"/>
      <c r="Z1188" s="475"/>
      <c r="AA1188" s="475"/>
      <c r="AB1188" s="475"/>
      <c r="AC1188" s="475"/>
      <c r="AD1188" s="475"/>
      <c r="AE1188" s="475"/>
      <c r="AF1188" s="475"/>
    </row>
    <row r="1189" spans="2:32">
      <c r="B1189" s="471"/>
      <c r="C1189" s="475"/>
      <c r="D1189" s="475"/>
      <c r="E1189" s="475"/>
      <c r="F1189" s="474"/>
      <c r="G1189" s="475"/>
      <c r="H1189" s="474"/>
      <c r="I1189" s="474"/>
      <c r="J1189" s="475"/>
      <c r="K1189" s="475"/>
      <c r="L1189" s="475"/>
      <c r="M1189" s="475"/>
      <c r="N1189" s="475"/>
      <c r="O1189" s="475"/>
      <c r="P1189" s="475"/>
      <c r="Q1189" s="475"/>
      <c r="R1189" s="475"/>
      <c r="S1189" s="475"/>
      <c r="T1189" s="475"/>
      <c r="U1189" s="475"/>
      <c r="V1189" s="475"/>
      <c r="W1189" s="475"/>
      <c r="X1189" s="475"/>
      <c r="Y1189" s="475"/>
      <c r="Z1189" s="475"/>
      <c r="AA1189" s="475"/>
      <c r="AB1189" s="475"/>
      <c r="AC1189" s="475"/>
      <c r="AD1189" s="475"/>
      <c r="AE1189" s="475"/>
      <c r="AF1189" s="475"/>
    </row>
    <row r="1190" spans="2:32">
      <c r="B1190" s="471"/>
      <c r="C1190" s="475"/>
      <c r="D1190" s="475"/>
      <c r="E1190" s="475"/>
      <c r="F1190" s="474"/>
      <c r="G1190" s="475"/>
      <c r="H1190" s="474"/>
      <c r="I1190" s="474"/>
      <c r="J1190" s="475"/>
      <c r="K1190" s="475"/>
      <c r="L1190" s="475"/>
      <c r="M1190" s="475"/>
      <c r="N1190" s="475"/>
      <c r="O1190" s="475"/>
      <c r="P1190" s="475"/>
      <c r="Q1190" s="475"/>
      <c r="R1190" s="475"/>
      <c r="S1190" s="475"/>
      <c r="T1190" s="475"/>
      <c r="U1190" s="475"/>
      <c r="V1190" s="475"/>
      <c r="W1190" s="475"/>
      <c r="X1190" s="475"/>
      <c r="Y1190" s="475"/>
      <c r="Z1190" s="475"/>
      <c r="AA1190" s="475"/>
      <c r="AB1190" s="475"/>
      <c r="AC1190" s="475"/>
      <c r="AD1190" s="475"/>
      <c r="AE1190" s="475"/>
      <c r="AF1190" s="475"/>
    </row>
    <row r="1191" spans="2:32">
      <c r="B1191" s="471"/>
      <c r="C1191" s="475"/>
      <c r="D1191" s="475"/>
      <c r="E1191" s="475"/>
      <c r="F1191" s="474"/>
      <c r="G1191" s="475"/>
      <c r="H1191" s="474"/>
      <c r="I1191" s="474"/>
      <c r="J1191" s="475"/>
      <c r="K1191" s="475"/>
      <c r="L1191" s="475"/>
      <c r="M1191" s="475"/>
      <c r="N1191" s="475"/>
      <c r="O1191" s="475"/>
      <c r="P1191" s="475"/>
      <c r="Q1191" s="475"/>
      <c r="R1191" s="475"/>
      <c r="S1191" s="475"/>
      <c r="T1191" s="475"/>
      <c r="U1191" s="475"/>
      <c r="V1191" s="475"/>
      <c r="W1191" s="475"/>
      <c r="X1191" s="475"/>
      <c r="Y1191" s="475"/>
      <c r="Z1191" s="475"/>
      <c r="AA1191" s="475"/>
      <c r="AB1191" s="475"/>
      <c r="AC1191" s="475"/>
      <c r="AD1191" s="475"/>
      <c r="AE1191" s="475"/>
      <c r="AF1191" s="475"/>
    </row>
    <row r="1192" spans="2:32">
      <c r="B1192" s="471"/>
      <c r="C1192" s="475"/>
      <c r="D1192" s="475"/>
      <c r="E1192" s="475"/>
      <c r="F1192" s="474"/>
      <c r="G1192" s="475"/>
      <c r="H1192" s="474"/>
      <c r="I1192" s="474"/>
      <c r="J1192" s="475"/>
      <c r="K1192" s="475"/>
      <c r="L1192" s="475"/>
      <c r="M1192" s="475"/>
      <c r="N1192" s="475"/>
      <c r="O1192" s="475"/>
      <c r="P1192" s="475"/>
      <c r="Q1192" s="475"/>
      <c r="R1192" s="475"/>
      <c r="S1192" s="475"/>
      <c r="T1192" s="475"/>
      <c r="U1192" s="475"/>
      <c r="V1192" s="475"/>
      <c r="W1192" s="475"/>
      <c r="X1192" s="475"/>
      <c r="Y1192" s="475"/>
      <c r="Z1192" s="475"/>
      <c r="AA1192" s="475"/>
      <c r="AB1192" s="475"/>
      <c r="AC1192" s="475"/>
      <c r="AD1192" s="475"/>
      <c r="AE1192" s="475"/>
      <c r="AF1192" s="475"/>
    </row>
    <row r="1193" spans="2:32">
      <c r="B1193" s="471"/>
      <c r="C1193" s="475"/>
      <c r="D1193" s="475"/>
      <c r="E1193" s="475"/>
      <c r="F1193" s="474"/>
      <c r="G1193" s="475"/>
      <c r="H1193" s="474"/>
      <c r="I1193" s="474"/>
      <c r="J1193" s="475"/>
      <c r="K1193" s="475"/>
      <c r="L1193" s="475"/>
      <c r="M1193" s="475"/>
      <c r="N1193" s="475"/>
      <c r="O1193" s="475"/>
      <c r="P1193" s="475"/>
      <c r="Q1193" s="475"/>
      <c r="R1193" s="475"/>
      <c r="S1193" s="475"/>
      <c r="T1193" s="475"/>
      <c r="U1193" s="475"/>
      <c r="V1193" s="475"/>
      <c r="W1193" s="475"/>
      <c r="X1193" s="475"/>
      <c r="Y1193" s="475"/>
      <c r="Z1193" s="475"/>
      <c r="AA1193" s="475"/>
      <c r="AB1193" s="475"/>
      <c r="AC1193" s="475"/>
      <c r="AD1193" s="475"/>
      <c r="AE1193" s="475"/>
      <c r="AF1193" s="475"/>
    </row>
    <row r="1194" spans="2:32">
      <c r="B1194" s="471"/>
      <c r="C1194" s="475"/>
      <c r="D1194" s="475"/>
      <c r="E1194" s="475"/>
      <c r="F1194" s="474"/>
      <c r="G1194" s="475"/>
      <c r="H1194" s="474"/>
      <c r="I1194" s="474"/>
      <c r="J1194" s="475"/>
      <c r="K1194" s="475"/>
      <c r="L1194" s="475"/>
      <c r="M1194" s="475"/>
      <c r="N1194" s="475"/>
      <c r="O1194" s="475"/>
      <c r="P1194" s="475"/>
      <c r="Q1194" s="475"/>
      <c r="R1194" s="475"/>
      <c r="S1194" s="475"/>
      <c r="T1194" s="475"/>
      <c r="U1194" s="475"/>
      <c r="V1194" s="475"/>
      <c r="W1194" s="475"/>
      <c r="X1194" s="475"/>
      <c r="Y1194" s="475"/>
      <c r="Z1194" s="475"/>
      <c r="AA1194" s="475"/>
      <c r="AB1194" s="475"/>
      <c r="AC1194" s="475"/>
      <c r="AD1194" s="475"/>
      <c r="AE1194" s="475"/>
      <c r="AF1194" s="475"/>
    </row>
    <row r="1195" spans="2:32">
      <c r="B1195" s="471"/>
      <c r="C1195" s="475"/>
      <c r="D1195" s="475"/>
      <c r="E1195" s="475"/>
      <c r="F1195" s="474"/>
      <c r="G1195" s="475"/>
      <c r="H1195" s="474"/>
      <c r="I1195" s="474"/>
      <c r="J1195" s="475"/>
      <c r="K1195" s="475"/>
      <c r="L1195" s="475"/>
      <c r="M1195" s="475"/>
      <c r="N1195" s="475"/>
      <c r="O1195" s="475"/>
      <c r="P1195" s="475"/>
      <c r="Q1195" s="475"/>
      <c r="R1195" s="475"/>
      <c r="S1195" s="475"/>
      <c r="T1195" s="475"/>
      <c r="U1195" s="475"/>
      <c r="V1195" s="475"/>
      <c r="W1195" s="475"/>
      <c r="X1195" s="475"/>
      <c r="Y1195" s="475"/>
      <c r="Z1195" s="475"/>
      <c r="AA1195" s="475"/>
      <c r="AB1195" s="475"/>
      <c r="AC1195" s="475"/>
      <c r="AD1195" s="475"/>
      <c r="AE1195" s="475"/>
      <c r="AF1195" s="475"/>
    </row>
    <row r="1196" spans="2:32">
      <c r="B1196" s="471"/>
      <c r="C1196" s="475"/>
      <c r="D1196" s="475"/>
      <c r="E1196" s="475"/>
      <c r="F1196" s="474"/>
      <c r="G1196" s="475"/>
      <c r="H1196" s="474"/>
      <c r="I1196" s="474"/>
      <c r="J1196" s="475"/>
      <c r="K1196" s="475"/>
      <c r="L1196" s="475"/>
      <c r="M1196" s="475"/>
      <c r="N1196" s="475"/>
      <c r="O1196" s="475"/>
      <c r="P1196" s="475"/>
      <c r="Q1196" s="475"/>
      <c r="R1196" s="475"/>
      <c r="S1196" s="475"/>
      <c r="T1196" s="475"/>
      <c r="U1196" s="475"/>
      <c r="V1196" s="475"/>
      <c r="W1196" s="475"/>
      <c r="X1196" s="475"/>
      <c r="Y1196" s="475"/>
      <c r="Z1196" s="475"/>
      <c r="AA1196" s="475"/>
      <c r="AB1196" s="475"/>
      <c r="AC1196" s="475"/>
      <c r="AD1196" s="475"/>
      <c r="AE1196" s="475"/>
      <c r="AF1196" s="475"/>
    </row>
    <row r="1197" spans="2:32">
      <c r="B1197" s="471"/>
      <c r="C1197" s="475"/>
      <c r="D1197" s="475"/>
      <c r="E1197" s="475"/>
      <c r="F1197" s="474"/>
      <c r="G1197" s="475"/>
      <c r="H1197" s="474"/>
      <c r="I1197" s="474"/>
      <c r="J1197" s="475"/>
      <c r="K1197" s="475"/>
      <c r="L1197" s="475"/>
      <c r="M1197" s="475"/>
      <c r="N1197" s="475"/>
      <c r="O1197" s="475"/>
      <c r="P1197" s="475"/>
      <c r="Q1197" s="475"/>
      <c r="R1197" s="475"/>
      <c r="S1197" s="475"/>
      <c r="T1197" s="475"/>
      <c r="U1197" s="475"/>
      <c r="V1197" s="475"/>
      <c r="W1197" s="475"/>
      <c r="X1197" s="475"/>
      <c r="Y1197" s="475"/>
      <c r="Z1197" s="475"/>
      <c r="AA1197" s="475"/>
      <c r="AB1197" s="475"/>
      <c r="AC1197" s="475"/>
      <c r="AD1197" s="475"/>
      <c r="AE1197" s="475"/>
      <c r="AF1197" s="475"/>
    </row>
    <row r="1198" spans="2:32">
      <c r="B1198" s="471"/>
      <c r="C1198" s="475"/>
      <c r="D1198" s="475"/>
      <c r="E1198" s="475"/>
      <c r="F1198" s="474"/>
      <c r="G1198" s="475"/>
      <c r="H1198" s="474"/>
      <c r="I1198" s="474"/>
      <c r="J1198" s="475"/>
      <c r="K1198" s="475"/>
      <c r="L1198" s="475"/>
      <c r="M1198" s="475"/>
      <c r="N1198" s="475"/>
      <c r="O1198" s="475"/>
      <c r="P1198" s="475"/>
      <c r="Q1198" s="475"/>
      <c r="R1198" s="475"/>
      <c r="S1198" s="475"/>
      <c r="T1198" s="475"/>
      <c r="U1198" s="475"/>
      <c r="V1198" s="475"/>
      <c r="W1198" s="475"/>
      <c r="X1198" s="475"/>
      <c r="Y1198" s="475"/>
      <c r="Z1198" s="475"/>
      <c r="AA1198" s="475"/>
      <c r="AB1198" s="475"/>
      <c r="AC1198" s="475"/>
      <c r="AD1198" s="475"/>
      <c r="AE1198" s="475"/>
      <c r="AF1198" s="475"/>
    </row>
    <row r="1199" spans="2:32">
      <c r="B1199" s="471"/>
      <c r="C1199" s="475"/>
      <c r="D1199" s="475"/>
      <c r="E1199" s="475"/>
      <c r="F1199" s="474"/>
      <c r="G1199" s="475"/>
      <c r="H1199" s="474"/>
      <c r="I1199" s="474"/>
      <c r="J1199" s="475"/>
      <c r="K1199" s="475"/>
      <c r="L1199" s="475"/>
      <c r="M1199" s="475"/>
      <c r="N1199" s="475"/>
      <c r="O1199" s="475"/>
      <c r="P1199" s="475"/>
      <c r="Q1199" s="475"/>
      <c r="R1199" s="475"/>
      <c r="S1199" s="475"/>
      <c r="T1199" s="475"/>
      <c r="U1199" s="475"/>
      <c r="V1199" s="475"/>
      <c r="W1199" s="475"/>
      <c r="X1199" s="475"/>
      <c r="Y1199" s="475"/>
      <c r="Z1199" s="475"/>
      <c r="AA1199" s="475"/>
      <c r="AB1199" s="475"/>
      <c r="AC1199" s="475"/>
      <c r="AD1199" s="475"/>
      <c r="AE1199" s="475"/>
      <c r="AF1199" s="475"/>
    </row>
    <row r="1200" spans="2:32">
      <c r="B1200" s="471"/>
      <c r="C1200" s="475"/>
      <c r="D1200" s="475"/>
      <c r="E1200" s="475"/>
      <c r="F1200" s="474"/>
      <c r="G1200" s="475"/>
      <c r="H1200" s="474"/>
      <c r="I1200" s="474"/>
      <c r="J1200" s="475"/>
      <c r="K1200" s="475"/>
      <c r="L1200" s="475"/>
      <c r="M1200" s="475"/>
      <c r="N1200" s="475"/>
      <c r="O1200" s="475"/>
      <c r="P1200" s="475"/>
      <c r="Q1200" s="475"/>
      <c r="R1200" s="475"/>
      <c r="S1200" s="475"/>
      <c r="T1200" s="475"/>
      <c r="U1200" s="475"/>
      <c r="V1200" s="475"/>
      <c r="W1200" s="475"/>
      <c r="X1200" s="475"/>
      <c r="Y1200" s="475"/>
      <c r="Z1200" s="475"/>
      <c r="AA1200" s="475"/>
      <c r="AB1200" s="475"/>
      <c r="AC1200" s="475"/>
      <c r="AD1200" s="475"/>
      <c r="AE1200" s="475"/>
      <c r="AF1200" s="475"/>
    </row>
    <row r="1201" spans="2:32">
      <c r="B1201" s="471"/>
      <c r="C1201" s="475"/>
      <c r="D1201" s="475"/>
      <c r="E1201" s="475"/>
      <c r="F1201" s="474"/>
      <c r="G1201" s="475"/>
      <c r="H1201" s="474"/>
      <c r="I1201" s="474"/>
      <c r="J1201" s="475"/>
      <c r="K1201" s="475"/>
      <c r="L1201" s="475"/>
      <c r="M1201" s="475"/>
      <c r="N1201" s="475"/>
      <c r="O1201" s="475"/>
      <c r="P1201" s="475"/>
      <c r="Q1201" s="475"/>
      <c r="R1201" s="475"/>
      <c r="S1201" s="475"/>
      <c r="T1201" s="475"/>
      <c r="U1201" s="475"/>
      <c r="V1201" s="475"/>
      <c r="W1201" s="475"/>
      <c r="X1201" s="475"/>
      <c r="Y1201" s="475"/>
      <c r="Z1201" s="475"/>
      <c r="AA1201" s="475"/>
      <c r="AB1201" s="475"/>
      <c r="AC1201" s="475"/>
      <c r="AD1201" s="475"/>
      <c r="AE1201" s="475"/>
      <c r="AF1201" s="475"/>
    </row>
    <row r="1202" spans="2:32">
      <c r="B1202" s="471"/>
      <c r="C1202" s="475"/>
      <c r="D1202" s="475"/>
      <c r="E1202" s="475"/>
      <c r="F1202" s="474"/>
      <c r="G1202" s="475"/>
      <c r="H1202" s="474"/>
      <c r="I1202" s="474"/>
      <c r="J1202" s="475"/>
      <c r="K1202" s="475"/>
      <c r="L1202" s="475"/>
      <c r="M1202" s="475"/>
      <c r="N1202" s="475"/>
      <c r="O1202" s="475"/>
      <c r="P1202" s="475"/>
      <c r="Q1202" s="475"/>
      <c r="R1202" s="475"/>
      <c r="S1202" s="475"/>
      <c r="T1202" s="475"/>
      <c r="U1202" s="475"/>
      <c r="V1202" s="475"/>
      <c r="W1202" s="475"/>
      <c r="X1202" s="475"/>
      <c r="Y1202" s="475"/>
      <c r="Z1202" s="475"/>
      <c r="AA1202" s="475"/>
      <c r="AB1202" s="475"/>
      <c r="AC1202" s="475"/>
      <c r="AD1202" s="475"/>
      <c r="AE1202" s="475"/>
      <c r="AF1202" s="475"/>
    </row>
    <row r="1203" spans="2:32">
      <c r="B1203" s="471"/>
      <c r="C1203" s="475"/>
      <c r="D1203" s="475"/>
      <c r="E1203" s="475"/>
      <c r="F1203" s="474"/>
      <c r="G1203" s="475"/>
      <c r="H1203" s="474"/>
      <c r="I1203" s="474"/>
      <c r="J1203" s="475"/>
      <c r="K1203" s="475"/>
      <c r="L1203" s="475"/>
      <c r="M1203" s="475"/>
      <c r="N1203" s="475"/>
      <c r="O1203" s="475"/>
      <c r="P1203" s="475"/>
      <c r="Q1203" s="475"/>
      <c r="R1203" s="475"/>
      <c r="S1203" s="475"/>
      <c r="T1203" s="475"/>
      <c r="U1203" s="475"/>
      <c r="V1203" s="475"/>
      <c r="W1203" s="475"/>
      <c r="X1203" s="475"/>
      <c r="Y1203" s="475"/>
      <c r="Z1203" s="475"/>
      <c r="AA1203" s="475"/>
      <c r="AB1203" s="475"/>
      <c r="AC1203" s="475"/>
      <c r="AD1203" s="475"/>
      <c r="AE1203" s="475"/>
      <c r="AF1203" s="475"/>
    </row>
    <row r="1204" spans="2:32">
      <c r="B1204" s="471"/>
      <c r="C1204" s="475"/>
      <c r="D1204" s="475"/>
      <c r="E1204" s="475"/>
      <c r="F1204" s="474"/>
      <c r="G1204" s="475"/>
      <c r="H1204" s="474"/>
      <c r="I1204" s="474"/>
      <c r="J1204" s="475"/>
      <c r="K1204" s="475"/>
      <c r="L1204" s="475"/>
      <c r="M1204" s="475"/>
      <c r="N1204" s="475"/>
      <c r="O1204" s="475"/>
      <c r="P1204" s="475"/>
      <c r="Q1204" s="475"/>
      <c r="R1204" s="475"/>
      <c r="S1204" s="475"/>
      <c r="T1204" s="475"/>
      <c r="U1204" s="475"/>
      <c r="V1204" s="475"/>
      <c r="W1204" s="475"/>
      <c r="X1204" s="475"/>
      <c r="Y1204" s="475"/>
      <c r="Z1204" s="475"/>
      <c r="AA1204" s="475"/>
      <c r="AB1204" s="475"/>
      <c r="AC1204" s="475"/>
      <c r="AD1204" s="475"/>
      <c r="AE1204" s="475"/>
      <c r="AF1204" s="475"/>
    </row>
    <row r="1205" spans="2:32">
      <c r="B1205" s="471"/>
      <c r="C1205" s="475"/>
      <c r="D1205" s="475"/>
      <c r="E1205" s="475"/>
      <c r="F1205" s="474"/>
      <c r="G1205" s="475"/>
      <c r="H1205" s="474"/>
      <c r="I1205" s="474"/>
      <c r="J1205" s="475"/>
      <c r="K1205" s="475"/>
      <c r="L1205" s="475"/>
      <c r="M1205" s="475"/>
      <c r="N1205" s="475"/>
      <c r="O1205" s="475"/>
      <c r="P1205" s="475"/>
      <c r="Q1205" s="475"/>
      <c r="R1205" s="475"/>
      <c r="S1205" s="475"/>
      <c r="T1205" s="475"/>
      <c r="U1205" s="475"/>
      <c r="V1205" s="475"/>
      <c r="W1205" s="475"/>
      <c r="X1205" s="475"/>
      <c r="Y1205" s="475"/>
      <c r="Z1205" s="475"/>
      <c r="AA1205" s="475"/>
      <c r="AB1205" s="475"/>
      <c r="AC1205" s="475"/>
      <c r="AD1205" s="475"/>
      <c r="AE1205" s="475"/>
      <c r="AF1205" s="475"/>
    </row>
    <row r="1206" spans="2:32">
      <c r="B1206" s="471"/>
      <c r="C1206" s="475"/>
      <c r="D1206" s="475"/>
      <c r="E1206" s="475"/>
      <c r="F1206" s="474"/>
      <c r="G1206" s="475"/>
      <c r="H1206" s="474"/>
      <c r="I1206" s="474"/>
      <c r="J1206" s="475"/>
      <c r="K1206" s="475"/>
      <c r="L1206" s="475"/>
      <c r="M1206" s="475"/>
      <c r="N1206" s="475"/>
      <c r="O1206" s="475"/>
      <c r="P1206" s="475"/>
      <c r="Q1206" s="475"/>
      <c r="R1206" s="475"/>
      <c r="S1206" s="475"/>
      <c r="T1206" s="475"/>
      <c r="U1206" s="475"/>
      <c r="V1206" s="475"/>
      <c r="W1206" s="475"/>
      <c r="X1206" s="475"/>
      <c r="Y1206" s="475"/>
      <c r="Z1206" s="475"/>
      <c r="AA1206" s="475"/>
      <c r="AB1206" s="475"/>
      <c r="AC1206" s="475"/>
      <c r="AD1206" s="475"/>
      <c r="AE1206" s="475"/>
      <c r="AF1206" s="475"/>
    </row>
    <row r="1207" spans="2:32">
      <c r="B1207" s="471"/>
      <c r="C1207" s="475"/>
      <c r="D1207" s="475"/>
      <c r="E1207" s="475"/>
      <c r="F1207" s="474"/>
      <c r="G1207" s="475"/>
      <c r="H1207" s="474"/>
      <c r="I1207" s="474"/>
      <c r="J1207" s="475"/>
      <c r="K1207" s="475"/>
      <c r="L1207" s="475"/>
      <c r="M1207" s="475"/>
      <c r="N1207" s="475"/>
      <c r="O1207" s="475"/>
      <c r="P1207" s="475"/>
      <c r="Q1207" s="475"/>
      <c r="R1207" s="475"/>
      <c r="S1207" s="475"/>
      <c r="T1207" s="475"/>
      <c r="U1207" s="475"/>
      <c r="V1207" s="475"/>
      <c r="W1207" s="475"/>
      <c r="X1207" s="475"/>
      <c r="Y1207" s="475"/>
      <c r="Z1207" s="475"/>
      <c r="AA1207" s="475"/>
      <c r="AB1207" s="475"/>
      <c r="AC1207" s="475"/>
      <c r="AD1207" s="475"/>
      <c r="AE1207" s="475"/>
      <c r="AF1207" s="475"/>
    </row>
    <row r="1208" spans="2:32">
      <c r="B1208" s="471"/>
      <c r="C1208" s="475"/>
      <c r="D1208" s="475"/>
      <c r="E1208" s="475"/>
      <c r="F1208" s="474"/>
      <c r="G1208" s="475"/>
      <c r="H1208" s="474"/>
      <c r="I1208" s="474"/>
      <c r="J1208" s="475"/>
      <c r="K1208" s="475"/>
      <c r="L1208" s="475"/>
      <c r="M1208" s="475"/>
      <c r="N1208" s="475"/>
      <c r="O1208" s="475"/>
      <c r="P1208" s="475"/>
      <c r="Q1208" s="475"/>
      <c r="R1208" s="475"/>
      <c r="S1208" s="475"/>
      <c r="T1208" s="475"/>
      <c r="U1208" s="475"/>
      <c r="V1208" s="475"/>
      <c r="W1208" s="475"/>
      <c r="X1208" s="475"/>
      <c r="Y1208" s="475"/>
      <c r="Z1208" s="475"/>
      <c r="AA1208" s="475"/>
      <c r="AB1208" s="475"/>
      <c r="AC1208" s="475"/>
      <c r="AD1208" s="475"/>
      <c r="AE1208" s="475"/>
      <c r="AF1208" s="475"/>
    </row>
    <row r="1209" spans="2:32">
      <c r="B1209" s="471"/>
      <c r="C1209" s="475"/>
      <c r="D1209" s="475"/>
      <c r="E1209" s="475"/>
      <c r="F1209" s="474"/>
      <c r="G1209" s="475"/>
      <c r="H1209" s="474"/>
      <c r="I1209" s="474"/>
      <c r="J1209" s="475"/>
      <c r="K1209" s="475"/>
      <c r="L1209" s="475"/>
      <c r="M1209" s="475"/>
      <c r="N1209" s="475"/>
      <c r="O1209" s="475"/>
      <c r="P1209" s="475"/>
      <c r="Q1209" s="475"/>
      <c r="R1209" s="475"/>
      <c r="S1209" s="475"/>
      <c r="T1209" s="475"/>
      <c r="U1209" s="475"/>
      <c r="V1209" s="475"/>
      <c r="W1209" s="475"/>
      <c r="X1209" s="475"/>
      <c r="Y1209" s="475"/>
      <c r="Z1209" s="475"/>
      <c r="AA1209" s="475"/>
      <c r="AB1209" s="475"/>
      <c r="AC1209" s="475"/>
      <c r="AD1209" s="475"/>
      <c r="AE1209" s="475"/>
      <c r="AF1209" s="475"/>
    </row>
    <row r="1210" spans="2:32">
      <c r="B1210" s="471"/>
      <c r="C1210" s="475"/>
      <c r="D1210" s="475"/>
      <c r="E1210" s="475"/>
      <c r="F1210" s="474"/>
      <c r="G1210" s="475"/>
      <c r="H1210" s="474"/>
      <c r="I1210" s="474"/>
      <c r="J1210" s="475"/>
      <c r="K1210" s="475"/>
      <c r="L1210" s="475"/>
      <c r="M1210" s="475"/>
      <c r="N1210" s="475"/>
      <c r="O1210" s="475"/>
      <c r="P1210" s="475"/>
      <c r="Q1210" s="475"/>
      <c r="R1210" s="475"/>
      <c r="S1210" s="475"/>
      <c r="T1210" s="475"/>
      <c r="U1210" s="475"/>
      <c r="V1210" s="475"/>
      <c r="W1210" s="475"/>
      <c r="X1210" s="475"/>
      <c r="Y1210" s="475"/>
      <c r="Z1210" s="475"/>
      <c r="AA1210" s="475"/>
      <c r="AB1210" s="475"/>
      <c r="AC1210" s="475"/>
      <c r="AD1210" s="475"/>
      <c r="AE1210" s="475"/>
      <c r="AF1210" s="475"/>
    </row>
    <row r="1211" spans="2:32">
      <c r="B1211" s="471"/>
      <c r="C1211" s="475"/>
      <c r="D1211" s="475"/>
      <c r="E1211" s="475"/>
      <c r="F1211" s="474"/>
      <c r="G1211" s="475"/>
      <c r="H1211" s="474"/>
      <c r="I1211" s="474"/>
      <c r="J1211" s="475"/>
      <c r="K1211" s="475"/>
      <c r="L1211" s="475"/>
      <c r="M1211" s="475"/>
      <c r="N1211" s="475"/>
      <c r="O1211" s="475"/>
      <c r="P1211" s="475"/>
      <c r="Q1211" s="475"/>
      <c r="R1211" s="475"/>
      <c r="S1211" s="475"/>
      <c r="T1211" s="475"/>
      <c r="U1211" s="475"/>
      <c r="V1211" s="475"/>
      <c r="W1211" s="475"/>
      <c r="X1211" s="475"/>
      <c r="Y1211" s="475"/>
      <c r="Z1211" s="475"/>
      <c r="AA1211" s="475"/>
      <c r="AB1211" s="475"/>
      <c r="AC1211" s="475"/>
      <c r="AD1211" s="475"/>
      <c r="AE1211" s="475"/>
      <c r="AF1211" s="475"/>
    </row>
    <row r="1212" spans="2:32">
      <c r="B1212" s="471"/>
      <c r="C1212" s="475"/>
      <c r="D1212" s="475"/>
      <c r="E1212" s="475"/>
      <c r="F1212" s="474"/>
      <c r="G1212" s="475"/>
      <c r="H1212" s="474"/>
      <c r="I1212" s="474"/>
      <c r="J1212" s="475"/>
      <c r="K1212" s="475"/>
      <c r="L1212" s="475"/>
      <c r="M1212" s="475"/>
      <c r="N1212" s="475"/>
      <c r="O1212" s="475"/>
      <c r="P1212" s="475"/>
      <c r="Q1212" s="475"/>
      <c r="R1212" s="475"/>
      <c r="S1212" s="475"/>
      <c r="T1212" s="475"/>
      <c r="U1212" s="475"/>
      <c r="V1212" s="475"/>
      <c r="W1212" s="475"/>
      <c r="X1212" s="475"/>
      <c r="Y1212" s="475"/>
      <c r="Z1212" s="475"/>
      <c r="AA1212" s="475"/>
      <c r="AB1212" s="475"/>
      <c r="AC1212" s="475"/>
      <c r="AD1212" s="475"/>
      <c r="AE1212" s="475"/>
      <c r="AF1212" s="475"/>
    </row>
    <row r="1213" spans="2:32">
      <c r="B1213" s="471"/>
      <c r="C1213" s="475"/>
      <c r="D1213" s="475"/>
      <c r="E1213" s="475"/>
      <c r="F1213" s="474"/>
      <c r="G1213" s="475"/>
      <c r="H1213" s="474"/>
      <c r="I1213" s="474"/>
      <c r="J1213" s="475"/>
      <c r="K1213" s="475"/>
      <c r="L1213" s="475"/>
      <c r="M1213" s="475"/>
      <c r="N1213" s="475"/>
      <c r="O1213" s="475"/>
      <c r="P1213" s="475"/>
      <c r="Q1213" s="475"/>
      <c r="R1213" s="475"/>
      <c r="S1213" s="475"/>
      <c r="T1213" s="475"/>
      <c r="U1213" s="475"/>
      <c r="V1213" s="475"/>
      <c r="W1213" s="475"/>
      <c r="X1213" s="475"/>
      <c r="Y1213" s="475"/>
      <c r="Z1213" s="475"/>
      <c r="AA1213" s="475"/>
      <c r="AB1213" s="475"/>
      <c r="AC1213" s="475"/>
      <c r="AD1213" s="475"/>
      <c r="AE1213" s="475"/>
      <c r="AF1213" s="475"/>
    </row>
    <row r="1214" spans="2:32">
      <c r="B1214" s="471"/>
      <c r="C1214" s="475"/>
      <c r="D1214" s="475"/>
      <c r="E1214" s="475"/>
      <c r="F1214" s="474"/>
      <c r="G1214" s="475"/>
      <c r="H1214" s="474"/>
      <c r="I1214" s="474"/>
      <c r="J1214" s="475"/>
      <c r="K1214" s="475"/>
      <c r="L1214" s="475"/>
      <c r="M1214" s="475"/>
      <c r="N1214" s="475"/>
      <c r="O1214" s="475"/>
      <c r="P1214" s="475"/>
      <c r="Q1214" s="475"/>
      <c r="R1214" s="475"/>
      <c r="S1214" s="475"/>
      <c r="T1214" s="475"/>
      <c r="U1214" s="475"/>
      <c r="V1214" s="475"/>
      <c r="W1214" s="475"/>
      <c r="X1214" s="475"/>
      <c r="Y1214" s="475"/>
      <c r="Z1214" s="475"/>
      <c r="AA1214" s="475"/>
      <c r="AB1214" s="475"/>
      <c r="AC1214" s="475"/>
      <c r="AD1214" s="475"/>
      <c r="AE1214" s="475"/>
      <c r="AF1214" s="475"/>
    </row>
    <row r="1215" spans="2:32">
      <c r="B1215" s="471"/>
      <c r="C1215" s="475"/>
      <c r="D1215" s="475"/>
      <c r="E1215" s="475"/>
      <c r="F1215" s="474"/>
      <c r="G1215" s="475"/>
      <c r="H1215" s="474"/>
      <c r="I1215" s="474"/>
      <c r="J1215" s="475"/>
      <c r="K1215" s="475"/>
      <c r="L1215" s="475"/>
      <c r="M1215" s="475"/>
      <c r="N1215" s="475"/>
      <c r="O1215" s="475"/>
      <c r="P1215" s="475"/>
      <c r="Q1215" s="475"/>
      <c r="R1215" s="475"/>
      <c r="S1215" s="475"/>
      <c r="T1215" s="475"/>
      <c r="U1215" s="475"/>
      <c r="V1215" s="475"/>
      <c r="W1215" s="475"/>
      <c r="X1215" s="475"/>
      <c r="Y1215" s="475"/>
      <c r="Z1215" s="475"/>
      <c r="AA1215" s="475"/>
      <c r="AB1215" s="475"/>
      <c r="AC1215" s="475"/>
      <c r="AD1215" s="475"/>
      <c r="AE1215" s="475"/>
      <c r="AF1215" s="475"/>
    </row>
    <row r="1216" spans="2:32">
      <c r="B1216" s="471"/>
      <c r="C1216" s="475"/>
      <c r="D1216" s="475"/>
      <c r="E1216" s="475"/>
      <c r="F1216" s="474"/>
      <c r="G1216" s="475"/>
      <c r="H1216" s="474"/>
      <c r="I1216" s="474"/>
      <c r="J1216" s="475"/>
      <c r="K1216" s="475"/>
      <c r="L1216" s="475"/>
      <c r="M1216" s="475"/>
      <c r="N1216" s="475"/>
      <c r="O1216" s="475"/>
      <c r="P1216" s="475"/>
      <c r="Q1216" s="475"/>
      <c r="R1216" s="475"/>
      <c r="S1216" s="475"/>
      <c r="T1216" s="475"/>
      <c r="U1216" s="475"/>
      <c r="V1216" s="475"/>
      <c r="W1216" s="475"/>
      <c r="X1216" s="475"/>
      <c r="Y1216" s="475"/>
      <c r="Z1216" s="475"/>
      <c r="AA1216" s="475"/>
      <c r="AB1216" s="475"/>
      <c r="AC1216" s="475"/>
      <c r="AD1216" s="475"/>
      <c r="AE1216" s="475"/>
      <c r="AF1216" s="475"/>
    </row>
    <row r="1217" spans="2:32">
      <c r="B1217" s="471"/>
      <c r="C1217" s="475"/>
      <c r="D1217" s="475"/>
      <c r="E1217" s="475"/>
      <c r="F1217" s="474"/>
      <c r="G1217" s="475"/>
      <c r="H1217" s="474"/>
      <c r="I1217" s="474"/>
      <c r="J1217" s="475"/>
      <c r="K1217" s="475"/>
      <c r="L1217" s="475"/>
      <c r="M1217" s="475"/>
      <c r="N1217" s="475"/>
      <c r="O1217" s="475"/>
      <c r="P1217" s="475"/>
      <c r="Q1217" s="475"/>
      <c r="R1217" s="475"/>
      <c r="S1217" s="475"/>
      <c r="T1217" s="475"/>
      <c r="U1217" s="475"/>
      <c r="V1217" s="475"/>
      <c r="W1217" s="475"/>
      <c r="X1217" s="475"/>
      <c r="Y1217" s="475"/>
      <c r="Z1217" s="475"/>
      <c r="AA1217" s="475"/>
      <c r="AB1217" s="475"/>
      <c r="AC1217" s="475"/>
      <c r="AD1217" s="475"/>
      <c r="AE1217" s="475"/>
      <c r="AF1217" s="475"/>
    </row>
    <row r="1218" spans="2:32">
      <c r="B1218" s="471"/>
      <c r="C1218" s="475"/>
      <c r="D1218" s="475"/>
      <c r="E1218" s="475"/>
      <c r="F1218" s="474"/>
      <c r="G1218" s="475"/>
      <c r="H1218" s="474"/>
      <c r="I1218" s="474"/>
      <c r="J1218" s="475"/>
      <c r="K1218" s="475"/>
      <c r="L1218" s="475"/>
      <c r="M1218" s="475"/>
      <c r="N1218" s="475"/>
      <c r="O1218" s="475"/>
      <c r="P1218" s="475"/>
      <c r="Q1218" s="475"/>
      <c r="R1218" s="475"/>
      <c r="S1218" s="475"/>
      <c r="T1218" s="475"/>
      <c r="U1218" s="475"/>
      <c r="V1218" s="475"/>
      <c r="W1218" s="475"/>
      <c r="X1218" s="475"/>
      <c r="Y1218" s="475"/>
      <c r="Z1218" s="475"/>
      <c r="AA1218" s="475"/>
      <c r="AB1218" s="475"/>
      <c r="AC1218" s="475"/>
      <c r="AD1218" s="475"/>
      <c r="AE1218" s="475"/>
      <c r="AF1218" s="475"/>
    </row>
    <row r="1219" spans="2:32">
      <c r="B1219" s="471"/>
      <c r="C1219" s="475"/>
      <c r="D1219" s="475"/>
      <c r="E1219" s="475"/>
      <c r="F1219" s="474"/>
      <c r="G1219" s="475"/>
      <c r="H1219" s="474"/>
      <c r="I1219" s="474"/>
      <c r="J1219" s="475"/>
      <c r="K1219" s="475"/>
      <c r="L1219" s="475"/>
      <c r="M1219" s="475"/>
      <c r="N1219" s="475"/>
      <c r="O1219" s="475"/>
      <c r="P1219" s="475"/>
      <c r="Q1219" s="475"/>
      <c r="R1219" s="475"/>
      <c r="S1219" s="475"/>
      <c r="T1219" s="475"/>
      <c r="U1219" s="475"/>
      <c r="V1219" s="475"/>
      <c r="W1219" s="475"/>
      <c r="X1219" s="475"/>
      <c r="Y1219" s="475"/>
      <c r="Z1219" s="475"/>
      <c r="AA1219" s="475"/>
      <c r="AB1219" s="475"/>
      <c r="AC1219" s="475"/>
      <c r="AD1219" s="475"/>
      <c r="AE1219" s="475"/>
      <c r="AF1219" s="475"/>
    </row>
    <row r="1220" spans="2:32">
      <c r="B1220" s="471"/>
      <c r="C1220" s="475"/>
      <c r="D1220" s="475"/>
      <c r="E1220" s="475"/>
      <c r="F1220" s="474"/>
      <c r="G1220" s="475"/>
      <c r="H1220" s="474"/>
      <c r="I1220" s="474"/>
      <c r="J1220" s="475"/>
      <c r="K1220" s="475"/>
      <c r="L1220" s="475"/>
      <c r="M1220" s="475"/>
      <c r="N1220" s="475"/>
      <c r="O1220" s="475"/>
      <c r="P1220" s="475"/>
      <c r="Q1220" s="475"/>
      <c r="R1220" s="475"/>
      <c r="S1220" s="475"/>
      <c r="T1220" s="475"/>
      <c r="U1220" s="475"/>
      <c r="V1220" s="475"/>
      <c r="W1220" s="475"/>
      <c r="X1220" s="475"/>
      <c r="Y1220" s="475"/>
      <c r="Z1220" s="475"/>
      <c r="AA1220" s="475"/>
      <c r="AB1220" s="475"/>
      <c r="AC1220" s="475"/>
      <c r="AD1220" s="475"/>
      <c r="AE1220" s="475"/>
      <c r="AF1220" s="475"/>
    </row>
    <row r="1221" spans="2:32">
      <c r="B1221" s="471"/>
      <c r="C1221" s="475"/>
      <c r="D1221" s="475"/>
      <c r="E1221" s="475"/>
      <c r="F1221" s="474"/>
      <c r="G1221" s="475"/>
      <c r="H1221" s="474"/>
      <c r="I1221" s="474"/>
      <c r="J1221" s="475"/>
      <c r="K1221" s="475"/>
      <c r="L1221" s="475"/>
      <c r="M1221" s="475"/>
      <c r="N1221" s="475"/>
      <c r="O1221" s="475"/>
      <c r="P1221" s="475"/>
      <c r="Q1221" s="475"/>
      <c r="R1221" s="475"/>
      <c r="S1221" s="475"/>
      <c r="T1221" s="475"/>
      <c r="U1221" s="475"/>
      <c r="V1221" s="475"/>
      <c r="W1221" s="475"/>
      <c r="X1221" s="475"/>
      <c r="Y1221" s="475"/>
      <c r="Z1221" s="475"/>
      <c r="AA1221" s="475"/>
      <c r="AB1221" s="475"/>
      <c r="AC1221" s="475"/>
      <c r="AD1221" s="475"/>
      <c r="AE1221" s="475"/>
      <c r="AF1221" s="475"/>
    </row>
    <row r="1222" spans="2:32">
      <c r="B1222" s="471"/>
      <c r="C1222" s="475"/>
      <c r="D1222" s="475"/>
      <c r="E1222" s="475"/>
      <c r="F1222" s="474"/>
      <c r="G1222" s="475"/>
      <c r="H1222" s="474"/>
      <c r="I1222" s="474"/>
      <c r="J1222" s="475"/>
      <c r="K1222" s="475"/>
      <c r="L1222" s="475"/>
      <c r="M1222" s="475"/>
      <c r="N1222" s="475"/>
      <c r="O1222" s="475"/>
      <c r="P1222" s="475"/>
      <c r="Q1222" s="475"/>
      <c r="R1222" s="475"/>
      <c r="S1222" s="475"/>
      <c r="T1222" s="475"/>
      <c r="U1222" s="475"/>
      <c r="V1222" s="475"/>
      <c r="W1222" s="475"/>
      <c r="X1222" s="475"/>
      <c r="Y1222" s="475"/>
      <c r="Z1222" s="475"/>
      <c r="AA1222" s="475"/>
      <c r="AB1222" s="475"/>
      <c r="AC1222" s="475"/>
      <c r="AD1222" s="475"/>
      <c r="AE1222" s="475"/>
      <c r="AF1222" s="475"/>
    </row>
    <row r="1223" spans="2:32">
      <c r="B1223" s="471"/>
      <c r="C1223" s="475"/>
      <c r="D1223" s="475"/>
      <c r="E1223" s="475"/>
      <c r="F1223" s="474"/>
      <c r="G1223" s="475"/>
      <c r="H1223" s="474"/>
      <c r="I1223" s="474"/>
      <c r="J1223" s="475"/>
      <c r="K1223" s="475"/>
      <c r="L1223" s="475"/>
      <c r="M1223" s="475"/>
      <c r="N1223" s="475"/>
      <c r="O1223" s="475"/>
      <c r="P1223" s="475"/>
      <c r="Q1223" s="475"/>
      <c r="R1223" s="475"/>
      <c r="S1223" s="475"/>
      <c r="T1223" s="475"/>
      <c r="U1223" s="475"/>
      <c r="V1223" s="475"/>
      <c r="W1223" s="475"/>
      <c r="X1223" s="475"/>
      <c r="Y1223" s="475"/>
      <c r="Z1223" s="475"/>
      <c r="AA1223" s="475"/>
      <c r="AB1223" s="475"/>
      <c r="AC1223" s="475"/>
      <c r="AD1223" s="475"/>
      <c r="AE1223" s="475"/>
      <c r="AF1223" s="475"/>
    </row>
    <row r="1224" spans="2:32">
      <c r="B1224" s="471"/>
      <c r="C1224" s="475"/>
      <c r="D1224" s="475"/>
      <c r="E1224" s="475"/>
      <c r="F1224" s="474"/>
      <c r="G1224" s="475"/>
      <c r="H1224" s="474"/>
      <c r="I1224" s="474"/>
      <c r="J1224" s="475"/>
      <c r="K1224" s="475"/>
      <c r="L1224" s="475"/>
      <c r="M1224" s="475"/>
      <c r="N1224" s="475"/>
      <c r="O1224" s="475"/>
      <c r="P1224" s="475"/>
      <c r="Q1224" s="475"/>
      <c r="R1224" s="475"/>
      <c r="S1224" s="475"/>
      <c r="T1224" s="475"/>
      <c r="U1224" s="475"/>
      <c r="V1224" s="475"/>
      <c r="W1224" s="475"/>
      <c r="X1224" s="475"/>
      <c r="Y1224" s="475"/>
      <c r="Z1224" s="475"/>
      <c r="AA1224" s="475"/>
      <c r="AB1224" s="475"/>
      <c r="AC1224" s="475"/>
      <c r="AD1224" s="475"/>
      <c r="AE1224" s="475"/>
      <c r="AF1224" s="475"/>
    </row>
    <row r="1225" spans="2:32">
      <c r="B1225" s="471"/>
      <c r="C1225" s="475"/>
      <c r="D1225" s="475"/>
      <c r="E1225" s="475"/>
      <c r="F1225" s="474"/>
      <c r="G1225" s="475"/>
      <c r="H1225" s="474"/>
      <c r="I1225" s="474"/>
      <c r="J1225" s="475"/>
      <c r="K1225" s="475"/>
      <c r="L1225" s="475"/>
      <c r="M1225" s="475"/>
      <c r="N1225" s="475"/>
      <c r="O1225" s="475"/>
      <c r="P1225" s="475"/>
      <c r="Q1225" s="475"/>
      <c r="R1225" s="475"/>
      <c r="S1225" s="475"/>
      <c r="T1225" s="475"/>
      <c r="U1225" s="475"/>
      <c r="V1225" s="475"/>
      <c r="W1225" s="475"/>
      <c r="X1225" s="475"/>
      <c r="Y1225" s="475"/>
      <c r="Z1225" s="475"/>
      <c r="AA1225" s="475"/>
      <c r="AB1225" s="475"/>
      <c r="AC1225" s="475"/>
      <c r="AD1225" s="475"/>
      <c r="AE1225" s="475"/>
      <c r="AF1225" s="475"/>
    </row>
    <row r="1226" spans="2:32">
      <c r="B1226" s="471"/>
      <c r="C1226" s="475"/>
      <c r="D1226" s="475"/>
      <c r="E1226" s="475"/>
      <c r="F1226" s="474"/>
      <c r="G1226" s="475"/>
      <c r="H1226" s="474"/>
      <c r="I1226" s="474"/>
      <c r="J1226" s="475"/>
      <c r="K1226" s="475"/>
      <c r="L1226" s="475"/>
      <c r="M1226" s="475"/>
      <c r="N1226" s="475"/>
      <c r="O1226" s="475"/>
      <c r="P1226" s="475"/>
      <c r="Q1226" s="475"/>
      <c r="R1226" s="475"/>
      <c r="S1226" s="475"/>
      <c r="T1226" s="475"/>
      <c r="U1226" s="475"/>
      <c r="V1226" s="475"/>
      <c r="W1226" s="475"/>
      <c r="X1226" s="475"/>
      <c r="Y1226" s="475"/>
      <c r="Z1226" s="475"/>
      <c r="AA1226" s="475"/>
      <c r="AB1226" s="475"/>
      <c r="AC1226" s="475"/>
      <c r="AD1226" s="475"/>
      <c r="AE1226" s="475"/>
      <c r="AF1226" s="475"/>
    </row>
    <row r="1227" spans="2:32">
      <c r="B1227" s="471"/>
      <c r="C1227" s="475"/>
      <c r="D1227" s="475"/>
      <c r="E1227" s="475"/>
      <c r="F1227" s="474"/>
      <c r="G1227" s="475"/>
      <c r="H1227" s="474"/>
      <c r="I1227" s="474"/>
      <c r="J1227" s="475"/>
      <c r="K1227" s="475"/>
      <c r="L1227" s="475"/>
      <c r="M1227" s="475"/>
      <c r="N1227" s="475"/>
      <c r="O1227" s="475"/>
      <c r="P1227" s="475"/>
      <c r="Q1227" s="475"/>
      <c r="R1227" s="475"/>
      <c r="S1227" s="475"/>
      <c r="T1227" s="475"/>
      <c r="U1227" s="475"/>
      <c r="V1227" s="475"/>
      <c r="W1227" s="475"/>
      <c r="X1227" s="475"/>
      <c r="Y1227" s="475"/>
      <c r="Z1227" s="475"/>
      <c r="AA1227" s="475"/>
      <c r="AB1227" s="475"/>
      <c r="AC1227" s="475"/>
      <c r="AD1227" s="475"/>
      <c r="AE1227" s="475"/>
      <c r="AF1227" s="475"/>
    </row>
    <row r="1228" spans="2:32">
      <c r="B1228" s="471"/>
      <c r="C1228" s="475"/>
      <c r="D1228" s="475"/>
      <c r="E1228" s="475"/>
      <c r="F1228" s="474"/>
      <c r="G1228" s="475"/>
      <c r="H1228" s="474"/>
      <c r="I1228" s="474"/>
      <c r="J1228" s="475"/>
      <c r="K1228" s="475"/>
      <c r="L1228" s="475"/>
      <c r="M1228" s="475"/>
      <c r="N1228" s="475"/>
      <c r="O1228" s="475"/>
      <c r="P1228" s="475"/>
      <c r="Q1228" s="475"/>
      <c r="R1228" s="475"/>
      <c r="S1228" s="475"/>
      <c r="T1228" s="475"/>
      <c r="U1228" s="475"/>
      <c r="V1228" s="475"/>
      <c r="W1228" s="475"/>
      <c r="X1228" s="475"/>
      <c r="Y1228" s="475"/>
      <c r="Z1228" s="475"/>
      <c r="AA1228" s="475"/>
      <c r="AB1228" s="475"/>
      <c r="AC1228" s="475"/>
      <c r="AD1228" s="475"/>
      <c r="AE1228" s="475"/>
      <c r="AF1228" s="475"/>
    </row>
    <row r="1229" spans="2:32">
      <c r="B1229" s="471"/>
      <c r="C1229" s="475"/>
      <c r="D1229" s="475"/>
      <c r="E1229" s="475"/>
      <c r="F1229" s="474"/>
      <c r="G1229" s="475"/>
      <c r="H1229" s="474"/>
      <c r="I1229" s="474"/>
      <c r="J1229" s="475"/>
      <c r="K1229" s="475"/>
      <c r="L1229" s="475"/>
      <c r="M1229" s="475"/>
      <c r="N1229" s="475"/>
      <c r="O1229" s="475"/>
      <c r="P1229" s="475"/>
      <c r="Q1229" s="475"/>
      <c r="R1229" s="475"/>
      <c r="S1229" s="475"/>
      <c r="T1229" s="475"/>
      <c r="U1229" s="475"/>
      <c r="V1229" s="475"/>
      <c r="W1229" s="475"/>
      <c r="X1229" s="475"/>
      <c r="Y1229" s="475"/>
      <c r="Z1229" s="475"/>
      <c r="AA1229" s="475"/>
      <c r="AB1229" s="475"/>
      <c r="AC1229" s="475"/>
      <c r="AD1229" s="475"/>
      <c r="AE1229" s="475"/>
      <c r="AF1229" s="475"/>
    </row>
    <row r="1230" spans="2:32">
      <c r="B1230" s="471"/>
      <c r="C1230" s="475"/>
      <c r="D1230" s="475"/>
      <c r="E1230" s="475"/>
      <c r="F1230" s="474"/>
      <c r="G1230" s="475"/>
      <c r="H1230" s="474"/>
      <c r="I1230" s="474"/>
      <c r="J1230" s="475"/>
      <c r="K1230" s="475"/>
      <c r="L1230" s="475"/>
      <c r="M1230" s="475"/>
      <c r="N1230" s="475"/>
      <c r="O1230" s="475"/>
      <c r="P1230" s="475"/>
      <c r="Q1230" s="475"/>
      <c r="R1230" s="475"/>
      <c r="S1230" s="475"/>
      <c r="T1230" s="475"/>
      <c r="U1230" s="475"/>
      <c r="V1230" s="475"/>
      <c r="W1230" s="475"/>
      <c r="X1230" s="475"/>
      <c r="Y1230" s="475"/>
      <c r="Z1230" s="475"/>
      <c r="AA1230" s="475"/>
      <c r="AB1230" s="475"/>
      <c r="AC1230" s="475"/>
      <c r="AD1230" s="475"/>
      <c r="AE1230" s="475"/>
      <c r="AF1230" s="475"/>
    </row>
    <row r="1231" spans="2:32">
      <c r="B1231" s="471"/>
      <c r="C1231" s="475"/>
      <c r="D1231" s="475"/>
      <c r="E1231" s="475"/>
      <c r="F1231" s="474"/>
      <c r="G1231" s="475"/>
      <c r="H1231" s="474"/>
      <c r="I1231" s="474"/>
      <c r="J1231" s="475"/>
      <c r="K1231" s="475"/>
      <c r="L1231" s="475"/>
      <c r="M1231" s="475"/>
      <c r="N1231" s="475"/>
      <c r="O1231" s="475"/>
      <c r="P1231" s="475"/>
      <c r="Q1231" s="475"/>
      <c r="R1231" s="475"/>
      <c r="S1231" s="475"/>
      <c r="T1231" s="475"/>
      <c r="U1231" s="475"/>
      <c r="V1231" s="475"/>
      <c r="W1231" s="475"/>
      <c r="X1231" s="475"/>
      <c r="Y1231" s="475"/>
      <c r="Z1231" s="475"/>
      <c r="AA1231" s="475"/>
      <c r="AB1231" s="475"/>
      <c r="AC1231" s="475"/>
      <c r="AD1231" s="475"/>
      <c r="AE1231" s="475"/>
      <c r="AF1231" s="475"/>
    </row>
    <row r="1232" spans="2:32">
      <c r="B1232" s="471"/>
      <c r="C1232" s="475"/>
      <c r="D1232" s="475"/>
      <c r="E1232" s="475"/>
      <c r="F1232" s="474"/>
      <c r="G1232" s="475"/>
      <c r="H1232" s="474"/>
      <c r="I1232" s="474"/>
      <c r="J1232" s="475"/>
      <c r="K1232" s="475"/>
      <c r="L1232" s="475"/>
      <c r="M1232" s="475"/>
      <c r="N1232" s="475"/>
      <c r="O1232" s="475"/>
      <c r="P1232" s="475"/>
      <c r="Q1232" s="475"/>
      <c r="R1232" s="475"/>
      <c r="S1232" s="475"/>
      <c r="T1232" s="475"/>
      <c r="U1232" s="475"/>
      <c r="V1232" s="475"/>
      <c r="W1232" s="475"/>
      <c r="X1232" s="475"/>
      <c r="Y1232" s="475"/>
      <c r="Z1232" s="475"/>
      <c r="AA1232" s="475"/>
      <c r="AB1232" s="475"/>
      <c r="AC1232" s="475"/>
      <c r="AD1232" s="475"/>
      <c r="AE1232" s="475"/>
      <c r="AF1232" s="475"/>
    </row>
    <row r="1233" spans="2:32">
      <c r="B1233" s="471"/>
      <c r="C1233" s="475"/>
      <c r="D1233" s="475"/>
      <c r="E1233" s="475"/>
      <c r="F1233" s="474"/>
      <c r="G1233" s="475"/>
      <c r="H1233" s="474"/>
      <c r="I1233" s="474"/>
      <c r="J1233" s="475"/>
      <c r="K1233" s="475"/>
      <c r="L1233" s="475"/>
      <c r="M1233" s="475"/>
      <c r="N1233" s="475"/>
      <c r="O1233" s="475"/>
      <c r="P1233" s="475"/>
      <c r="Q1233" s="475"/>
      <c r="R1233" s="475"/>
      <c r="S1233" s="475"/>
      <c r="T1233" s="475"/>
      <c r="U1233" s="475"/>
      <c r="V1233" s="475"/>
      <c r="W1233" s="475"/>
      <c r="X1233" s="475"/>
      <c r="Y1233" s="475"/>
      <c r="Z1233" s="475"/>
      <c r="AA1233" s="475"/>
      <c r="AB1233" s="475"/>
      <c r="AC1233" s="475"/>
      <c r="AD1233" s="475"/>
      <c r="AE1233" s="475"/>
      <c r="AF1233" s="475"/>
    </row>
    <row r="1234" spans="2:32">
      <c r="B1234" s="471"/>
      <c r="C1234" s="475"/>
      <c r="D1234" s="475"/>
      <c r="E1234" s="475"/>
      <c r="F1234" s="474"/>
      <c r="G1234" s="475"/>
      <c r="H1234" s="474"/>
      <c r="I1234" s="474"/>
      <c r="J1234" s="475"/>
      <c r="K1234" s="475"/>
      <c r="L1234" s="475"/>
      <c r="M1234" s="475"/>
      <c r="N1234" s="475"/>
      <c r="O1234" s="475"/>
      <c r="P1234" s="475"/>
      <c r="Q1234" s="475"/>
      <c r="R1234" s="475"/>
      <c r="S1234" s="475"/>
      <c r="T1234" s="475"/>
      <c r="U1234" s="475"/>
      <c r="V1234" s="475"/>
      <c r="W1234" s="475"/>
      <c r="X1234" s="475"/>
      <c r="Y1234" s="475"/>
      <c r="Z1234" s="475"/>
      <c r="AA1234" s="475"/>
      <c r="AB1234" s="475"/>
      <c r="AC1234" s="475"/>
      <c r="AD1234" s="475"/>
      <c r="AE1234" s="475"/>
      <c r="AF1234" s="475"/>
    </row>
    <row r="1235" spans="2:32">
      <c r="B1235" s="471"/>
      <c r="C1235" s="475"/>
      <c r="D1235" s="475"/>
      <c r="E1235" s="475"/>
      <c r="F1235" s="474"/>
      <c r="G1235" s="475"/>
      <c r="H1235" s="474"/>
      <c r="I1235" s="474"/>
      <c r="J1235" s="475"/>
      <c r="K1235" s="475"/>
      <c r="L1235" s="475"/>
      <c r="M1235" s="475"/>
      <c r="N1235" s="475"/>
      <c r="O1235" s="475"/>
      <c r="P1235" s="475"/>
      <c r="Q1235" s="475"/>
      <c r="R1235" s="475"/>
      <c r="S1235" s="475"/>
      <c r="T1235" s="475"/>
      <c r="U1235" s="475"/>
      <c r="V1235" s="475"/>
      <c r="W1235" s="475"/>
      <c r="X1235" s="475"/>
      <c r="Y1235" s="475"/>
      <c r="Z1235" s="475"/>
      <c r="AA1235" s="475"/>
      <c r="AB1235" s="475"/>
      <c r="AC1235" s="475"/>
      <c r="AD1235" s="475"/>
      <c r="AE1235" s="475"/>
      <c r="AF1235" s="475"/>
    </row>
    <row r="1236" spans="2:32">
      <c r="B1236" s="471"/>
      <c r="C1236" s="475"/>
      <c r="D1236" s="475"/>
      <c r="E1236" s="475"/>
      <c r="F1236" s="474"/>
      <c r="G1236" s="475"/>
      <c r="H1236" s="474"/>
      <c r="I1236" s="474"/>
      <c r="J1236" s="475"/>
      <c r="K1236" s="475"/>
      <c r="L1236" s="475"/>
      <c r="M1236" s="475"/>
      <c r="N1236" s="475"/>
      <c r="O1236" s="475"/>
      <c r="P1236" s="475"/>
      <c r="Q1236" s="475"/>
      <c r="R1236" s="475"/>
      <c r="S1236" s="475"/>
      <c r="T1236" s="475"/>
      <c r="U1236" s="475"/>
      <c r="V1236" s="475"/>
      <c r="W1236" s="475"/>
      <c r="X1236" s="475"/>
      <c r="Y1236" s="475"/>
      <c r="Z1236" s="475"/>
      <c r="AA1236" s="475"/>
      <c r="AB1236" s="475"/>
      <c r="AC1236" s="475"/>
      <c r="AD1236" s="475"/>
      <c r="AE1236" s="475"/>
      <c r="AF1236" s="475"/>
    </row>
    <row r="1237" spans="2:32">
      <c r="B1237" s="471"/>
      <c r="C1237" s="475"/>
      <c r="D1237" s="475"/>
      <c r="E1237" s="475"/>
      <c r="F1237" s="474"/>
      <c r="G1237" s="475"/>
      <c r="H1237" s="474"/>
      <c r="I1237" s="474"/>
      <c r="J1237" s="475"/>
      <c r="K1237" s="475"/>
      <c r="L1237" s="475"/>
      <c r="M1237" s="475"/>
      <c r="N1237" s="475"/>
      <c r="O1237" s="475"/>
      <c r="P1237" s="475"/>
      <c r="Q1237" s="475"/>
      <c r="R1237" s="475"/>
      <c r="S1237" s="475"/>
      <c r="T1237" s="475"/>
      <c r="U1237" s="475"/>
      <c r="V1237" s="475"/>
      <c r="W1237" s="475"/>
      <c r="X1237" s="475"/>
      <c r="Y1237" s="475"/>
      <c r="Z1237" s="475"/>
      <c r="AA1237" s="475"/>
      <c r="AB1237" s="475"/>
      <c r="AC1237" s="475"/>
      <c r="AD1237" s="475"/>
      <c r="AE1237" s="475"/>
      <c r="AF1237" s="475"/>
    </row>
    <row r="1238" spans="2:32">
      <c r="B1238" s="471"/>
      <c r="C1238" s="475"/>
      <c r="D1238" s="475"/>
      <c r="E1238" s="475"/>
      <c r="F1238" s="474"/>
      <c r="G1238" s="475"/>
      <c r="H1238" s="474"/>
      <c r="I1238" s="474"/>
      <c r="J1238" s="475"/>
      <c r="K1238" s="475"/>
      <c r="L1238" s="475"/>
      <c r="M1238" s="475"/>
      <c r="N1238" s="475"/>
      <c r="O1238" s="475"/>
      <c r="P1238" s="475"/>
      <c r="Q1238" s="475"/>
      <c r="R1238" s="475"/>
      <c r="S1238" s="475"/>
      <c r="T1238" s="475"/>
      <c r="U1238" s="475"/>
      <c r="V1238" s="475"/>
      <c r="W1238" s="475"/>
      <c r="X1238" s="475"/>
      <c r="Y1238" s="475"/>
      <c r="Z1238" s="475"/>
      <c r="AA1238" s="475"/>
      <c r="AB1238" s="475"/>
      <c r="AC1238" s="475"/>
      <c r="AD1238" s="475"/>
      <c r="AE1238" s="475"/>
      <c r="AF1238" s="475"/>
    </row>
    <row r="1239" spans="2:32">
      <c r="B1239" s="471"/>
      <c r="C1239" s="475"/>
      <c r="D1239" s="475"/>
      <c r="E1239" s="475"/>
      <c r="F1239" s="474"/>
      <c r="G1239" s="475"/>
      <c r="H1239" s="474"/>
      <c r="I1239" s="474"/>
      <c r="J1239" s="475"/>
      <c r="K1239" s="475"/>
      <c r="L1239" s="475"/>
      <c r="M1239" s="475"/>
      <c r="N1239" s="475"/>
      <c r="O1239" s="475"/>
      <c r="P1239" s="475"/>
      <c r="Q1239" s="475"/>
      <c r="R1239" s="475"/>
      <c r="S1239" s="475"/>
      <c r="T1239" s="475"/>
      <c r="U1239" s="475"/>
      <c r="V1239" s="475"/>
      <c r="W1239" s="475"/>
      <c r="X1239" s="475"/>
      <c r="Y1239" s="475"/>
      <c r="Z1239" s="475"/>
      <c r="AA1239" s="475"/>
      <c r="AB1239" s="475"/>
      <c r="AC1239" s="475"/>
      <c r="AD1239" s="475"/>
      <c r="AE1239" s="475"/>
      <c r="AF1239" s="475"/>
    </row>
    <row r="1240" spans="2:32">
      <c r="B1240" s="471"/>
      <c r="C1240" s="475"/>
      <c r="D1240" s="475"/>
      <c r="E1240" s="475"/>
      <c r="F1240" s="474"/>
      <c r="G1240" s="475"/>
      <c r="H1240" s="474"/>
      <c r="I1240" s="474"/>
      <c r="J1240" s="475"/>
      <c r="K1240" s="475"/>
      <c r="L1240" s="475"/>
      <c r="M1240" s="475"/>
      <c r="N1240" s="475"/>
      <c r="O1240" s="475"/>
      <c r="P1240" s="475"/>
      <c r="Q1240" s="475"/>
      <c r="R1240" s="475"/>
      <c r="S1240" s="475"/>
      <c r="T1240" s="475"/>
      <c r="U1240" s="475"/>
      <c r="V1240" s="475"/>
      <c r="W1240" s="475"/>
      <c r="X1240" s="475"/>
      <c r="Y1240" s="475"/>
      <c r="Z1240" s="475"/>
      <c r="AA1240" s="475"/>
      <c r="AB1240" s="475"/>
      <c r="AC1240" s="475"/>
      <c r="AD1240" s="475"/>
      <c r="AE1240" s="475"/>
      <c r="AF1240" s="475"/>
    </row>
    <row r="1241" spans="2:32">
      <c r="B1241" s="471"/>
      <c r="C1241" s="475"/>
      <c r="D1241" s="475"/>
      <c r="E1241" s="475"/>
      <c r="F1241" s="474"/>
      <c r="G1241" s="475"/>
      <c r="H1241" s="474"/>
      <c r="I1241" s="474"/>
      <c r="J1241" s="475"/>
      <c r="K1241" s="475"/>
      <c r="L1241" s="475"/>
      <c r="M1241" s="475"/>
      <c r="N1241" s="475"/>
      <c r="O1241" s="475"/>
      <c r="P1241" s="475"/>
      <c r="Q1241" s="475"/>
      <c r="R1241" s="475"/>
      <c r="S1241" s="475"/>
      <c r="T1241" s="475"/>
      <c r="U1241" s="475"/>
      <c r="V1241" s="475"/>
      <c r="W1241" s="475"/>
      <c r="X1241" s="475"/>
      <c r="Y1241" s="475"/>
      <c r="Z1241" s="475"/>
      <c r="AA1241" s="475"/>
      <c r="AB1241" s="475"/>
      <c r="AC1241" s="475"/>
      <c r="AD1241" s="475"/>
      <c r="AE1241" s="475"/>
      <c r="AF1241" s="475"/>
    </row>
    <row r="1242" spans="2:32">
      <c r="B1242" s="471"/>
      <c r="C1242" s="475"/>
      <c r="D1242" s="475"/>
      <c r="E1242" s="475"/>
      <c r="F1242" s="474"/>
      <c r="G1242" s="475"/>
      <c r="H1242" s="474"/>
      <c r="I1242" s="474"/>
      <c r="J1242" s="475"/>
      <c r="K1242" s="475"/>
      <c r="L1242" s="475"/>
      <c r="M1242" s="475"/>
      <c r="N1242" s="475"/>
      <c r="O1242" s="475"/>
      <c r="P1242" s="475"/>
      <c r="Q1242" s="475"/>
      <c r="R1242" s="475"/>
      <c r="S1242" s="475"/>
      <c r="T1242" s="475"/>
      <c r="U1242" s="475"/>
      <c r="V1242" s="475"/>
      <c r="W1242" s="475"/>
      <c r="X1242" s="475"/>
      <c r="Y1242" s="475"/>
      <c r="Z1242" s="475"/>
      <c r="AA1242" s="475"/>
      <c r="AB1242" s="475"/>
      <c r="AC1242" s="475"/>
      <c r="AD1242" s="475"/>
      <c r="AE1242" s="475"/>
      <c r="AF1242" s="475"/>
    </row>
    <row r="1243" spans="2:32">
      <c r="B1243" s="471"/>
      <c r="C1243" s="475"/>
      <c r="D1243" s="475"/>
      <c r="E1243" s="475"/>
      <c r="F1243" s="474"/>
      <c r="G1243" s="475"/>
      <c r="H1243" s="474"/>
      <c r="I1243" s="474"/>
      <c r="J1243" s="475"/>
      <c r="K1243" s="475"/>
      <c r="L1243" s="475"/>
      <c r="M1243" s="475"/>
      <c r="N1243" s="475"/>
      <c r="O1243" s="475"/>
      <c r="P1243" s="475"/>
      <c r="Q1243" s="475"/>
      <c r="R1243" s="475"/>
      <c r="S1243" s="475"/>
      <c r="T1243" s="475"/>
      <c r="U1243" s="475"/>
      <c r="V1243" s="475"/>
      <c r="W1243" s="475"/>
      <c r="X1243" s="475"/>
      <c r="Y1243" s="475"/>
      <c r="Z1243" s="475"/>
      <c r="AA1243" s="475"/>
      <c r="AB1243" s="475"/>
      <c r="AC1243" s="475"/>
      <c r="AD1243" s="475"/>
      <c r="AE1243" s="475"/>
      <c r="AF1243" s="475"/>
    </row>
    <row r="1244" spans="2:32">
      <c r="B1244" s="471"/>
      <c r="C1244" s="475"/>
      <c r="D1244" s="475"/>
      <c r="E1244" s="475"/>
      <c r="F1244" s="474"/>
      <c r="G1244" s="475"/>
      <c r="H1244" s="474"/>
      <c r="I1244" s="474"/>
      <c r="J1244" s="475"/>
      <c r="K1244" s="475"/>
      <c r="L1244" s="475"/>
      <c r="M1244" s="475"/>
      <c r="N1244" s="475"/>
      <c r="O1244" s="475"/>
      <c r="P1244" s="475"/>
      <c r="Q1244" s="475"/>
      <c r="R1244" s="475"/>
      <c r="S1244" s="475"/>
      <c r="T1244" s="475"/>
      <c r="U1244" s="475"/>
      <c r="V1244" s="475"/>
      <c r="W1244" s="475"/>
      <c r="X1244" s="475"/>
      <c r="Y1244" s="475"/>
      <c r="Z1244" s="475"/>
      <c r="AA1244" s="475"/>
      <c r="AB1244" s="475"/>
      <c r="AC1244" s="475"/>
      <c r="AD1244" s="475"/>
      <c r="AE1244" s="475"/>
      <c r="AF1244" s="475"/>
    </row>
    <row r="1245" spans="2:32">
      <c r="B1245" s="471"/>
      <c r="C1245" s="475"/>
      <c r="D1245" s="475"/>
      <c r="E1245" s="475"/>
      <c r="F1245" s="474"/>
      <c r="G1245" s="475"/>
      <c r="H1245" s="474"/>
      <c r="I1245" s="474"/>
      <c r="J1245" s="475"/>
      <c r="K1245" s="475"/>
      <c r="L1245" s="475"/>
      <c r="M1245" s="475"/>
      <c r="N1245" s="475"/>
      <c r="O1245" s="475"/>
      <c r="P1245" s="475"/>
      <c r="Q1245" s="475"/>
      <c r="R1245" s="475"/>
      <c r="S1245" s="475"/>
      <c r="T1245" s="475"/>
      <c r="U1245" s="475"/>
      <c r="V1245" s="475"/>
      <c r="W1245" s="475"/>
      <c r="X1245" s="475"/>
      <c r="Y1245" s="475"/>
      <c r="Z1245" s="475"/>
      <c r="AA1245" s="475"/>
      <c r="AB1245" s="475"/>
      <c r="AC1245" s="475"/>
      <c r="AD1245" s="475"/>
      <c r="AE1245" s="475"/>
      <c r="AF1245" s="475"/>
    </row>
    <row r="1246" spans="2:32">
      <c r="B1246" s="471"/>
      <c r="C1246" s="475"/>
      <c r="D1246" s="475"/>
      <c r="E1246" s="475"/>
      <c r="F1246" s="474"/>
      <c r="G1246" s="475"/>
      <c r="H1246" s="474"/>
      <c r="I1246" s="474"/>
      <c r="J1246" s="475"/>
      <c r="K1246" s="475"/>
      <c r="L1246" s="475"/>
      <c r="M1246" s="475"/>
      <c r="N1246" s="475"/>
      <c r="O1246" s="475"/>
      <c r="P1246" s="475"/>
      <c r="Q1246" s="475"/>
      <c r="R1246" s="475"/>
      <c r="S1246" s="475"/>
      <c r="T1246" s="475"/>
      <c r="U1246" s="475"/>
      <c r="V1246" s="475"/>
      <c r="W1246" s="475"/>
      <c r="X1246" s="475"/>
      <c r="Y1246" s="475"/>
      <c r="Z1246" s="475"/>
      <c r="AA1246" s="475"/>
      <c r="AB1246" s="475"/>
      <c r="AC1246" s="475"/>
      <c r="AD1246" s="475"/>
      <c r="AE1246" s="475"/>
      <c r="AF1246" s="475"/>
    </row>
    <row r="1247" spans="2:32">
      <c r="B1247" s="471"/>
      <c r="C1247" s="475"/>
      <c r="D1247" s="475"/>
      <c r="E1247" s="475"/>
      <c r="F1247" s="474"/>
      <c r="G1247" s="475"/>
      <c r="H1247" s="474"/>
      <c r="I1247" s="474"/>
      <c r="J1247" s="475"/>
      <c r="K1247" s="475"/>
      <c r="L1247" s="475"/>
      <c r="M1247" s="475"/>
      <c r="N1247" s="475"/>
      <c r="O1247" s="475"/>
      <c r="P1247" s="475"/>
      <c r="Q1247" s="475"/>
      <c r="R1247" s="475"/>
      <c r="S1247" s="475"/>
      <c r="T1247" s="475"/>
      <c r="U1247" s="475"/>
      <c r="V1247" s="475"/>
      <c r="W1247" s="475"/>
      <c r="X1247" s="475"/>
      <c r="Y1247" s="475"/>
      <c r="Z1247" s="475"/>
      <c r="AA1247" s="475"/>
      <c r="AB1247" s="475"/>
      <c r="AC1247" s="475"/>
      <c r="AD1247" s="475"/>
      <c r="AE1247" s="475"/>
      <c r="AF1247" s="475"/>
    </row>
    <row r="1248" spans="2:32">
      <c r="B1248" s="471"/>
      <c r="C1248" s="475"/>
      <c r="D1248" s="475"/>
      <c r="E1248" s="475"/>
      <c r="F1248" s="474"/>
      <c r="G1248" s="475"/>
      <c r="H1248" s="474"/>
      <c r="I1248" s="474"/>
      <c r="J1248" s="475"/>
      <c r="K1248" s="475"/>
      <c r="L1248" s="475"/>
      <c r="M1248" s="475"/>
      <c r="N1248" s="475"/>
      <c r="O1248" s="475"/>
      <c r="P1248" s="475"/>
      <c r="Q1248" s="475"/>
      <c r="R1248" s="475"/>
      <c r="S1248" s="475"/>
      <c r="T1248" s="475"/>
      <c r="U1248" s="475"/>
      <c r="V1248" s="475"/>
      <c r="W1248" s="475"/>
      <c r="X1248" s="475"/>
      <c r="Y1248" s="475"/>
      <c r="Z1248" s="475"/>
      <c r="AA1248" s="475"/>
      <c r="AB1248" s="475"/>
      <c r="AC1248" s="475"/>
      <c r="AD1248" s="475"/>
      <c r="AE1248" s="475"/>
      <c r="AF1248" s="475"/>
    </row>
    <row r="1249" spans="2:32">
      <c r="B1249" s="471"/>
      <c r="C1249" s="475"/>
      <c r="D1249" s="475"/>
      <c r="E1249" s="475"/>
      <c r="F1249" s="474"/>
      <c r="G1249" s="475"/>
      <c r="H1249" s="474"/>
      <c r="I1249" s="474"/>
      <c r="J1249" s="475"/>
      <c r="K1249" s="475"/>
      <c r="L1249" s="475"/>
      <c r="M1249" s="475"/>
      <c r="N1249" s="475"/>
      <c r="O1249" s="475"/>
      <c r="P1249" s="475"/>
      <c r="Q1249" s="475"/>
      <c r="R1249" s="475"/>
      <c r="S1249" s="475"/>
      <c r="T1249" s="475"/>
      <c r="U1249" s="475"/>
      <c r="V1249" s="475"/>
      <c r="W1249" s="475"/>
      <c r="X1249" s="475"/>
      <c r="Y1249" s="475"/>
      <c r="Z1249" s="475"/>
      <c r="AA1249" s="475"/>
      <c r="AB1249" s="475"/>
      <c r="AC1249" s="475"/>
      <c r="AD1249" s="475"/>
      <c r="AE1249" s="475"/>
      <c r="AF1249" s="475"/>
    </row>
    <row r="1250" spans="2:32">
      <c r="B1250" s="471"/>
      <c r="C1250" s="475"/>
      <c r="D1250" s="475"/>
      <c r="E1250" s="475"/>
      <c r="F1250" s="474"/>
      <c r="G1250" s="475"/>
      <c r="H1250" s="474"/>
      <c r="I1250" s="474"/>
      <c r="J1250" s="475"/>
      <c r="K1250" s="475"/>
      <c r="L1250" s="475"/>
      <c r="M1250" s="475"/>
      <c r="N1250" s="475"/>
      <c r="O1250" s="475"/>
      <c r="P1250" s="475"/>
      <c r="Q1250" s="475"/>
      <c r="R1250" s="475"/>
      <c r="S1250" s="475"/>
      <c r="T1250" s="475"/>
      <c r="U1250" s="475"/>
      <c r="V1250" s="475"/>
      <c r="W1250" s="475"/>
      <c r="X1250" s="475"/>
      <c r="Y1250" s="475"/>
      <c r="Z1250" s="475"/>
      <c r="AA1250" s="475"/>
      <c r="AB1250" s="475"/>
      <c r="AC1250" s="475"/>
      <c r="AD1250" s="475"/>
      <c r="AE1250" s="475"/>
      <c r="AF1250" s="475"/>
    </row>
    <row r="1251" spans="2:32">
      <c r="B1251" s="471"/>
      <c r="C1251" s="475"/>
      <c r="D1251" s="475"/>
      <c r="E1251" s="475"/>
      <c r="F1251" s="474"/>
      <c r="G1251" s="475"/>
      <c r="H1251" s="474"/>
      <c r="I1251" s="474"/>
      <c r="J1251" s="475"/>
      <c r="K1251" s="475"/>
      <c r="L1251" s="475"/>
      <c r="M1251" s="475"/>
      <c r="N1251" s="475"/>
      <c r="O1251" s="475"/>
      <c r="P1251" s="475"/>
      <c r="Q1251" s="475"/>
      <c r="R1251" s="475"/>
      <c r="S1251" s="475"/>
      <c r="T1251" s="475"/>
      <c r="U1251" s="475"/>
      <c r="V1251" s="475"/>
      <c r="W1251" s="475"/>
      <c r="X1251" s="475"/>
      <c r="Y1251" s="475"/>
      <c r="Z1251" s="475"/>
      <c r="AA1251" s="475"/>
      <c r="AB1251" s="475"/>
      <c r="AC1251" s="475"/>
      <c r="AD1251" s="475"/>
      <c r="AE1251" s="475"/>
      <c r="AF1251" s="475"/>
    </row>
    <row r="1252" spans="2:32">
      <c r="B1252" s="471"/>
      <c r="C1252" s="475"/>
      <c r="D1252" s="475"/>
      <c r="E1252" s="475"/>
      <c r="F1252" s="474"/>
      <c r="G1252" s="475"/>
      <c r="H1252" s="474"/>
      <c r="I1252" s="474"/>
      <c r="J1252" s="475"/>
      <c r="K1252" s="475"/>
      <c r="L1252" s="475"/>
      <c r="M1252" s="475"/>
      <c r="N1252" s="475"/>
      <c r="O1252" s="475"/>
      <c r="P1252" s="475"/>
      <c r="Q1252" s="475"/>
      <c r="R1252" s="475"/>
      <c r="S1252" s="475"/>
      <c r="T1252" s="475"/>
      <c r="U1252" s="475"/>
      <c r="V1252" s="475"/>
      <c r="W1252" s="475"/>
      <c r="X1252" s="475"/>
      <c r="Y1252" s="475"/>
      <c r="Z1252" s="475"/>
      <c r="AA1252" s="475"/>
      <c r="AB1252" s="475"/>
      <c r="AC1252" s="475"/>
      <c r="AD1252" s="475"/>
      <c r="AE1252" s="475"/>
      <c r="AF1252" s="475"/>
    </row>
    <row r="1253" spans="2:32">
      <c r="B1253" s="471"/>
      <c r="C1253" s="475"/>
      <c r="D1253" s="475"/>
      <c r="E1253" s="475"/>
      <c r="F1253" s="474"/>
      <c r="G1253" s="475"/>
      <c r="H1253" s="474"/>
      <c r="I1253" s="474"/>
      <c r="J1253" s="475"/>
      <c r="K1253" s="475"/>
      <c r="L1253" s="475"/>
      <c r="M1253" s="475"/>
      <c r="N1253" s="475"/>
      <c r="O1253" s="475"/>
      <c r="P1253" s="475"/>
      <c r="Q1253" s="475"/>
      <c r="R1253" s="475"/>
      <c r="S1253" s="475"/>
      <c r="T1253" s="475"/>
      <c r="U1253" s="475"/>
      <c r="V1253" s="475"/>
      <c r="W1253" s="475"/>
      <c r="X1253" s="475"/>
      <c r="Y1253" s="475"/>
      <c r="Z1253" s="475"/>
      <c r="AA1253" s="475"/>
      <c r="AB1253" s="475"/>
      <c r="AC1253" s="475"/>
      <c r="AD1253" s="475"/>
      <c r="AE1253" s="475"/>
      <c r="AF1253" s="475"/>
    </row>
    <row r="1254" spans="2:32">
      <c r="B1254" s="471"/>
      <c r="C1254" s="475"/>
      <c r="D1254" s="475"/>
      <c r="E1254" s="475"/>
      <c r="F1254" s="474"/>
      <c r="G1254" s="475"/>
      <c r="H1254" s="474"/>
      <c r="I1254" s="474"/>
      <c r="J1254" s="475"/>
      <c r="K1254" s="475"/>
      <c r="L1254" s="475"/>
      <c r="M1254" s="475"/>
      <c r="N1254" s="475"/>
      <c r="O1254" s="475"/>
      <c r="P1254" s="475"/>
      <c r="Q1254" s="475"/>
      <c r="R1254" s="475"/>
      <c r="S1254" s="475"/>
      <c r="T1254" s="475"/>
      <c r="U1254" s="475"/>
      <c r="V1254" s="475"/>
      <c r="W1254" s="475"/>
      <c r="X1254" s="475"/>
      <c r="Y1254" s="475"/>
      <c r="Z1254" s="475"/>
      <c r="AA1254" s="475"/>
      <c r="AB1254" s="475"/>
      <c r="AC1254" s="475"/>
      <c r="AD1254" s="475"/>
      <c r="AE1254" s="475"/>
      <c r="AF1254" s="475"/>
    </row>
    <row r="1255" spans="2:32">
      <c r="B1255" s="471"/>
      <c r="C1255" s="475"/>
      <c r="D1255" s="475"/>
      <c r="E1255" s="475"/>
      <c r="F1255" s="474"/>
      <c r="G1255" s="475"/>
      <c r="H1255" s="474"/>
      <c r="I1255" s="474"/>
      <c r="J1255" s="475"/>
      <c r="K1255" s="475"/>
      <c r="L1255" s="475"/>
      <c r="M1255" s="475"/>
      <c r="N1255" s="475"/>
      <c r="O1255" s="475"/>
      <c r="P1255" s="475"/>
      <c r="Q1255" s="475"/>
      <c r="R1255" s="475"/>
      <c r="S1255" s="475"/>
      <c r="T1255" s="475"/>
      <c r="U1255" s="475"/>
      <c r="V1255" s="475"/>
      <c r="W1255" s="475"/>
      <c r="X1255" s="475"/>
      <c r="Y1255" s="475"/>
      <c r="Z1255" s="475"/>
      <c r="AA1255" s="475"/>
      <c r="AB1255" s="475"/>
      <c r="AC1255" s="475"/>
      <c r="AD1255" s="475"/>
      <c r="AE1255" s="475"/>
      <c r="AF1255" s="475"/>
    </row>
    <row r="1256" spans="2:32">
      <c r="B1256" s="471"/>
      <c r="C1256" s="475"/>
      <c r="D1256" s="475"/>
      <c r="E1256" s="475"/>
      <c r="F1256" s="474"/>
      <c r="G1256" s="475"/>
      <c r="H1256" s="474"/>
      <c r="I1256" s="474"/>
      <c r="J1256" s="475"/>
      <c r="K1256" s="475"/>
      <c r="L1256" s="475"/>
      <c r="M1256" s="475"/>
      <c r="N1256" s="475"/>
      <c r="O1256" s="475"/>
      <c r="P1256" s="475"/>
      <c r="Q1256" s="475"/>
      <c r="R1256" s="475"/>
      <c r="S1256" s="475"/>
      <c r="T1256" s="475"/>
      <c r="U1256" s="475"/>
      <c r="V1256" s="475"/>
      <c r="W1256" s="475"/>
      <c r="X1256" s="475"/>
      <c r="Y1256" s="475"/>
      <c r="Z1256" s="475"/>
      <c r="AA1256" s="475"/>
      <c r="AB1256" s="475"/>
      <c r="AC1256" s="475"/>
      <c r="AD1256" s="475"/>
      <c r="AE1256" s="475"/>
      <c r="AF1256" s="475"/>
    </row>
    <row r="1257" spans="2:32">
      <c r="B1257" s="471"/>
      <c r="C1257" s="475"/>
      <c r="D1257" s="475"/>
      <c r="E1257" s="475"/>
      <c r="F1257" s="474"/>
      <c r="G1257" s="475"/>
      <c r="H1257" s="474"/>
      <c r="I1257" s="474"/>
      <c r="J1257" s="475"/>
      <c r="K1257" s="475"/>
      <c r="L1257" s="475"/>
      <c r="M1257" s="475"/>
      <c r="N1257" s="475"/>
      <c r="O1257" s="475"/>
      <c r="P1257" s="475"/>
      <c r="Q1257" s="475"/>
      <c r="R1257" s="475"/>
      <c r="S1257" s="475"/>
      <c r="T1257" s="475"/>
      <c r="U1257" s="475"/>
      <c r="V1257" s="475"/>
      <c r="W1257" s="475"/>
      <c r="X1257" s="475"/>
      <c r="Y1257" s="475"/>
      <c r="Z1257" s="475"/>
      <c r="AA1257" s="475"/>
      <c r="AB1257" s="475"/>
      <c r="AC1257" s="475"/>
      <c r="AD1257" s="475"/>
      <c r="AE1257" s="475"/>
      <c r="AF1257" s="475"/>
    </row>
    <row r="1258" spans="2:32">
      <c r="B1258" s="471"/>
      <c r="C1258" s="475"/>
      <c r="D1258" s="475"/>
      <c r="E1258" s="475"/>
      <c r="F1258" s="474"/>
      <c r="G1258" s="475"/>
      <c r="H1258" s="474"/>
      <c r="I1258" s="474"/>
      <c r="J1258" s="475"/>
      <c r="K1258" s="475"/>
      <c r="L1258" s="475"/>
      <c r="M1258" s="475"/>
      <c r="N1258" s="475"/>
      <c r="O1258" s="475"/>
      <c r="P1258" s="475"/>
      <c r="Q1258" s="475"/>
      <c r="R1258" s="475"/>
      <c r="S1258" s="475"/>
      <c r="T1258" s="475"/>
      <c r="U1258" s="475"/>
      <c r="V1258" s="475"/>
      <c r="W1258" s="475"/>
      <c r="X1258" s="475"/>
      <c r="Y1258" s="475"/>
      <c r="Z1258" s="475"/>
      <c r="AA1258" s="475"/>
      <c r="AB1258" s="475"/>
      <c r="AC1258" s="475"/>
      <c r="AD1258" s="475"/>
      <c r="AE1258" s="475"/>
      <c r="AF1258" s="475"/>
    </row>
    <row r="1259" spans="2:32">
      <c r="B1259" s="471"/>
      <c r="C1259" s="475"/>
      <c r="D1259" s="475"/>
      <c r="E1259" s="475"/>
      <c r="F1259" s="474"/>
      <c r="G1259" s="475"/>
      <c r="H1259" s="474"/>
      <c r="I1259" s="474"/>
      <c r="J1259" s="475"/>
      <c r="K1259" s="475"/>
      <c r="L1259" s="475"/>
      <c r="M1259" s="475"/>
      <c r="N1259" s="475"/>
      <c r="O1259" s="475"/>
      <c r="P1259" s="475"/>
      <c r="Q1259" s="475"/>
      <c r="R1259" s="475"/>
      <c r="S1259" s="475"/>
      <c r="T1259" s="475"/>
      <c r="U1259" s="475"/>
      <c r="V1259" s="475"/>
      <c r="W1259" s="475"/>
      <c r="X1259" s="475"/>
      <c r="Y1259" s="475"/>
      <c r="Z1259" s="475"/>
      <c r="AA1259" s="475"/>
      <c r="AB1259" s="475"/>
      <c r="AC1259" s="475"/>
      <c r="AD1259" s="475"/>
      <c r="AE1259" s="475"/>
      <c r="AF1259" s="475"/>
    </row>
    <row r="1260" spans="2:32">
      <c r="B1260" s="471"/>
      <c r="C1260" s="475"/>
      <c r="D1260" s="475"/>
      <c r="E1260" s="475"/>
      <c r="F1260" s="474"/>
      <c r="G1260" s="475"/>
      <c r="H1260" s="474"/>
      <c r="I1260" s="474"/>
      <c r="J1260" s="475"/>
      <c r="K1260" s="475"/>
      <c r="L1260" s="475"/>
      <c r="M1260" s="475"/>
      <c r="N1260" s="475"/>
      <c r="O1260" s="475"/>
      <c r="P1260" s="475"/>
      <c r="Q1260" s="475"/>
      <c r="R1260" s="475"/>
      <c r="S1260" s="475"/>
      <c r="T1260" s="475"/>
      <c r="U1260" s="475"/>
      <c r="V1260" s="475"/>
      <c r="W1260" s="475"/>
      <c r="X1260" s="475"/>
      <c r="Y1260" s="475"/>
      <c r="Z1260" s="475"/>
      <c r="AA1260" s="475"/>
      <c r="AB1260" s="475"/>
      <c r="AC1260" s="475"/>
      <c r="AD1260" s="475"/>
      <c r="AE1260" s="475"/>
      <c r="AF1260" s="475"/>
    </row>
    <row r="1261" spans="2:32">
      <c r="B1261" s="471"/>
      <c r="C1261" s="475"/>
      <c r="D1261" s="475"/>
      <c r="E1261" s="475"/>
      <c r="F1261" s="474"/>
      <c r="G1261" s="475"/>
      <c r="H1261" s="474"/>
      <c r="I1261" s="474"/>
      <c r="J1261" s="475"/>
      <c r="K1261" s="475"/>
      <c r="L1261" s="475"/>
      <c r="M1261" s="475"/>
      <c r="N1261" s="475"/>
      <c r="O1261" s="475"/>
      <c r="P1261" s="475"/>
      <c r="Q1261" s="475"/>
      <c r="R1261" s="475"/>
      <c r="S1261" s="475"/>
      <c r="T1261" s="475"/>
      <c r="U1261" s="475"/>
      <c r="V1261" s="475"/>
      <c r="W1261" s="475"/>
      <c r="X1261" s="475"/>
      <c r="Y1261" s="475"/>
      <c r="Z1261" s="475"/>
      <c r="AA1261" s="475"/>
      <c r="AB1261" s="475"/>
      <c r="AC1261" s="475"/>
      <c r="AD1261" s="475"/>
      <c r="AE1261" s="475"/>
      <c r="AF1261" s="475"/>
    </row>
    <row r="1262" spans="2:32">
      <c r="B1262" s="471"/>
      <c r="C1262" s="475"/>
      <c r="D1262" s="475"/>
      <c r="E1262" s="475"/>
      <c r="F1262" s="474"/>
      <c r="G1262" s="475"/>
      <c r="H1262" s="474"/>
      <c r="I1262" s="474"/>
      <c r="J1262" s="475"/>
      <c r="K1262" s="475"/>
      <c r="L1262" s="475"/>
      <c r="M1262" s="475"/>
      <c r="N1262" s="475"/>
      <c r="O1262" s="475"/>
      <c r="P1262" s="475"/>
      <c r="Q1262" s="475"/>
      <c r="R1262" s="475"/>
      <c r="S1262" s="475"/>
      <c r="T1262" s="475"/>
      <c r="U1262" s="475"/>
      <c r="V1262" s="475"/>
      <c r="W1262" s="475"/>
      <c r="X1262" s="475"/>
      <c r="Y1262" s="475"/>
      <c r="Z1262" s="475"/>
      <c r="AA1262" s="475"/>
      <c r="AB1262" s="475"/>
      <c r="AC1262" s="475"/>
      <c r="AD1262" s="475"/>
      <c r="AE1262" s="475"/>
      <c r="AF1262" s="475"/>
    </row>
    <row r="1263" spans="2:32">
      <c r="B1263" s="471"/>
      <c r="C1263" s="475"/>
      <c r="D1263" s="475"/>
      <c r="E1263" s="475"/>
      <c r="F1263" s="474"/>
      <c r="G1263" s="475"/>
      <c r="H1263" s="474"/>
      <c r="I1263" s="474"/>
      <c r="J1263" s="475"/>
      <c r="K1263" s="475"/>
      <c r="L1263" s="475"/>
      <c r="M1263" s="475"/>
      <c r="N1263" s="475"/>
      <c r="O1263" s="475"/>
      <c r="P1263" s="475"/>
      <c r="Q1263" s="475"/>
      <c r="R1263" s="475"/>
      <c r="S1263" s="475"/>
      <c r="T1263" s="475"/>
      <c r="U1263" s="475"/>
      <c r="V1263" s="475"/>
      <c r="W1263" s="475"/>
      <c r="X1263" s="475"/>
      <c r="Y1263" s="475"/>
      <c r="Z1263" s="475"/>
      <c r="AA1263" s="475"/>
      <c r="AB1263" s="475"/>
      <c r="AC1263" s="475"/>
      <c r="AD1263" s="475"/>
      <c r="AE1263" s="475"/>
      <c r="AF1263" s="475"/>
    </row>
    <row r="1264" spans="2:32">
      <c r="B1264" s="471"/>
      <c r="C1264" s="475"/>
      <c r="D1264" s="475"/>
      <c r="E1264" s="475"/>
      <c r="F1264" s="474"/>
      <c r="G1264" s="475"/>
      <c r="H1264" s="474"/>
      <c r="I1264" s="474"/>
      <c r="J1264" s="475"/>
      <c r="K1264" s="475"/>
      <c r="L1264" s="475"/>
      <c r="M1264" s="475"/>
      <c r="N1264" s="475"/>
      <c r="O1264" s="475"/>
      <c r="P1264" s="475"/>
      <c r="Q1264" s="475"/>
      <c r="R1264" s="475"/>
      <c r="S1264" s="475"/>
      <c r="T1264" s="475"/>
      <c r="U1264" s="475"/>
      <c r="V1264" s="475"/>
      <c r="W1264" s="475"/>
      <c r="X1264" s="475"/>
      <c r="Y1264" s="475"/>
      <c r="Z1264" s="475"/>
      <c r="AA1264" s="475"/>
      <c r="AB1264" s="475"/>
      <c r="AC1264" s="475"/>
      <c r="AD1264" s="475"/>
      <c r="AE1264" s="475"/>
      <c r="AF1264" s="475"/>
    </row>
    <row r="1265" spans="2:32">
      <c r="B1265" s="471"/>
      <c r="C1265" s="475"/>
      <c r="D1265" s="475"/>
      <c r="E1265" s="475"/>
      <c r="F1265" s="474"/>
      <c r="G1265" s="475"/>
      <c r="H1265" s="474"/>
      <c r="I1265" s="474"/>
      <c r="J1265" s="475"/>
      <c r="K1265" s="475"/>
      <c r="L1265" s="475"/>
      <c r="M1265" s="475"/>
      <c r="N1265" s="475"/>
      <c r="O1265" s="475"/>
      <c r="P1265" s="475"/>
      <c r="Q1265" s="475"/>
      <c r="R1265" s="475"/>
      <c r="S1265" s="475"/>
      <c r="T1265" s="475"/>
      <c r="U1265" s="475"/>
      <c r="V1265" s="475"/>
      <c r="W1265" s="475"/>
      <c r="X1265" s="475"/>
      <c r="Y1265" s="475"/>
      <c r="Z1265" s="475"/>
      <c r="AA1265" s="475"/>
      <c r="AB1265" s="475"/>
      <c r="AC1265" s="475"/>
      <c r="AD1265" s="475"/>
      <c r="AE1265" s="475"/>
      <c r="AF1265" s="475"/>
    </row>
    <row r="1266" spans="2:32">
      <c r="B1266" s="471"/>
      <c r="C1266" s="475"/>
      <c r="D1266" s="475"/>
      <c r="E1266" s="475"/>
      <c r="F1266" s="474"/>
      <c r="G1266" s="475"/>
      <c r="H1266" s="474"/>
      <c r="I1266" s="474"/>
      <c r="J1266" s="475"/>
      <c r="K1266" s="475"/>
      <c r="L1266" s="475"/>
      <c r="M1266" s="475"/>
      <c r="N1266" s="475"/>
      <c r="O1266" s="475"/>
      <c r="P1266" s="475"/>
      <c r="Q1266" s="475"/>
      <c r="R1266" s="475"/>
      <c r="S1266" s="475"/>
      <c r="T1266" s="475"/>
      <c r="U1266" s="475"/>
      <c r="V1266" s="475"/>
      <c r="W1266" s="475"/>
      <c r="X1266" s="475"/>
      <c r="Y1266" s="475"/>
      <c r="Z1266" s="475"/>
      <c r="AA1266" s="475"/>
      <c r="AB1266" s="475"/>
      <c r="AC1266" s="475"/>
      <c r="AD1266" s="475"/>
      <c r="AE1266" s="475"/>
      <c r="AF1266" s="475"/>
    </row>
    <row r="1267" spans="2:32">
      <c r="B1267" s="471"/>
      <c r="C1267" s="475"/>
      <c r="D1267" s="475"/>
      <c r="E1267" s="475"/>
      <c r="F1267" s="474"/>
      <c r="G1267" s="475"/>
      <c r="H1267" s="474"/>
      <c r="I1267" s="474"/>
      <c r="J1267" s="475"/>
      <c r="K1267" s="475"/>
      <c r="L1267" s="475"/>
      <c r="M1267" s="475"/>
      <c r="N1267" s="475"/>
      <c r="O1267" s="475"/>
      <c r="P1267" s="475"/>
      <c r="Q1267" s="475"/>
      <c r="R1267" s="475"/>
      <c r="S1267" s="475"/>
      <c r="T1267" s="475"/>
      <c r="U1267" s="475"/>
      <c r="V1267" s="475"/>
      <c r="W1267" s="475"/>
      <c r="X1267" s="475"/>
      <c r="Y1267" s="475"/>
      <c r="Z1267" s="475"/>
      <c r="AA1267" s="475"/>
      <c r="AB1267" s="475"/>
      <c r="AC1267" s="475"/>
      <c r="AD1267" s="475"/>
      <c r="AE1267" s="475"/>
      <c r="AF1267" s="475"/>
    </row>
    <row r="1268" spans="2:32">
      <c r="B1268" s="471"/>
      <c r="C1268" s="475"/>
      <c r="D1268" s="475"/>
      <c r="E1268" s="475"/>
      <c r="F1268" s="474"/>
      <c r="G1268" s="475"/>
      <c r="H1268" s="474"/>
      <c r="I1268" s="474"/>
      <c r="J1268" s="475"/>
      <c r="K1268" s="475"/>
      <c r="L1268" s="475"/>
      <c r="M1268" s="475"/>
      <c r="N1268" s="475"/>
      <c r="O1268" s="475"/>
      <c r="P1268" s="475"/>
      <c r="Q1268" s="475"/>
      <c r="R1268" s="475"/>
      <c r="S1268" s="475"/>
      <c r="T1268" s="475"/>
      <c r="U1268" s="475"/>
      <c r="V1268" s="475"/>
      <c r="W1268" s="475"/>
      <c r="X1268" s="475"/>
      <c r="Y1268" s="475"/>
      <c r="Z1268" s="475"/>
      <c r="AA1268" s="475"/>
      <c r="AB1268" s="475"/>
      <c r="AC1268" s="475"/>
      <c r="AD1268" s="475"/>
      <c r="AE1268" s="475"/>
      <c r="AF1268" s="475"/>
    </row>
    <row r="1269" spans="2:32">
      <c r="B1269" s="471"/>
      <c r="C1269" s="475"/>
      <c r="D1269" s="475"/>
      <c r="E1269" s="475"/>
      <c r="F1269" s="474"/>
      <c r="G1269" s="475"/>
      <c r="H1269" s="474"/>
      <c r="I1269" s="474"/>
      <c r="J1269" s="475"/>
      <c r="K1269" s="475"/>
      <c r="L1269" s="475"/>
      <c r="M1269" s="475"/>
      <c r="N1269" s="475"/>
      <c r="O1269" s="475"/>
      <c r="P1269" s="475"/>
      <c r="Q1269" s="475"/>
      <c r="R1269" s="475"/>
      <c r="S1269" s="475"/>
      <c r="T1269" s="475"/>
      <c r="U1269" s="475"/>
      <c r="V1269" s="475"/>
      <c r="W1269" s="475"/>
      <c r="X1269" s="475"/>
      <c r="Y1269" s="475"/>
      <c r="Z1269" s="475"/>
      <c r="AA1269" s="475"/>
      <c r="AB1269" s="475"/>
      <c r="AC1269" s="475"/>
      <c r="AD1269" s="475"/>
      <c r="AE1269" s="475"/>
      <c r="AF1269" s="475"/>
    </row>
    <row r="1270" spans="2:32">
      <c r="B1270" s="471"/>
      <c r="C1270" s="475"/>
      <c r="D1270" s="475"/>
      <c r="E1270" s="475"/>
      <c r="F1270" s="474"/>
      <c r="G1270" s="475"/>
      <c r="H1270" s="474"/>
      <c r="I1270" s="474"/>
      <c r="J1270" s="475"/>
      <c r="K1270" s="475"/>
      <c r="L1270" s="475"/>
      <c r="M1270" s="475"/>
      <c r="N1270" s="475"/>
      <c r="O1270" s="475"/>
      <c r="P1270" s="475"/>
      <c r="Q1270" s="475"/>
      <c r="R1270" s="475"/>
      <c r="S1270" s="475"/>
      <c r="T1270" s="475"/>
      <c r="U1270" s="475"/>
      <c r="V1270" s="475"/>
      <c r="W1270" s="475"/>
      <c r="X1270" s="475"/>
      <c r="Y1270" s="475"/>
      <c r="Z1270" s="475"/>
      <c r="AA1270" s="475"/>
      <c r="AB1270" s="475"/>
      <c r="AC1270" s="475"/>
      <c r="AD1270" s="475"/>
      <c r="AE1270" s="475"/>
      <c r="AF1270" s="475"/>
    </row>
    <row r="1271" spans="2:32">
      <c r="B1271" s="471"/>
      <c r="C1271" s="475"/>
      <c r="D1271" s="475"/>
      <c r="E1271" s="475"/>
      <c r="F1271" s="474"/>
      <c r="G1271" s="475"/>
      <c r="H1271" s="474"/>
      <c r="I1271" s="474"/>
      <c r="J1271" s="475"/>
      <c r="K1271" s="475"/>
      <c r="L1271" s="475"/>
      <c r="M1271" s="475"/>
      <c r="N1271" s="475"/>
      <c r="O1271" s="475"/>
      <c r="P1271" s="475"/>
      <c r="Q1271" s="475"/>
      <c r="R1271" s="475"/>
      <c r="S1271" s="475"/>
      <c r="T1271" s="475"/>
      <c r="U1271" s="475"/>
      <c r="V1271" s="475"/>
      <c r="W1271" s="475"/>
      <c r="X1271" s="475"/>
      <c r="Y1271" s="475"/>
      <c r="Z1271" s="475"/>
      <c r="AA1271" s="475"/>
      <c r="AB1271" s="475"/>
      <c r="AC1271" s="475"/>
      <c r="AD1271" s="475"/>
      <c r="AE1271" s="475"/>
      <c r="AF1271" s="475"/>
    </row>
    <row r="1272" spans="2:32">
      <c r="B1272" s="471"/>
      <c r="C1272" s="475"/>
      <c r="D1272" s="475"/>
      <c r="E1272" s="475"/>
      <c r="F1272" s="474"/>
      <c r="G1272" s="475"/>
      <c r="H1272" s="474"/>
      <c r="I1272" s="474"/>
      <c r="J1272" s="475"/>
      <c r="K1272" s="475"/>
      <c r="L1272" s="475"/>
      <c r="M1272" s="475"/>
      <c r="N1272" s="475"/>
      <c r="O1272" s="475"/>
      <c r="P1272" s="475"/>
      <c r="Q1272" s="475"/>
      <c r="R1272" s="475"/>
      <c r="S1272" s="475"/>
      <c r="T1272" s="475"/>
      <c r="U1272" s="475"/>
      <c r="V1272" s="475"/>
      <c r="W1272" s="475"/>
      <c r="X1272" s="475"/>
      <c r="Y1272" s="475"/>
      <c r="Z1272" s="475"/>
      <c r="AA1272" s="475"/>
      <c r="AB1272" s="475"/>
      <c r="AC1272" s="475"/>
      <c r="AD1272" s="475"/>
      <c r="AE1272" s="475"/>
      <c r="AF1272" s="475"/>
    </row>
    <row r="1273" spans="2:32">
      <c r="B1273" s="471"/>
      <c r="C1273" s="475"/>
      <c r="D1273" s="475"/>
      <c r="E1273" s="475"/>
      <c r="F1273" s="474"/>
      <c r="G1273" s="475"/>
      <c r="H1273" s="474"/>
      <c r="I1273" s="474"/>
      <c r="J1273" s="475"/>
      <c r="K1273" s="475"/>
      <c r="L1273" s="475"/>
      <c r="M1273" s="475"/>
      <c r="N1273" s="475"/>
      <c r="O1273" s="475"/>
      <c r="P1273" s="475"/>
      <c r="Q1273" s="475"/>
      <c r="R1273" s="475"/>
      <c r="S1273" s="475"/>
      <c r="T1273" s="475"/>
      <c r="U1273" s="475"/>
      <c r="V1273" s="475"/>
      <c r="W1273" s="475"/>
      <c r="X1273" s="475"/>
      <c r="Y1273" s="475"/>
      <c r="Z1273" s="475"/>
      <c r="AA1273" s="475"/>
      <c r="AB1273" s="475"/>
      <c r="AC1273" s="475"/>
      <c r="AD1273" s="475"/>
      <c r="AE1273" s="475"/>
      <c r="AF1273" s="475"/>
    </row>
    <row r="1274" spans="2:32">
      <c r="B1274" s="471"/>
      <c r="C1274" s="475"/>
      <c r="D1274" s="475"/>
      <c r="E1274" s="475"/>
      <c r="F1274" s="474"/>
      <c r="G1274" s="475"/>
      <c r="H1274" s="474"/>
      <c r="I1274" s="474"/>
      <c r="J1274" s="475"/>
      <c r="K1274" s="475"/>
      <c r="L1274" s="475"/>
      <c r="M1274" s="475"/>
      <c r="N1274" s="475"/>
      <c r="O1274" s="475"/>
      <c r="P1274" s="475"/>
      <c r="Q1274" s="475"/>
      <c r="R1274" s="475"/>
      <c r="S1274" s="475"/>
      <c r="T1274" s="475"/>
      <c r="U1274" s="475"/>
      <c r="V1274" s="475"/>
      <c r="W1274" s="475"/>
      <c r="X1274" s="475"/>
      <c r="Y1274" s="475"/>
      <c r="Z1274" s="475"/>
      <c r="AA1274" s="475"/>
      <c r="AB1274" s="475"/>
      <c r="AC1274" s="475"/>
      <c r="AD1274" s="475"/>
      <c r="AE1274" s="475"/>
      <c r="AF1274" s="475"/>
    </row>
    <row r="1275" spans="2:32">
      <c r="B1275" s="471"/>
      <c r="C1275" s="475"/>
      <c r="D1275" s="475"/>
      <c r="E1275" s="475"/>
      <c r="F1275" s="474"/>
      <c r="G1275" s="475"/>
      <c r="H1275" s="474"/>
      <c r="I1275" s="474"/>
      <c r="J1275" s="475"/>
      <c r="K1275" s="475"/>
      <c r="L1275" s="475"/>
      <c r="M1275" s="475"/>
      <c r="N1275" s="475"/>
      <c r="O1275" s="475"/>
      <c r="P1275" s="475"/>
      <c r="Q1275" s="475"/>
      <c r="R1275" s="475"/>
      <c r="S1275" s="475"/>
      <c r="T1275" s="475"/>
      <c r="U1275" s="475"/>
      <c r="V1275" s="475"/>
      <c r="W1275" s="475"/>
      <c r="X1275" s="475"/>
      <c r="Y1275" s="475"/>
      <c r="Z1275" s="475"/>
      <c r="AA1275" s="475"/>
      <c r="AB1275" s="475"/>
      <c r="AC1275" s="475"/>
      <c r="AD1275" s="475"/>
      <c r="AE1275" s="475"/>
      <c r="AF1275" s="475"/>
    </row>
    <row r="1276" spans="2:32">
      <c r="B1276" s="471"/>
      <c r="C1276" s="475"/>
      <c r="D1276" s="475"/>
      <c r="E1276" s="475"/>
      <c r="F1276" s="474"/>
      <c r="G1276" s="475"/>
      <c r="H1276" s="474"/>
      <c r="I1276" s="474"/>
      <c r="J1276" s="475"/>
      <c r="K1276" s="475"/>
      <c r="L1276" s="475"/>
      <c r="M1276" s="475"/>
      <c r="N1276" s="475"/>
      <c r="O1276" s="475"/>
      <c r="P1276" s="475"/>
      <c r="Q1276" s="475"/>
      <c r="R1276" s="475"/>
      <c r="S1276" s="475"/>
      <c r="T1276" s="475"/>
      <c r="U1276" s="475"/>
      <c r="V1276" s="475"/>
      <c r="W1276" s="475"/>
      <c r="X1276" s="475"/>
      <c r="Y1276" s="475"/>
      <c r="Z1276" s="475"/>
      <c r="AA1276" s="475"/>
      <c r="AB1276" s="475"/>
      <c r="AC1276" s="475"/>
      <c r="AD1276" s="475"/>
      <c r="AE1276" s="475"/>
      <c r="AF1276" s="475"/>
    </row>
    <row r="1277" spans="2:32">
      <c r="B1277" s="471"/>
      <c r="C1277" s="475"/>
      <c r="D1277" s="475"/>
      <c r="E1277" s="475"/>
      <c r="F1277" s="474"/>
      <c r="G1277" s="475"/>
      <c r="H1277" s="474"/>
      <c r="I1277" s="474"/>
      <c r="J1277" s="475"/>
      <c r="K1277" s="475"/>
      <c r="L1277" s="475"/>
      <c r="M1277" s="475"/>
      <c r="N1277" s="475"/>
      <c r="O1277" s="475"/>
      <c r="P1277" s="475"/>
      <c r="Q1277" s="475"/>
      <c r="R1277" s="475"/>
      <c r="S1277" s="475"/>
      <c r="T1277" s="475"/>
      <c r="U1277" s="475"/>
      <c r="V1277" s="475"/>
      <c r="W1277" s="475"/>
      <c r="X1277" s="475"/>
      <c r="Y1277" s="475"/>
      <c r="Z1277" s="475"/>
      <c r="AA1277" s="475"/>
      <c r="AB1277" s="475"/>
      <c r="AC1277" s="475"/>
      <c r="AD1277" s="475"/>
      <c r="AE1277" s="475"/>
      <c r="AF1277" s="475"/>
    </row>
    <row r="1278" spans="2:32">
      <c r="B1278" s="471"/>
      <c r="C1278" s="475"/>
      <c r="D1278" s="475"/>
      <c r="E1278" s="475"/>
      <c r="F1278" s="474"/>
      <c r="G1278" s="475"/>
      <c r="H1278" s="474"/>
      <c r="I1278" s="474"/>
      <c r="J1278" s="475"/>
      <c r="K1278" s="475"/>
      <c r="L1278" s="475"/>
      <c r="M1278" s="475"/>
      <c r="N1278" s="475"/>
      <c r="O1278" s="475"/>
      <c r="P1278" s="475"/>
      <c r="Q1278" s="475"/>
      <c r="R1278" s="475"/>
      <c r="S1278" s="475"/>
      <c r="T1278" s="475"/>
      <c r="U1278" s="475"/>
      <c r="V1278" s="475"/>
      <c r="W1278" s="475"/>
      <c r="X1278" s="475"/>
      <c r="Y1278" s="475"/>
      <c r="Z1278" s="475"/>
      <c r="AA1278" s="475"/>
      <c r="AB1278" s="475"/>
      <c r="AC1278" s="475"/>
      <c r="AD1278" s="475"/>
      <c r="AE1278" s="475"/>
      <c r="AF1278" s="475"/>
    </row>
    <row r="1279" spans="2:32">
      <c r="B1279" s="471"/>
      <c r="C1279" s="475"/>
      <c r="D1279" s="475"/>
      <c r="E1279" s="475"/>
      <c r="F1279" s="474"/>
      <c r="G1279" s="475"/>
      <c r="H1279" s="474"/>
      <c r="I1279" s="474"/>
      <c r="J1279" s="475"/>
      <c r="K1279" s="475"/>
      <c r="L1279" s="475"/>
      <c r="M1279" s="475"/>
      <c r="N1279" s="475"/>
      <c r="O1279" s="475"/>
      <c r="P1279" s="475"/>
      <c r="Q1279" s="475"/>
      <c r="R1279" s="475"/>
      <c r="S1279" s="475"/>
      <c r="T1279" s="475"/>
      <c r="U1279" s="475"/>
      <c r="V1279" s="475"/>
      <c r="W1279" s="475"/>
      <c r="X1279" s="475"/>
      <c r="Y1279" s="475"/>
      <c r="Z1279" s="475"/>
      <c r="AA1279" s="475"/>
      <c r="AB1279" s="475"/>
      <c r="AC1279" s="475"/>
      <c r="AD1279" s="475"/>
      <c r="AE1279" s="475"/>
      <c r="AF1279" s="475"/>
    </row>
    <row r="1280" spans="2:32">
      <c r="B1280" s="471"/>
      <c r="C1280" s="475"/>
      <c r="D1280" s="475"/>
      <c r="E1280" s="475"/>
      <c r="F1280" s="474"/>
      <c r="G1280" s="475"/>
      <c r="H1280" s="474"/>
      <c r="I1280" s="474"/>
      <c r="J1280" s="475"/>
      <c r="K1280" s="475"/>
      <c r="L1280" s="475"/>
      <c r="M1280" s="475"/>
      <c r="N1280" s="475"/>
      <c r="O1280" s="475"/>
      <c r="P1280" s="475"/>
      <c r="Q1280" s="475"/>
      <c r="R1280" s="475"/>
      <c r="S1280" s="475"/>
      <c r="T1280" s="475"/>
      <c r="U1280" s="475"/>
      <c r="V1280" s="475"/>
      <c r="W1280" s="475"/>
      <c r="X1280" s="475"/>
      <c r="Y1280" s="475"/>
      <c r="Z1280" s="475"/>
      <c r="AA1280" s="475"/>
      <c r="AB1280" s="475"/>
      <c r="AC1280" s="475"/>
      <c r="AD1280" s="475"/>
      <c r="AE1280" s="475"/>
      <c r="AF1280" s="475"/>
    </row>
    <row r="1281" spans="2:32">
      <c r="B1281" s="471"/>
      <c r="C1281" s="475"/>
      <c r="D1281" s="475"/>
      <c r="E1281" s="475"/>
      <c r="F1281" s="474"/>
      <c r="G1281" s="475"/>
      <c r="H1281" s="474"/>
      <c r="I1281" s="474"/>
      <c r="J1281" s="475"/>
      <c r="K1281" s="475"/>
      <c r="L1281" s="475"/>
      <c r="M1281" s="475"/>
      <c r="N1281" s="475"/>
      <c r="O1281" s="475"/>
      <c r="P1281" s="475"/>
      <c r="Q1281" s="475"/>
      <c r="R1281" s="475"/>
      <c r="S1281" s="475"/>
      <c r="T1281" s="475"/>
      <c r="U1281" s="475"/>
      <c r="V1281" s="475"/>
      <c r="W1281" s="475"/>
      <c r="X1281" s="475"/>
      <c r="Y1281" s="475"/>
      <c r="Z1281" s="475"/>
      <c r="AA1281" s="475"/>
      <c r="AB1281" s="475"/>
      <c r="AC1281" s="475"/>
      <c r="AD1281" s="475"/>
      <c r="AE1281" s="475"/>
      <c r="AF1281" s="475"/>
    </row>
    <row r="1282" spans="2:32">
      <c r="B1282" s="471"/>
      <c r="C1282" s="475"/>
      <c r="D1282" s="475"/>
      <c r="E1282" s="475"/>
      <c r="F1282" s="474"/>
      <c r="G1282" s="475"/>
      <c r="H1282" s="474"/>
      <c r="I1282" s="474"/>
      <c r="J1282" s="475"/>
      <c r="K1282" s="475"/>
      <c r="L1282" s="475"/>
      <c r="M1282" s="475"/>
      <c r="N1282" s="475"/>
      <c r="O1282" s="475"/>
      <c r="P1282" s="475"/>
      <c r="Q1282" s="475"/>
      <c r="R1282" s="475"/>
      <c r="S1282" s="475"/>
      <c r="T1282" s="475"/>
      <c r="U1282" s="475"/>
      <c r="V1282" s="475"/>
      <c r="W1282" s="475"/>
      <c r="X1282" s="475"/>
      <c r="Y1282" s="475"/>
      <c r="Z1282" s="475"/>
      <c r="AA1282" s="475"/>
      <c r="AB1282" s="475"/>
      <c r="AC1282" s="475"/>
      <c r="AD1282" s="475"/>
      <c r="AE1282" s="475"/>
      <c r="AF1282" s="475"/>
    </row>
    <row r="1283" spans="2:32">
      <c r="B1283" s="471"/>
      <c r="C1283" s="475"/>
      <c r="D1283" s="475"/>
      <c r="E1283" s="475"/>
      <c r="F1283" s="474"/>
      <c r="G1283" s="475"/>
      <c r="H1283" s="474"/>
      <c r="I1283" s="474"/>
      <c r="J1283" s="475"/>
      <c r="K1283" s="475"/>
      <c r="L1283" s="475"/>
      <c r="M1283" s="475"/>
      <c r="N1283" s="475"/>
      <c r="O1283" s="475"/>
      <c r="P1283" s="475"/>
      <c r="Q1283" s="475"/>
      <c r="R1283" s="475"/>
      <c r="S1283" s="475"/>
      <c r="T1283" s="475"/>
      <c r="U1283" s="475"/>
      <c r="V1283" s="475"/>
      <c r="W1283" s="475"/>
      <c r="X1283" s="475"/>
      <c r="Y1283" s="475"/>
      <c r="Z1283" s="475"/>
      <c r="AA1283" s="475"/>
      <c r="AB1283" s="475"/>
      <c r="AC1283" s="475"/>
      <c r="AD1283" s="475"/>
      <c r="AE1283" s="475"/>
      <c r="AF1283" s="475"/>
    </row>
    <row r="1284" spans="2:32">
      <c r="B1284" s="471"/>
      <c r="C1284" s="475"/>
      <c r="D1284" s="475"/>
      <c r="E1284" s="475"/>
      <c r="F1284" s="474"/>
      <c r="G1284" s="475"/>
      <c r="H1284" s="474"/>
      <c r="I1284" s="474"/>
      <c r="J1284" s="475"/>
      <c r="K1284" s="475"/>
      <c r="L1284" s="475"/>
      <c r="M1284" s="475"/>
      <c r="N1284" s="475"/>
      <c r="O1284" s="475"/>
      <c r="P1284" s="475"/>
      <c r="Q1284" s="475"/>
      <c r="R1284" s="475"/>
      <c r="S1284" s="475"/>
      <c r="T1284" s="475"/>
      <c r="U1284" s="475"/>
      <c r="V1284" s="475"/>
      <c r="W1284" s="475"/>
      <c r="X1284" s="475"/>
      <c r="Y1284" s="475"/>
      <c r="Z1284" s="475"/>
      <c r="AA1284" s="475"/>
      <c r="AB1284" s="475"/>
      <c r="AC1284" s="475"/>
      <c r="AD1284" s="475"/>
      <c r="AE1284" s="475"/>
      <c r="AF1284" s="475"/>
    </row>
    <row r="1285" spans="2:32">
      <c r="B1285" s="471"/>
      <c r="C1285" s="475"/>
      <c r="D1285" s="475"/>
      <c r="E1285" s="475"/>
      <c r="F1285" s="474"/>
      <c r="G1285" s="475"/>
      <c r="H1285" s="474"/>
      <c r="I1285" s="474"/>
      <c r="J1285" s="475"/>
      <c r="K1285" s="475"/>
      <c r="L1285" s="475"/>
      <c r="M1285" s="475"/>
      <c r="N1285" s="475"/>
      <c r="O1285" s="475"/>
      <c r="P1285" s="475"/>
      <c r="Q1285" s="475"/>
      <c r="R1285" s="475"/>
      <c r="S1285" s="475"/>
      <c r="T1285" s="475"/>
      <c r="U1285" s="475"/>
      <c r="V1285" s="475"/>
      <c r="W1285" s="475"/>
      <c r="X1285" s="475"/>
      <c r="Y1285" s="475"/>
      <c r="Z1285" s="475"/>
      <c r="AA1285" s="475"/>
      <c r="AB1285" s="475"/>
      <c r="AC1285" s="475"/>
      <c r="AD1285" s="475"/>
      <c r="AE1285" s="475"/>
      <c r="AF1285" s="475"/>
    </row>
    <row r="1286" spans="2:32">
      <c r="B1286" s="471"/>
      <c r="C1286" s="475"/>
      <c r="D1286" s="475"/>
      <c r="E1286" s="475"/>
      <c r="F1286" s="474"/>
      <c r="G1286" s="475"/>
      <c r="H1286" s="474"/>
      <c r="I1286" s="474"/>
      <c r="J1286" s="475"/>
      <c r="K1286" s="475"/>
      <c r="L1286" s="475"/>
      <c r="M1286" s="475"/>
      <c r="N1286" s="475"/>
      <c r="O1286" s="475"/>
      <c r="P1286" s="475"/>
      <c r="Q1286" s="475"/>
      <c r="R1286" s="475"/>
      <c r="S1286" s="475"/>
      <c r="T1286" s="475"/>
      <c r="U1286" s="475"/>
      <c r="V1286" s="475"/>
      <c r="W1286" s="475"/>
      <c r="X1286" s="475"/>
      <c r="Y1286" s="475"/>
      <c r="Z1286" s="475"/>
      <c r="AA1286" s="475"/>
      <c r="AB1286" s="475"/>
      <c r="AC1286" s="475"/>
      <c r="AD1286" s="475"/>
      <c r="AE1286" s="475"/>
      <c r="AF1286" s="475"/>
    </row>
    <row r="1287" spans="2:32">
      <c r="B1287" s="471"/>
      <c r="C1287" s="475"/>
      <c r="D1287" s="475"/>
      <c r="E1287" s="475"/>
      <c r="F1287" s="474"/>
      <c r="G1287" s="475"/>
      <c r="H1287" s="474"/>
      <c r="I1287" s="474"/>
      <c r="J1287" s="475"/>
      <c r="K1287" s="475"/>
      <c r="L1287" s="475"/>
      <c r="M1287" s="475"/>
      <c r="N1287" s="475"/>
      <c r="O1287" s="475"/>
      <c r="P1287" s="475"/>
      <c r="Q1287" s="475"/>
      <c r="R1287" s="475"/>
      <c r="S1287" s="475"/>
      <c r="T1287" s="475"/>
      <c r="U1287" s="475"/>
      <c r="V1287" s="475"/>
      <c r="W1287" s="475"/>
      <c r="X1287" s="475"/>
      <c r="Y1287" s="475"/>
      <c r="Z1287" s="475"/>
      <c r="AA1287" s="475"/>
      <c r="AB1287" s="475"/>
      <c r="AC1287" s="475"/>
      <c r="AD1287" s="475"/>
      <c r="AE1287" s="475"/>
      <c r="AF1287" s="475"/>
    </row>
    <row r="1288" spans="2:32">
      <c r="B1288" s="471"/>
      <c r="C1288" s="475"/>
      <c r="D1288" s="475"/>
      <c r="E1288" s="475"/>
      <c r="F1288" s="474"/>
      <c r="G1288" s="475"/>
      <c r="H1288" s="474"/>
      <c r="I1288" s="474"/>
      <c r="J1288" s="475"/>
      <c r="K1288" s="475"/>
      <c r="L1288" s="475"/>
      <c r="M1288" s="475"/>
      <c r="N1288" s="475"/>
      <c r="O1288" s="475"/>
      <c r="P1288" s="475"/>
      <c r="Q1288" s="475"/>
      <c r="R1288" s="475"/>
      <c r="S1288" s="475"/>
      <c r="T1288" s="475"/>
      <c r="U1288" s="475"/>
      <c r="V1288" s="475"/>
      <c r="W1288" s="475"/>
      <c r="X1288" s="475"/>
      <c r="Y1288" s="475"/>
      <c r="Z1288" s="475"/>
      <c r="AA1288" s="475"/>
      <c r="AB1288" s="475"/>
      <c r="AC1288" s="475"/>
      <c r="AD1288" s="475"/>
      <c r="AE1288" s="475"/>
      <c r="AF1288" s="475"/>
    </row>
    <row r="1289" spans="2:32">
      <c r="B1289" s="471"/>
      <c r="C1289" s="475"/>
      <c r="D1289" s="475"/>
      <c r="E1289" s="475"/>
      <c r="F1289" s="474"/>
      <c r="G1289" s="475"/>
      <c r="H1289" s="474"/>
      <c r="I1289" s="474"/>
      <c r="J1289" s="475"/>
      <c r="K1289" s="475"/>
      <c r="L1289" s="475"/>
      <c r="M1289" s="475"/>
      <c r="N1289" s="475"/>
      <c r="O1289" s="475"/>
      <c r="P1289" s="475"/>
      <c r="Q1289" s="475"/>
      <c r="R1289" s="475"/>
      <c r="S1289" s="475"/>
      <c r="T1289" s="475"/>
      <c r="U1289" s="475"/>
      <c r="V1289" s="475"/>
      <c r="W1289" s="475"/>
      <c r="X1289" s="475"/>
      <c r="Y1289" s="475"/>
      <c r="Z1289" s="475"/>
      <c r="AA1289" s="475"/>
      <c r="AB1289" s="475"/>
      <c r="AC1289" s="475"/>
      <c r="AD1289" s="475"/>
      <c r="AE1289" s="475"/>
      <c r="AF1289" s="475"/>
    </row>
    <row r="1290" spans="2:32">
      <c r="B1290" s="471"/>
      <c r="C1290" s="475"/>
      <c r="D1290" s="475"/>
      <c r="E1290" s="475"/>
      <c r="F1290" s="474"/>
      <c r="G1290" s="475"/>
      <c r="H1290" s="474"/>
      <c r="I1290" s="474"/>
      <c r="J1290" s="475"/>
      <c r="K1290" s="475"/>
      <c r="L1290" s="475"/>
      <c r="M1290" s="475"/>
      <c r="N1290" s="475"/>
      <c r="O1290" s="475"/>
      <c r="P1290" s="475"/>
      <c r="Q1290" s="475"/>
      <c r="R1290" s="475"/>
      <c r="S1290" s="475"/>
      <c r="T1290" s="475"/>
      <c r="U1290" s="475"/>
      <c r="V1290" s="475"/>
      <c r="W1290" s="475"/>
      <c r="X1290" s="475"/>
      <c r="Y1290" s="475"/>
      <c r="Z1290" s="475"/>
      <c r="AA1290" s="475"/>
      <c r="AB1290" s="475"/>
      <c r="AC1290" s="475"/>
      <c r="AD1290" s="475"/>
      <c r="AE1290" s="475"/>
      <c r="AF1290" s="475"/>
    </row>
    <row r="1291" spans="2:32">
      <c r="B1291" s="471"/>
      <c r="C1291" s="475"/>
      <c r="D1291" s="475"/>
      <c r="E1291" s="475"/>
      <c r="F1291" s="474"/>
      <c r="G1291" s="475"/>
      <c r="H1291" s="474"/>
      <c r="I1291" s="474"/>
      <c r="J1291" s="475"/>
      <c r="K1291" s="475"/>
      <c r="L1291" s="475"/>
      <c r="M1291" s="475"/>
      <c r="N1291" s="475"/>
      <c r="O1291" s="475"/>
      <c r="P1291" s="475"/>
      <c r="Q1291" s="475"/>
      <c r="R1291" s="475"/>
      <c r="S1291" s="475"/>
      <c r="T1291" s="475"/>
      <c r="U1291" s="475"/>
      <c r="V1291" s="475"/>
      <c r="W1291" s="475"/>
      <c r="X1291" s="475"/>
      <c r="Y1291" s="475"/>
      <c r="Z1291" s="475"/>
      <c r="AA1291" s="475"/>
      <c r="AB1291" s="475"/>
      <c r="AC1291" s="475"/>
      <c r="AD1291" s="475"/>
      <c r="AE1291" s="475"/>
      <c r="AF1291" s="475"/>
    </row>
    <row r="1292" spans="2:32">
      <c r="B1292" s="471"/>
      <c r="C1292" s="475"/>
      <c r="D1292" s="475"/>
      <c r="E1292" s="475"/>
      <c r="F1292" s="474"/>
      <c r="G1292" s="475"/>
      <c r="H1292" s="474"/>
      <c r="I1292" s="474"/>
      <c r="J1292" s="475"/>
      <c r="K1292" s="475"/>
      <c r="L1292" s="475"/>
      <c r="M1292" s="475"/>
      <c r="N1292" s="475"/>
      <c r="O1292" s="475"/>
      <c r="P1292" s="475"/>
      <c r="Q1292" s="475"/>
      <c r="R1292" s="475"/>
      <c r="S1292" s="475"/>
      <c r="T1292" s="475"/>
      <c r="U1292" s="475"/>
      <c r="V1292" s="475"/>
      <c r="W1292" s="475"/>
      <c r="X1292" s="475"/>
      <c r="Y1292" s="475"/>
      <c r="Z1292" s="475"/>
      <c r="AA1292" s="475"/>
      <c r="AB1292" s="475"/>
      <c r="AC1292" s="475"/>
      <c r="AD1292" s="475"/>
      <c r="AE1292" s="475"/>
      <c r="AF1292" s="475"/>
    </row>
    <row r="1293" spans="2:32">
      <c r="B1293" s="471"/>
      <c r="C1293" s="475"/>
      <c r="D1293" s="475"/>
      <c r="E1293" s="475"/>
      <c r="F1293" s="474"/>
      <c r="G1293" s="475"/>
      <c r="H1293" s="474"/>
      <c r="I1293" s="474"/>
      <c r="J1293" s="475"/>
      <c r="K1293" s="475"/>
      <c r="L1293" s="475"/>
      <c r="M1293" s="475"/>
      <c r="N1293" s="475"/>
      <c r="O1293" s="475"/>
      <c r="P1293" s="475"/>
      <c r="Q1293" s="475"/>
      <c r="R1293" s="475"/>
      <c r="S1293" s="475"/>
      <c r="T1293" s="475"/>
      <c r="U1293" s="475"/>
      <c r="V1293" s="475"/>
      <c r="W1293" s="475"/>
      <c r="X1293" s="475"/>
      <c r="Y1293" s="475"/>
      <c r="Z1293" s="475"/>
      <c r="AA1293" s="475"/>
      <c r="AB1293" s="475"/>
      <c r="AC1293" s="475"/>
      <c r="AD1293" s="475"/>
      <c r="AE1293" s="475"/>
      <c r="AF1293" s="475"/>
    </row>
    <row r="1294" spans="2:32">
      <c r="B1294" s="471"/>
      <c r="C1294" s="475"/>
      <c r="D1294" s="475"/>
      <c r="E1294" s="475"/>
      <c r="F1294" s="474"/>
      <c r="G1294" s="475"/>
      <c r="H1294" s="474"/>
      <c r="I1294" s="474"/>
      <c r="J1294" s="475"/>
      <c r="K1294" s="475"/>
      <c r="L1294" s="475"/>
      <c r="M1294" s="475"/>
      <c r="N1294" s="475"/>
      <c r="O1294" s="475"/>
      <c r="P1294" s="475"/>
      <c r="Q1294" s="475"/>
      <c r="R1294" s="475"/>
      <c r="S1294" s="475"/>
      <c r="T1294" s="475"/>
      <c r="U1294" s="475"/>
      <c r="V1294" s="475"/>
      <c r="W1294" s="475"/>
      <c r="X1294" s="475"/>
      <c r="Y1294" s="475"/>
      <c r="Z1294" s="475"/>
      <c r="AA1294" s="475"/>
      <c r="AB1294" s="475"/>
      <c r="AC1294" s="475"/>
      <c r="AD1294" s="475"/>
      <c r="AE1294" s="475"/>
      <c r="AF1294" s="475"/>
    </row>
    <row r="1295" spans="2:32">
      <c r="B1295" s="471"/>
      <c r="C1295" s="475"/>
      <c r="D1295" s="475"/>
      <c r="E1295" s="475"/>
      <c r="F1295" s="474"/>
      <c r="G1295" s="475"/>
      <c r="H1295" s="474"/>
      <c r="I1295" s="474"/>
      <c r="J1295" s="475"/>
      <c r="K1295" s="475"/>
      <c r="L1295" s="475"/>
      <c r="M1295" s="475"/>
      <c r="N1295" s="475"/>
      <c r="O1295" s="475"/>
      <c r="P1295" s="475"/>
      <c r="Q1295" s="475"/>
      <c r="R1295" s="475"/>
      <c r="S1295" s="475"/>
      <c r="T1295" s="475"/>
      <c r="U1295" s="475"/>
      <c r="V1295" s="475"/>
      <c r="W1295" s="475"/>
      <c r="X1295" s="475"/>
      <c r="Y1295" s="475"/>
      <c r="Z1295" s="475"/>
      <c r="AA1295" s="475"/>
      <c r="AB1295" s="475"/>
      <c r="AC1295" s="475"/>
      <c r="AD1295" s="475"/>
      <c r="AE1295" s="475"/>
      <c r="AF1295" s="475"/>
    </row>
    <row r="1296" spans="2:32">
      <c r="B1296" s="471"/>
      <c r="C1296" s="475"/>
      <c r="D1296" s="475"/>
      <c r="E1296" s="475"/>
      <c r="F1296" s="474"/>
      <c r="G1296" s="475"/>
      <c r="H1296" s="474"/>
      <c r="I1296" s="474"/>
      <c r="J1296" s="475"/>
      <c r="K1296" s="475"/>
      <c r="L1296" s="475"/>
      <c r="M1296" s="475"/>
      <c r="N1296" s="475"/>
      <c r="O1296" s="475"/>
      <c r="P1296" s="475"/>
      <c r="Q1296" s="475"/>
      <c r="R1296" s="475"/>
      <c r="S1296" s="475"/>
      <c r="T1296" s="475"/>
      <c r="U1296" s="475"/>
      <c r="V1296" s="475"/>
      <c r="W1296" s="475"/>
      <c r="X1296" s="475"/>
      <c r="Y1296" s="475"/>
      <c r="Z1296" s="475"/>
      <c r="AA1296" s="475"/>
      <c r="AB1296" s="475"/>
      <c r="AC1296" s="475"/>
      <c r="AD1296" s="475"/>
      <c r="AE1296" s="475"/>
      <c r="AF1296" s="475"/>
    </row>
    <row r="1297" spans="2:32">
      <c r="B1297" s="471"/>
      <c r="C1297" s="475"/>
      <c r="D1297" s="475"/>
      <c r="E1297" s="475"/>
      <c r="F1297" s="474"/>
      <c r="G1297" s="475"/>
      <c r="H1297" s="474"/>
      <c r="I1297" s="474"/>
      <c r="J1297" s="475"/>
      <c r="K1297" s="475"/>
      <c r="L1297" s="475"/>
      <c r="M1297" s="475"/>
      <c r="N1297" s="475"/>
      <c r="O1297" s="475"/>
      <c r="P1297" s="475"/>
      <c r="Q1297" s="475"/>
      <c r="R1297" s="475"/>
      <c r="S1297" s="475"/>
      <c r="T1297" s="475"/>
      <c r="U1297" s="475"/>
      <c r="V1297" s="475"/>
      <c r="W1297" s="475"/>
      <c r="X1297" s="475"/>
      <c r="Y1297" s="475"/>
      <c r="Z1297" s="475"/>
      <c r="AA1297" s="475"/>
      <c r="AB1297" s="475"/>
      <c r="AC1297" s="475"/>
      <c r="AD1297" s="475"/>
      <c r="AE1297" s="475"/>
      <c r="AF1297" s="475"/>
    </row>
    <row r="1298" spans="2:32">
      <c r="B1298" s="471"/>
      <c r="C1298" s="475"/>
      <c r="D1298" s="475"/>
      <c r="E1298" s="475"/>
      <c r="F1298" s="474"/>
      <c r="G1298" s="475"/>
      <c r="H1298" s="474"/>
      <c r="I1298" s="474"/>
      <c r="J1298" s="475"/>
      <c r="K1298" s="475"/>
      <c r="L1298" s="475"/>
      <c r="M1298" s="475"/>
      <c r="N1298" s="475"/>
      <c r="O1298" s="475"/>
      <c r="P1298" s="475"/>
      <c r="Q1298" s="475"/>
      <c r="R1298" s="475"/>
      <c r="S1298" s="475"/>
      <c r="T1298" s="475"/>
      <c r="U1298" s="475"/>
      <c r="V1298" s="475"/>
      <c r="W1298" s="475"/>
      <c r="X1298" s="475"/>
      <c r="Y1298" s="475"/>
      <c r="Z1298" s="475"/>
      <c r="AA1298" s="475"/>
      <c r="AB1298" s="475"/>
      <c r="AC1298" s="475"/>
      <c r="AD1298" s="475"/>
      <c r="AE1298" s="475"/>
      <c r="AF1298" s="475"/>
    </row>
    <row r="1299" spans="2:32">
      <c r="B1299" s="471"/>
      <c r="C1299" s="475"/>
      <c r="D1299" s="475"/>
      <c r="E1299" s="475"/>
      <c r="F1299" s="474"/>
      <c r="G1299" s="475"/>
      <c r="H1299" s="474"/>
      <c r="I1299" s="474"/>
      <c r="J1299" s="475"/>
      <c r="K1299" s="475"/>
      <c r="L1299" s="475"/>
      <c r="M1299" s="475"/>
      <c r="N1299" s="475"/>
      <c r="O1299" s="475"/>
      <c r="P1299" s="475"/>
      <c r="Q1299" s="475"/>
      <c r="R1299" s="475"/>
      <c r="S1299" s="475"/>
      <c r="T1299" s="475"/>
      <c r="U1299" s="475"/>
      <c r="V1299" s="475"/>
      <c r="W1299" s="475"/>
      <c r="X1299" s="475"/>
      <c r="Y1299" s="475"/>
      <c r="Z1299" s="475"/>
      <c r="AA1299" s="475"/>
      <c r="AB1299" s="475"/>
      <c r="AC1299" s="475"/>
      <c r="AD1299" s="475"/>
      <c r="AE1299" s="475"/>
      <c r="AF1299" s="475"/>
    </row>
    <row r="1300" spans="2:32">
      <c r="B1300" s="471"/>
      <c r="C1300" s="475"/>
      <c r="D1300" s="475"/>
      <c r="E1300" s="475"/>
      <c r="F1300" s="474"/>
      <c r="G1300" s="475"/>
      <c r="H1300" s="474"/>
      <c r="I1300" s="474"/>
      <c r="J1300" s="475"/>
      <c r="K1300" s="475"/>
      <c r="L1300" s="475"/>
      <c r="M1300" s="475"/>
      <c r="N1300" s="475"/>
      <c r="O1300" s="475"/>
      <c r="P1300" s="475"/>
      <c r="Q1300" s="475"/>
      <c r="R1300" s="475"/>
      <c r="S1300" s="475"/>
      <c r="T1300" s="475"/>
      <c r="U1300" s="475"/>
      <c r="V1300" s="475"/>
      <c r="W1300" s="475"/>
      <c r="X1300" s="475"/>
      <c r="Y1300" s="475"/>
      <c r="Z1300" s="475"/>
      <c r="AA1300" s="475"/>
      <c r="AB1300" s="475"/>
      <c r="AC1300" s="475"/>
      <c r="AD1300" s="475"/>
      <c r="AE1300" s="475"/>
      <c r="AF1300" s="475"/>
    </row>
    <row r="1301" spans="2:32">
      <c r="B1301" s="471"/>
      <c r="C1301" s="475"/>
      <c r="D1301" s="475"/>
      <c r="E1301" s="475"/>
      <c r="F1301" s="474"/>
      <c r="G1301" s="475"/>
      <c r="H1301" s="474"/>
      <c r="I1301" s="474"/>
      <c r="J1301" s="475"/>
      <c r="K1301" s="475"/>
      <c r="L1301" s="475"/>
      <c r="M1301" s="475"/>
      <c r="N1301" s="475"/>
      <c r="O1301" s="475"/>
      <c r="P1301" s="475"/>
      <c r="Q1301" s="475"/>
      <c r="R1301" s="475"/>
      <c r="S1301" s="475"/>
      <c r="T1301" s="475"/>
      <c r="U1301" s="475"/>
      <c r="V1301" s="475"/>
      <c r="W1301" s="475"/>
      <c r="X1301" s="475"/>
      <c r="Y1301" s="475"/>
      <c r="Z1301" s="475"/>
      <c r="AA1301" s="475"/>
      <c r="AB1301" s="475"/>
      <c r="AC1301" s="475"/>
      <c r="AD1301" s="475"/>
      <c r="AE1301" s="475"/>
      <c r="AF1301" s="475"/>
    </row>
    <row r="1302" spans="2:32">
      <c r="B1302" s="471"/>
      <c r="C1302" s="475"/>
      <c r="D1302" s="475"/>
      <c r="E1302" s="475"/>
      <c r="F1302" s="474"/>
      <c r="G1302" s="475"/>
      <c r="H1302" s="474"/>
      <c r="I1302" s="474"/>
      <c r="J1302" s="475"/>
      <c r="K1302" s="475"/>
      <c r="L1302" s="475"/>
      <c r="M1302" s="475"/>
      <c r="N1302" s="475"/>
      <c r="O1302" s="475"/>
      <c r="P1302" s="475"/>
      <c r="Q1302" s="475"/>
      <c r="R1302" s="475"/>
      <c r="S1302" s="475"/>
      <c r="T1302" s="475"/>
      <c r="U1302" s="475"/>
      <c r="V1302" s="475"/>
      <c r="W1302" s="475"/>
      <c r="X1302" s="475"/>
      <c r="Y1302" s="475"/>
      <c r="Z1302" s="475"/>
      <c r="AA1302" s="475"/>
      <c r="AB1302" s="475"/>
      <c r="AC1302" s="475"/>
      <c r="AD1302" s="475"/>
      <c r="AE1302" s="475"/>
      <c r="AF1302" s="475"/>
    </row>
    <row r="1303" spans="2:32">
      <c r="B1303" s="471"/>
      <c r="C1303" s="475"/>
      <c r="D1303" s="475"/>
      <c r="E1303" s="475"/>
      <c r="F1303" s="474"/>
      <c r="G1303" s="475"/>
      <c r="H1303" s="474"/>
      <c r="I1303" s="474"/>
      <c r="J1303" s="475"/>
      <c r="K1303" s="475"/>
      <c r="L1303" s="475"/>
      <c r="M1303" s="475"/>
      <c r="N1303" s="475"/>
      <c r="O1303" s="475"/>
      <c r="P1303" s="475"/>
      <c r="Q1303" s="475"/>
      <c r="R1303" s="475"/>
      <c r="S1303" s="475"/>
      <c r="T1303" s="475"/>
      <c r="U1303" s="475"/>
      <c r="V1303" s="475"/>
      <c r="W1303" s="475"/>
      <c r="X1303" s="475"/>
      <c r="Y1303" s="475"/>
      <c r="Z1303" s="475"/>
      <c r="AA1303" s="475"/>
      <c r="AB1303" s="475"/>
      <c r="AC1303" s="475"/>
      <c r="AD1303" s="475"/>
      <c r="AE1303" s="475"/>
      <c r="AF1303" s="475"/>
    </row>
    <row r="1304" spans="2:32">
      <c r="B1304" s="471"/>
      <c r="C1304" s="475"/>
      <c r="D1304" s="475"/>
      <c r="E1304" s="475"/>
      <c r="F1304" s="474"/>
      <c r="G1304" s="475"/>
      <c r="H1304" s="474"/>
      <c r="I1304" s="474"/>
      <c r="J1304" s="475"/>
      <c r="K1304" s="475"/>
      <c r="L1304" s="475"/>
      <c r="M1304" s="475"/>
      <c r="N1304" s="475"/>
      <c r="O1304" s="475"/>
      <c r="P1304" s="475"/>
      <c r="Q1304" s="475"/>
      <c r="R1304" s="475"/>
      <c r="S1304" s="475"/>
      <c r="T1304" s="475"/>
      <c r="U1304" s="475"/>
      <c r="V1304" s="475"/>
      <c r="W1304" s="475"/>
      <c r="X1304" s="475"/>
      <c r="Y1304" s="475"/>
      <c r="Z1304" s="475"/>
      <c r="AA1304" s="475"/>
      <c r="AB1304" s="475"/>
      <c r="AC1304" s="475"/>
      <c r="AD1304" s="475"/>
      <c r="AE1304" s="475"/>
      <c r="AF1304" s="475"/>
    </row>
    <row r="1305" spans="2:32">
      <c r="B1305" s="471"/>
      <c r="C1305" s="475"/>
      <c r="D1305" s="475"/>
      <c r="E1305" s="475"/>
      <c r="F1305" s="474"/>
      <c r="G1305" s="475"/>
      <c r="H1305" s="474"/>
      <c r="I1305" s="474"/>
      <c r="J1305" s="475"/>
      <c r="K1305" s="475"/>
      <c r="L1305" s="475"/>
      <c r="M1305" s="475"/>
      <c r="N1305" s="475"/>
      <c r="O1305" s="475"/>
      <c r="P1305" s="475"/>
      <c r="Q1305" s="475"/>
      <c r="R1305" s="475"/>
      <c r="S1305" s="475"/>
      <c r="T1305" s="475"/>
      <c r="U1305" s="475"/>
      <c r="V1305" s="475"/>
      <c r="W1305" s="475"/>
      <c r="X1305" s="475"/>
      <c r="Y1305" s="475"/>
      <c r="Z1305" s="475"/>
      <c r="AA1305" s="475"/>
      <c r="AB1305" s="475"/>
      <c r="AC1305" s="475"/>
      <c r="AD1305" s="475"/>
      <c r="AE1305" s="475"/>
      <c r="AF1305" s="475"/>
    </row>
    <row r="1306" spans="2:32">
      <c r="B1306" s="471"/>
      <c r="C1306" s="475"/>
      <c r="D1306" s="475"/>
      <c r="E1306" s="475"/>
      <c r="F1306" s="474"/>
      <c r="G1306" s="475"/>
      <c r="H1306" s="474"/>
      <c r="I1306" s="474"/>
      <c r="J1306" s="475"/>
      <c r="K1306" s="475"/>
      <c r="L1306" s="475"/>
      <c r="M1306" s="475"/>
      <c r="N1306" s="475"/>
      <c r="O1306" s="475"/>
      <c r="P1306" s="475"/>
      <c r="Q1306" s="475"/>
      <c r="R1306" s="475"/>
      <c r="S1306" s="475"/>
      <c r="T1306" s="475"/>
      <c r="U1306" s="475"/>
      <c r="V1306" s="475"/>
      <c r="W1306" s="475"/>
      <c r="X1306" s="475"/>
      <c r="Y1306" s="475"/>
      <c r="Z1306" s="475"/>
      <c r="AA1306" s="475"/>
      <c r="AB1306" s="475"/>
      <c r="AC1306" s="475"/>
      <c r="AD1306" s="475"/>
      <c r="AE1306" s="475"/>
      <c r="AF1306" s="475"/>
    </row>
    <row r="1307" spans="2:32">
      <c r="B1307" s="471"/>
      <c r="C1307" s="475"/>
      <c r="D1307" s="475"/>
      <c r="E1307" s="475"/>
      <c r="F1307" s="474"/>
      <c r="G1307" s="475"/>
      <c r="H1307" s="474"/>
      <c r="I1307" s="474"/>
      <c r="J1307" s="475"/>
      <c r="K1307" s="475"/>
      <c r="L1307" s="475"/>
      <c r="M1307" s="475"/>
      <c r="N1307" s="475"/>
      <c r="O1307" s="475"/>
      <c r="P1307" s="475"/>
      <c r="Q1307" s="475"/>
      <c r="R1307" s="475"/>
      <c r="S1307" s="475"/>
      <c r="T1307" s="475"/>
      <c r="U1307" s="475"/>
      <c r="V1307" s="475"/>
      <c r="W1307" s="475"/>
      <c r="X1307" s="475"/>
      <c r="Y1307" s="475"/>
      <c r="Z1307" s="475"/>
      <c r="AA1307" s="475"/>
      <c r="AB1307" s="475"/>
      <c r="AC1307" s="475"/>
      <c r="AD1307" s="475"/>
      <c r="AE1307" s="475"/>
      <c r="AF1307" s="475"/>
    </row>
    <row r="1308" spans="2:32">
      <c r="B1308" s="471"/>
      <c r="C1308" s="475"/>
      <c r="D1308" s="475"/>
      <c r="E1308" s="475"/>
      <c r="F1308" s="474"/>
      <c r="G1308" s="475"/>
      <c r="H1308" s="474"/>
      <c r="I1308" s="474"/>
      <c r="J1308" s="475"/>
      <c r="K1308" s="475"/>
      <c r="L1308" s="475"/>
      <c r="M1308" s="475"/>
      <c r="N1308" s="475"/>
      <c r="O1308" s="475"/>
      <c r="P1308" s="475"/>
      <c r="Q1308" s="475"/>
      <c r="R1308" s="475"/>
      <c r="S1308" s="475"/>
      <c r="T1308" s="475"/>
      <c r="U1308" s="475"/>
      <c r="V1308" s="475"/>
      <c r="W1308" s="475"/>
      <c r="X1308" s="475"/>
      <c r="Y1308" s="475"/>
      <c r="Z1308" s="475"/>
      <c r="AA1308" s="475"/>
      <c r="AB1308" s="475"/>
      <c r="AC1308" s="475"/>
      <c r="AD1308" s="475"/>
      <c r="AE1308" s="475"/>
      <c r="AF1308" s="475"/>
    </row>
    <row r="1309" spans="2:32">
      <c r="B1309" s="471"/>
      <c r="C1309" s="475"/>
      <c r="D1309" s="475"/>
      <c r="E1309" s="475"/>
      <c r="F1309" s="474"/>
      <c r="G1309" s="475"/>
      <c r="H1309" s="474"/>
      <c r="I1309" s="474"/>
      <c r="J1309" s="475"/>
      <c r="K1309" s="475"/>
      <c r="L1309" s="475"/>
      <c r="M1309" s="475"/>
      <c r="N1309" s="475"/>
      <c r="O1309" s="475"/>
      <c r="P1309" s="475"/>
      <c r="Q1309" s="475"/>
      <c r="R1309" s="475"/>
      <c r="S1309" s="475"/>
      <c r="T1309" s="475"/>
      <c r="U1309" s="475"/>
      <c r="V1309" s="475"/>
      <c r="W1309" s="475"/>
      <c r="X1309" s="475"/>
      <c r="Y1309" s="475"/>
      <c r="Z1309" s="475"/>
      <c r="AA1309" s="475"/>
      <c r="AB1309" s="475"/>
      <c r="AC1309" s="475"/>
      <c r="AD1309" s="475"/>
      <c r="AE1309" s="475"/>
      <c r="AF1309" s="475"/>
    </row>
    <row r="1310" spans="2:32">
      <c r="B1310" s="471"/>
      <c r="C1310" s="475"/>
      <c r="D1310" s="475"/>
      <c r="E1310" s="475"/>
      <c r="F1310" s="474"/>
      <c r="G1310" s="475"/>
      <c r="H1310" s="474"/>
      <c r="I1310" s="474"/>
      <c r="J1310" s="475"/>
      <c r="K1310" s="475"/>
      <c r="L1310" s="475"/>
      <c r="M1310" s="475"/>
      <c r="N1310" s="475"/>
      <c r="O1310" s="475"/>
      <c r="P1310" s="475"/>
      <c r="Q1310" s="475"/>
      <c r="R1310" s="475"/>
      <c r="S1310" s="475"/>
      <c r="T1310" s="475"/>
      <c r="U1310" s="475"/>
      <c r="V1310" s="475"/>
      <c r="W1310" s="475"/>
      <c r="X1310" s="475"/>
      <c r="Y1310" s="475"/>
      <c r="Z1310" s="475"/>
      <c r="AA1310" s="475"/>
      <c r="AB1310" s="475"/>
      <c r="AC1310" s="475"/>
      <c r="AD1310" s="475"/>
      <c r="AE1310" s="475"/>
      <c r="AF1310" s="475"/>
    </row>
    <row r="1311" spans="2:32">
      <c r="B1311" s="471"/>
      <c r="C1311" s="475"/>
      <c r="D1311" s="475"/>
      <c r="E1311" s="475"/>
      <c r="F1311" s="474"/>
      <c r="G1311" s="475"/>
      <c r="H1311" s="474"/>
      <c r="I1311" s="474"/>
      <c r="J1311" s="475"/>
      <c r="K1311" s="475"/>
      <c r="L1311" s="475"/>
      <c r="M1311" s="475"/>
      <c r="N1311" s="475"/>
      <c r="O1311" s="475"/>
      <c r="P1311" s="475"/>
      <c r="Q1311" s="475"/>
      <c r="R1311" s="475"/>
      <c r="S1311" s="475"/>
      <c r="T1311" s="475"/>
      <c r="U1311" s="475"/>
      <c r="V1311" s="475"/>
      <c r="W1311" s="475"/>
      <c r="X1311" s="475"/>
      <c r="Y1311" s="475"/>
      <c r="Z1311" s="475"/>
      <c r="AA1311" s="475"/>
      <c r="AB1311" s="475"/>
      <c r="AC1311" s="475"/>
      <c r="AD1311" s="475"/>
      <c r="AE1311" s="475"/>
      <c r="AF1311" s="475"/>
    </row>
    <row r="1312" spans="2:32">
      <c r="B1312" s="471"/>
      <c r="C1312" s="475"/>
      <c r="D1312" s="475"/>
      <c r="E1312" s="475"/>
      <c r="F1312" s="474"/>
      <c r="G1312" s="475"/>
      <c r="H1312" s="474"/>
      <c r="I1312" s="474"/>
      <c r="J1312" s="475"/>
      <c r="K1312" s="475"/>
      <c r="L1312" s="475"/>
      <c r="M1312" s="475"/>
      <c r="N1312" s="475"/>
      <c r="O1312" s="475"/>
      <c r="P1312" s="475"/>
      <c r="Q1312" s="475"/>
      <c r="R1312" s="475"/>
      <c r="S1312" s="475"/>
      <c r="T1312" s="475"/>
      <c r="U1312" s="475"/>
      <c r="V1312" s="475"/>
      <c r="W1312" s="475"/>
      <c r="X1312" s="475"/>
      <c r="Y1312" s="475"/>
      <c r="Z1312" s="475"/>
      <c r="AA1312" s="475"/>
      <c r="AB1312" s="475"/>
      <c r="AC1312" s="475"/>
      <c r="AD1312" s="475"/>
      <c r="AE1312" s="475"/>
      <c r="AF1312" s="475"/>
    </row>
    <row r="1313" spans="2:32">
      <c r="B1313" s="471"/>
      <c r="C1313" s="475"/>
      <c r="D1313" s="475"/>
      <c r="E1313" s="475"/>
      <c r="F1313" s="474"/>
      <c r="G1313" s="475"/>
      <c r="H1313" s="474"/>
      <c r="I1313" s="474"/>
      <c r="J1313" s="475"/>
      <c r="K1313" s="475"/>
      <c r="L1313" s="475"/>
      <c r="M1313" s="475"/>
      <c r="N1313" s="475"/>
      <c r="O1313" s="475"/>
      <c r="P1313" s="475"/>
      <c r="Q1313" s="475"/>
      <c r="R1313" s="475"/>
      <c r="S1313" s="475"/>
      <c r="T1313" s="475"/>
      <c r="U1313" s="475"/>
      <c r="V1313" s="475"/>
      <c r="W1313" s="475"/>
      <c r="X1313" s="475"/>
      <c r="Y1313" s="475"/>
      <c r="Z1313" s="475"/>
      <c r="AA1313" s="475"/>
      <c r="AB1313" s="475"/>
      <c r="AC1313" s="475"/>
      <c r="AD1313" s="475"/>
      <c r="AE1313" s="475"/>
      <c r="AF1313" s="475"/>
    </row>
    <row r="1314" spans="2:32">
      <c r="B1314" s="471"/>
      <c r="C1314" s="475"/>
      <c r="D1314" s="475"/>
      <c r="E1314" s="475"/>
      <c r="F1314" s="474"/>
      <c r="G1314" s="475"/>
      <c r="H1314" s="474"/>
      <c r="I1314" s="474"/>
      <c r="J1314" s="475"/>
      <c r="K1314" s="475"/>
      <c r="L1314" s="475"/>
      <c r="M1314" s="475"/>
      <c r="N1314" s="475"/>
      <c r="O1314" s="475"/>
      <c r="P1314" s="475"/>
      <c r="Q1314" s="475"/>
      <c r="R1314" s="475"/>
      <c r="S1314" s="475"/>
      <c r="T1314" s="475"/>
      <c r="U1314" s="475"/>
      <c r="V1314" s="475"/>
      <c r="W1314" s="475"/>
      <c r="X1314" s="475"/>
      <c r="Y1314" s="475"/>
      <c r="Z1314" s="475"/>
      <c r="AA1314" s="475"/>
      <c r="AB1314" s="475"/>
      <c r="AC1314" s="475"/>
      <c r="AD1314" s="475"/>
      <c r="AE1314" s="475"/>
      <c r="AF1314" s="475"/>
    </row>
    <row r="1315" spans="2:32">
      <c r="B1315" s="471"/>
      <c r="C1315" s="475"/>
      <c r="D1315" s="475"/>
      <c r="E1315" s="475"/>
      <c r="F1315" s="474"/>
      <c r="G1315" s="475"/>
      <c r="H1315" s="474"/>
      <c r="I1315" s="474"/>
      <c r="J1315" s="475"/>
      <c r="K1315" s="475"/>
      <c r="L1315" s="475"/>
      <c r="M1315" s="475"/>
      <c r="N1315" s="475"/>
      <c r="O1315" s="475"/>
      <c r="P1315" s="475"/>
      <c r="Q1315" s="475"/>
      <c r="R1315" s="475"/>
      <c r="S1315" s="475"/>
      <c r="T1315" s="475"/>
      <c r="U1315" s="475"/>
      <c r="V1315" s="475"/>
      <c r="W1315" s="475"/>
      <c r="X1315" s="475"/>
      <c r="Y1315" s="475"/>
      <c r="Z1315" s="475"/>
      <c r="AA1315" s="475"/>
      <c r="AB1315" s="475"/>
      <c r="AC1315" s="475"/>
      <c r="AD1315" s="475"/>
      <c r="AE1315" s="475"/>
      <c r="AF1315" s="475"/>
    </row>
    <row r="1316" spans="2:32">
      <c r="B1316" s="471"/>
      <c r="C1316" s="475"/>
      <c r="D1316" s="475"/>
      <c r="E1316" s="475"/>
      <c r="F1316" s="474"/>
      <c r="G1316" s="475"/>
      <c r="H1316" s="474"/>
      <c r="I1316" s="474"/>
      <c r="J1316" s="475"/>
      <c r="K1316" s="475"/>
      <c r="L1316" s="475"/>
      <c r="M1316" s="475"/>
      <c r="N1316" s="475"/>
      <c r="O1316" s="475"/>
      <c r="P1316" s="475"/>
      <c r="Q1316" s="475"/>
      <c r="R1316" s="475"/>
      <c r="S1316" s="475"/>
      <c r="T1316" s="475"/>
      <c r="U1316" s="475"/>
      <c r="V1316" s="475"/>
      <c r="W1316" s="475"/>
      <c r="X1316" s="475"/>
      <c r="Y1316" s="475"/>
      <c r="Z1316" s="475"/>
      <c r="AA1316" s="475"/>
      <c r="AB1316" s="475"/>
      <c r="AC1316" s="475"/>
      <c r="AD1316" s="475"/>
      <c r="AE1316" s="475"/>
      <c r="AF1316" s="475"/>
    </row>
    <row r="1317" spans="2:32">
      <c r="B1317" s="471"/>
      <c r="C1317" s="475"/>
      <c r="D1317" s="475"/>
      <c r="E1317" s="475"/>
      <c r="F1317" s="474"/>
      <c r="G1317" s="475"/>
      <c r="H1317" s="474"/>
      <c r="I1317" s="474"/>
      <c r="J1317" s="475"/>
      <c r="K1317" s="475"/>
      <c r="L1317" s="475"/>
      <c r="M1317" s="475"/>
      <c r="N1317" s="475"/>
      <c r="O1317" s="475"/>
      <c r="P1317" s="475"/>
      <c r="Q1317" s="475"/>
      <c r="R1317" s="475"/>
      <c r="S1317" s="475"/>
      <c r="T1317" s="475"/>
      <c r="U1317" s="475"/>
      <c r="V1317" s="475"/>
      <c r="W1317" s="475"/>
      <c r="X1317" s="475"/>
      <c r="Y1317" s="475"/>
      <c r="Z1317" s="475"/>
      <c r="AA1317" s="475"/>
      <c r="AB1317" s="475"/>
      <c r="AC1317" s="475"/>
      <c r="AD1317" s="475"/>
      <c r="AE1317" s="475"/>
      <c r="AF1317" s="475"/>
    </row>
    <row r="1318" spans="2:32">
      <c r="B1318" s="471"/>
      <c r="C1318" s="475"/>
      <c r="D1318" s="475"/>
      <c r="E1318" s="475"/>
      <c r="F1318" s="474"/>
      <c r="G1318" s="475"/>
      <c r="H1318" s="474"/>
      <c r="I1318" s="474"/>
      <c r="J1318" s="475"/>
      <c r="K1318" s="475"/>
      <c r="L1318" s="475"/>
      <c r="M1318" s="475"/>
      <c r="N1318" s="475"/>
      <c r="O1318" s="475"/>
      <c r="P1318" s="475"/>
      <c r="Q1318" s="475"/>
      <c r="R1318" s="475"/>
      <c r="S1318" s="475"/>
      <c r="T1318" s="475"/>
      <c r="U1318" s="475"/>
      <c r="V1318" s="475"/>
      <c r="W1318" s="475"/>
      <c r="X1318" s="475"/>
      <c r="Y1318" s="475"/>
      <c r="Z1318" s="475"/>
      <c r="AA1318" s="475"/>
      <c r="AB1318" s="475"/>
      <c r="AC1318" s="475"/>
      <c r="AD1318" s="475"/>
      <c r="AE1318" s="475"/>
      <c r="AF1318" s="475"/>
    </row>
    <row r="1319" spans="2:32">
      <c r="B1319" s="471"/>
      <c r="C1319" s="475"/>
      <c r="D1319" s="475"/>
      <c r="E1319" s="475"/>
      <c r="F1319" s="474"/>
      <c r="G1319" s="475"/>
      <c r="H1319" s="474"/>
      <c r="I1319" s="474"/>
      <c r="J1319" s="475"/>
      <c r="K1319" s="475"/>
      <c r="L1319" s="475"/>
      <c r="M1319" s="475"/>
      <c r="N1319" s="475"/>
      <c r="O1319" s="475"/>
      <c r="P1319" s="475"/>
      <c r="Q1319" s="475"/>
      <c r="R1319" s="475"/>
      <c r="S1319" s="475"/>
      <c r="T1319" s="475"/>
      <c r="U1319" s="475"/>
      <c r="V1319" s="475"/>
      <c r="W1319" s="475"/>
      <c r="X1319" s="475"/>
      <c r="Y1319" s="475"/>
      <c r="Z1319" s="475"/>
      <c r="AA1319" s="475"/>
      <c r="AB1319" s="475"/>
      <c r="AC1319" s="475"/>
      <c r="AD1319" s="475"/>
      <c r="AE1319" s="475"/>
      <c r="AF1319" s="475"/>
    </row>
    <row r="1320" spans="2:32">
      <c r="B1320" s="471"/>
      <c r="C1320" s="475"/>
      <c r="D1320" s="475"/>
      <c r="E1320" s="475"/>
      <c r="F1320" s="474"/>
      <c r="G1320" s="475"/>
      <c r="H1320" s="474"/>
      <c r="I1320" s="474"/>
      <c r="J1320" s="475"/>
      <c r="K1320" s="475"/>
      <c r="L1320" s="475"/>
      <c r="M1320" s="475"/>
      <c r="N1320" s="475"/>
      <c r="O1320" s="475"/>
      <c r="P1320" s="475"/>
      <c r="Q1320" s="475"/>
      <c r="R1320" s="475"/>
      <c r="S1320" s="475"/>
      <c r="T1320" s="475"/>
      <c r="U1320" s="475"/>
      <c r="V1320" s="475"/>
      <c r="W1320" s="475"/>
      <c r="X1320" s="475"/>
      <c r="Y1320" s="475"/>
      <c r="Z1320" s="475"/>
      <c r="AA1320" s="475"/>
      <c r="AB1320" s="475"/>
      <c r="AC1320" s="475"/>
      <c r="AD1320" s="475"/>
      <c r="AE1320" s="475"/>
      <c r="AF1320" s="475"/>
    </row>
    <row r="1321" spans="2:32">
      <c r="B1321" s="471"/>
      <c r="C1321" s="475"/>
      <c r="D1321" s="475"/>
      <c r="E1321" s="475"/>
      <c r="F1321" s="474"/>
      <c r="G1321" s="475"/>
      <c r="H1321" s="474"/>
      <c r="I1321" s="474"/>
      <c r="J1321" s="475"/>
      <c r="K1321" s="475"/>
      <c r="L1321" s="475"/>
      <c r="M1321" s="475"/>
      <c r="N1321" s="475"/>
      <c r="O1321" s="475"/>
      <c r="P1321" s="475"/>
      <c r="Q1321" s="475"/>
      <c r="R1321" s="475"/>
      <c r="S1321" s="475"/>
      <c r="T1321" s="475"/>
      <c r="U1321" s="475"/>
      <c r="V1321" s="475"/>
      <c r="W1321" s="475"/>
      <c r="X1321" s="475"/>
      <c r="Y1321" s="475"/>
      <c r="Z1321" s="475"/>
      <c r="AA1321" s="475"/>
      <c r="AB1321" s="475"/>
      <c r="AC1321" s="475"/>
      <c r="AD1321" s="475"/>
      <c r="AE1321" s="475"/>
      <c r="AF1321" s="475"/>
    </row>
    <row r="1322" spans="2:32">
      <c r="B1322" s="471"/>
      <c r="C1322" s="475"/>
      <c r="D1322" s="475"/>
      <c r="E1322" s="475"/>
      <c r="F1322" s="474"/>
      <c r="G1322" s="475"/>
      <c r="H1322" s="474"/>
      <c r="I1322" s="474"/>
      <c r="J1322" s="475"/>
      <c r="K1322" s="475"/>
      <c r="L1322" s="475"/>
      <c r="M1322" s="475"/>
      <c r="N1322" s="475"/>
      <c r="O1322" s="475"/>
      <c r="P1322" s="475"/>
      <c r="Q1322" s="475"/>
      <c r="R1322" s="475"/>
      <c r="S1322" s="475"/>
      <c r="T1322" s="475"/>
      <c r="U1322" s="475"/>
      <c r="V1322" s="475"/>
      <c r="W1322" s="475"/>
      <c r="X1322" s="475"/>
      <c r="Y1322" s="475"/>
      <c r="Z1322" s="475"/>
      <c r="AA1322" s="475"/>
      <c r="AB1322" s="475"/>
      <c r="AC1322" s="475"/>
      <c r="AD1322" s="475"/>
      <c r="AE1322" s="475"/>
      <c r="AF1322" s="475"/>
    </row>
    <row r="1323" spans="2:32">
      <c r="B1323" s="471"/>
      <c r="C1323" s="475"/>
      <c r="D1323" s="475"/>
      <c r="E1323" s="475"/>
      <c r="F1323" s="474"/>
      <c r="G1323" s="475"/>
      <c r="H1323" s="474"/>
      <c r="I1323" s="474"/>
      <c r="J1323" s="475"/>
      <c r="K1323" s="475"/>
      <c r="L1323" s="475"/>
      <c r="M1323" s="475"/>
      <c r="N1323" s="475"/>
      <c r="O1323" s="475"/>
      <c r="P1323" s="475"/>
      <c r="Q1323" s="475"/>
      <c r="R1323" s="475"/>
      <c r="S1323" s="475"/>
      <c r="T1323" s="475"/>
      <c r="U1323" s="475"/>
      <c r="V1323" s="475"/>
      <c r="W1323" s="475"/>
      <c r="X1323" s="475"/>
      <c r="Y1323" s="475"/>
      <c r="Z1323" s="475"/>
      <c r="AA1323" s="475"/>
      <c r="AB1323" s="475"/>
      <c r="AC1323" s="475"/>
      <c r="AD1323" s="475"/>
      <c r="AE1323" s="475"/>
      <c r="AF1323" s="475"/>
    </row>
    <row r="1324" spans="2:32">
      <c r="B1324" s="471"/>
      <c r="C1324" s="475"/>
      <c r="D1324" s="475"/>
      <c r="E1324" s="475"/>
      <c r="F1324" s="474"/>
      <c r="G1324" s="475"/>
      <c r="H1324" s="474"/>
      <c r="I1324" s="474"/>
      <c r="J1324" s="475"/>
      <c r="K1324" s="475"/>
      <c r="L1324" s="475"/>
      <c r="M1324" s="475"/>
      <c r="N1324" s="475"/>
      <c r="O1324" s="475"/>
      <c r="P1324" s="475"/>
      <c r="Q1324" s="475"/>
      <c r="R1324" s="475"/>
      <c r="S1324" s="475"/>
      <c r="T1324" s="475"/>
      <c r="U1324" s="475"/>
      <c r="V1324" s="475"/>
      <c r="W1324" s="475"/>
      <c r="X1324" s="475"/>
      <c r="Y1324" s="475"/>
      <c r="Z1324" s="475"/>
      <c r="AA1324" s="475"/>
      <c r="AB1324" s="475"/>
      <c r="AC1324" s="475"/>
      <c r="AD1324" s="475"/>
      <c r="AE1324" s="475"/>
      <c r="AF1324" s="475"/>
    </row>
    <row r="1325" spans="2:32">
      <c r="B1325" s="471"/>
      <c r="C1325" s="475"/>
      <c r="D1325" s="475"/>
      <c r="E1325" s="475"/>
      <c r="F1325" s="474"/>
      <c r="G1325" s="475"/>
      <c r="H1325" s="474"/>
      <c r="I1325" s="474"/>
      <c r="J1325" s="475"/>
      <c r="K1325" s="475"/>
      <c r="L1325" s="475"/>
      <c r="M1325" s="475"/>
      <c r="N1325" s="475"/>
      <c r="O1325" s="475"/>
      <c r="P1325" s="475"/>
      <c r="Q1325" s="475"/>
      <c r="R1325" s="475"/>
      <c r="S1325" s="475"/>
      <c r="T1325" s="475"/>
      <c r="U1325" s="475"/>
      <c r="V1325" s="475"/>
      <c r="W1325" s="475"/>
      <c r="X1325" s="475"/>
      <c r="Y1325" s="475"/>
      <c r="Z1325" s="475"/>
      <c r="AA1325" s="475"/>
      <c r="AB1325" s="475"/>
      <c r="AC1325" s="475"/>
      <c r="AD1325" s="475"/>
      <c r="AE1325" s="475"/>
      <c r="AF1325" s="475"/>
    </row>
    <row r="1326" spans="2:32">
      <c r="B1326" s="471"/>
      <c r="C1326" s="475"/>
      <c r="D1326" s="475"/>
      <c r="E1326" s="475"/>
      <c r="F1326" s="474"/>
      <c r="G1326" s="475"/>
      <c r="H1326" s="474"/>
      <c r="I1326" s="474"/>
      <c r="J1326" s="475"/>
      <c r="K1326" s="475"/>
      <c r="L1326" s="475"/>
      <c r="M1326" s="475"/>
      <c r="N1326" s="475"/>
      <c r="O1326" s="475"/>
      <c r="P1326" s="475"/>
      <c r="Q1326" s="475"/>
      <c r="R1326" s="475"/>
      <c r="S1326" s="475"/>
      <c r="T1326" s="475"/>
      <c r="U1326" s="475"/>
      <c r="V1326" s="475"/>
      <c r="W1326" s="475"/>
      <c r="X1326" s="475"/>
      <c r="Y1326" s="475"/>
      <c r="Z1326" s="475"/>
      <c r="AA1326" s="475"/>
      <c r="AB1326" s="475"/>
      <c r="AC1326" s="475"/>
      <c r="AD1326" s="475"/>
      <c r="AE1326" s="475"/>
      <c r="AF1326" s="475"/>
    </row>
    <row r="1327" spans="2:32">
      <c r="B1327" s="471"/>
      <c r="C1327" s="475"/>
      <c r="D1327" s="475"/>
      <c r="E1327" s="475"/>
      <c r="F1327" s="474"/>
      <c r="G1327" s="475"/>
      <c r="H1327" s="474"/>
      <c r="I1327" s="474"/>
      <c r="J1327" s="475"/>
      <c r="K1327" s="475"/>
      <c r="L1327" s="475"/>
      <c r="M1327" s="475"/>
      <c r="N1327" s="475"/>
      <c r="O1327" s="475"/>
      <c r="P1327" s="475"/>
      <c r="Q1327" s="475"/>
      <c r="R1327" s="475"/>
      <c r="S1327" s="475"/>
      <c r="T1327" s="475"/>
      <c r="U1327" s="475"/>
      <c r="V1327" s="475"/>
      <c r="W1327" s="475"/>
      <c r="X1327" s="475"/>
      <c r="Y1327" s="475"/>
      <c r="Z1327" s="475"/>
      <c r="AA1327" s="475"/>
      <c r="AB1327" s="475"/>
      <c r="AC1327" s="475"/>
      <c r="AD1327" s="475"/>
      <c r="AE1327" s="475"/>
      <c r="AF1327" s="475"/>
    </row>
    <row r="1328" spans="2:32">
      <c r="B1328" s="471"/>
      <c r="C1328" s="475"/>
      <c r="D1328" s="475"/>
      <c r="E1328" s="475"/>
      <c r="F1328" s="474"/>
      <c r="G1328" s="475"/>
      <c r="H1328" s="474"/>
      <c r="I1328" s="474"/>
      <c r="J1328" s="475"/>
      <c r="K1328" s="475"/>
      <c r="L1328" s="475"/>
      <c r="M1328" s="475"/>
      <c r="N1328" s="475"/>
      <c r="O1328" s="475"/>
      <c r="P1328" s="475"/>
      <c r="Q1328" s="475"/>
      <c r="R1328" s="475"/>
      <c r="S1328" s="475"/>
      <c r="T1328" s="475"/>
      <c r="U1328" s="475"/>
      <c r="V1328" s="475"/>
      <c r="W1328" s="475"/>
      <c r="X1328" s="475"/>
      <c r="Y1328" s="475"/>
      <c r="Z1328" s="475"/>
      <c r="AA1328" s="475"/>
      <c r="AB1328" s="475"/>
      <c r="AC1328" s="475"/>
      <c r="AD1328" s="475"/>
      <c r="AE1328" s="475"/>
      <c r="AF1328" s="475"/>
    </row>
    <row r="1329" spans="2:32">
      <c r="B1329" s="471"/>
      <c r="C1329" s="475"/>
      <c r="D1329" s="475"/>
      <c r="E1329" s="475"/>
      <c r="F1329" s="474"/>
      <c r="G1329" s="475"/>
      <c r="H1329" s="474"/>
      <c r="I1329" s="474"/>
      <c r="J1329" s="475"/>
      <c r="K1329" s="475"/>
      <c r="L1329" s="475"/>
      <c r="M1329" s="475"/>
      <c r="N1329" s="475"/>
      <c r="O1329" s="475"/>
      <c r="P1329" s="475"/>
      <c r="Q1329" s="475"/>
      <c r="R1329" s="475"/>
      <c r="S1329" s="475"/>
      <c r="T1329" s="475"/>
      <c r="U1329" s="475"/>
      <c r="V1329" s="475"/>
      <c r="W1329" s="475"/>
      <c r="X1329" s="475"/>
      <c r="Y1329" s="475"/>
      <c r="Z1329" s="475"/>
      <c r="AA1329" s="475"/>
      <c r="AB1329" s="475"/>
      <c r="AC1329" s="475"/>
      <c r="AD1329" s="475"/>
      <c r="AE1329" s="475"/>
      <c r="AF1329" s="475"/>
    </row>
    <row r="1330" spans="2:32">
      <c r="B1330" s="471"/>
      <c r="C1330" s="475"/>
      <c r="D1330" s="475"/>
      <c r="E1330" s="475"/>
      <c r="F1330" s="474"/>
      <c r="G1330" s="475"/>
      <c r="H1330" s="474"/>
      <c r="I1330" s="474"/>
      <c r="J1330" s="475"/>
      <c r="K1330" s="475"/>
      <c r="L1330" s="475"/>
      <c r="M1330" s="475"/>
      <c r="N1330" s="475"/>
      <c r="O1330" s="475"/>
      <c r="P1330" s="475"/>
      <c r="Q1330" s="475"/>
      <c r="R1330" s="475"/>
      <c r="S1330" s="475"/>
      <c r="T1330" s="475"/>
      <c r="U1330" s="475"/>
      <c r="V1330" s="475"/>
      <c r="W1330" s="475"/>
      <c r="X1330" s="475"/>
      <c r="Y1330" s="475"/>
      <c r="Z1330" s="475"/>
      <c r="AA1330" s="475"/>
      <c r="AB1330" s="475"/>
      <c r="AC1330" s="475"/>
      <c r="AD1330" s="475"/>
      <c r="AE1330" s="475"/>
      <c r="AF1330" s="475"/>
    </row>
    <row r="1331" spans="2:32">
      <c r="B1331" s="471"/>
      <c r="C1331" s="475"/>
      <c r="D1331" s="475"/>
      <c r="E1331" s="475"/>
      <c r="F1331" s="474"/>
      <c r="G1331" s="475"/>
      <c r="H1331" s="474"/>
      <c r="I1331" s="474"/>
      <c r="J1331" s="475"/>
      <c r="K1331" s="475"/>
      <c r="L1331" s="475"/>
      <c r="M1331" s="475"/>
      <c r="N1331" s="475"/>
      <c r="O1331" s="475"/>
      <c r="P1331" s="475"/>
      <c r="Q1331" s="475"/>
      <c r="R1331" s="475"/>
      <c r="S1331" s="475"/>
      <c r="T1331" s="475"/>
      <c r="U1331" s="475"/>
      <c r="V1331" s="475"/>
      <c r="W1331" s="475"/>
      <c r="X1331" s="475"/>
      <c r="Y1331" s="475"/>
      <c r="Z1331" s="475"/>
      <c r="AA1331" s="475"/>
      <c r="AB1331" s="475"/>
      <c r="AC1331" s="475"/>
      <c r="AD1331" s="475"/>
      <c r="AE1331" s="475"/>
      <c r="AF1331" s="475"/>
    </row>
    <row r="1332" spans="2:32">
      <c r="B1332" s="471"/>
      <c r="C1332" s="475"/>
      <c r="D1332" s="475"/>
      <c r="E1332" s="475"/>
      <c r="F1332" s="474"/>
      <c r="G1332" s="475"/>
      <c r="H1332" s="474"/>
      <c r="I1332" s="474"/>
      <c r="J1332" s="475"/>
      <c r="K1332" s="475"/>
      <c r="L1332" s="475"/>
      <c r="M1332" s="475"/>
      <c r="N1332" s="475"/>
      <c r="O1332" s="475"/>
      <c r="P1332" s="475"/>
      <c r="Q1332" s="475"/>
      <c r="R1332" s="475"/>
      <c r="S1332" s="475"/>
      <c r="T1332" s="475"/>
      <c r="U1332" s="475"/>
      <c r="V1332" s="475"/>
      <c r="W1332" s="475"/>
      <c r="X1332" s="475"/>
      <c r="Y1332" s="475"/>
      <c r="Z1332" s="475"/>
      <c r="AA1332" s="475"/>
      <c r="AB1332" s="475"/>
      <c r="AC1332" s="475"/>
      <c r="AD1332" s="475"/>
      <c r="AE1332" s="475"/>
      <c r="AF1332" s="475"/>
    </row>
    <row r="1333" spans="2:32">
      <c r="B1333" s="471"/>
      <c r="C1333" s="475"/>
      <c r="D1333" s="475"/>
      <c r="E1333" s="475"/>
      <c r="F1333" s="474"/>
      <c r="G1333" s="475"/>
      <c r="H1333" s="474"/>
      <c r="I1333" s="474"/>
      <c r="J1333" s="475"/>
      <c r="K1333" s="475"/>
      <c r="L1333" s="475"/>
      <c r="M1333" s="475"/>
      <c r="N1333" s="475"/>
      <c r="O1333" s="475"/>
      <c r="P1333" s="475"/>
      <c r="Q1333" s="475"/>
      <c r="R1333" s="475"/>
      <c r="S1333" s="475"/>
      <c r="T1333" s="475"/>
      <c r="U1333" s="475"/>
      <c r="V1333" s="475"/>
      <c r="W1333" s="475"/>
      <c r="X1333" s="475"/>
      <c r="Y1333" s="475"/>
      <c r="Z1333" s="475"/>
      <c r="AA1333" s="475"/>
      <c r="AB1333" s="475"/>
      <c r="AC1333" s="475"/>
      <c r="AD1333" s="475"/>
      <c r="AE1333" s="475"/>
      <c r="AF1333" s="475"/>
    </row>
    <row r="1334" spans="2:32">
      <c r="B1334" s="471"/>
      <c r="C1334" s="475"/>
      <c r="D1334" s="475"/>
      <c r="E1334" s="475"/>
      <c r="F1334" s="474"/>
      <c r="G1334" s="475"/>
      <c r="H1334" s="474"/>
      <c r="I1334" s="474"/>
      <c r="J1334" s="475"/>
      <c r="K1334" s="475"/>
      <c r="L1334" s="475"/>
      <c r="M1334" s="475"/>
      <c r="N1334" s="475"/>
      <c r="O1334" s="475"/>
      <c r="P1334" s="475"/>
      <c r="Q1334" s="475"/>
      <c r="R1334" s="475"/>
      <c r="S1334" s="475"/>
      <c r="T1334" s="475"/>
      <c r="U1334" s="475"/>
      <c r="V1334" s="475"/>
      <c r="W1334" s="475"/>
      <c r="X1334" s="475"/>
      <c r="Y1334" s="475"/>
      <c r="Z1334" s="475"/>
      <c r="AA1334" s="475"/>
      <c r="AB1334" s="475"/>
      <c r="AC1334" s="475"/>
      <c r="AD1334" s="475"/>
      <c r="AE1334" s="475"/>
      <c r="AF1334" s="475"/>
    </row>
    <row r="1335" spans="2:32">
      <c r="B1335" s="471"/>
      <c r="C1335" s="475"/>
      <c r="D1335" s="475"/>
      <c r="E1335" s="475"/>
      <c r="F1335" s="474"/>
      <c r="G1335" s="475"/>
      <c r="H1335" s="474"/>
      <c r="I1335" s="474"/>
      <c r="J1335" s="475"/>
      <c r="K1335" s="475"/>
      <c r="L1335" s="475"/>
      <c r="M1335" s="475"/>
      <c r="N1335" s="475"/>
      <c r="O1335" s="475"/>
      <c r="P1335" s="475"/>
      <c r="Q1335" s="475"/>
      <c r="R1335" s="475"/>
      <c r="S1335" s="475"/>
      <c r="T1335" s="475"/>
      <c r="U1335" s="475"/>
      <c r="V1335" s="475"/>
      <c r="W1335" s="475"/>
      <c r="X1335" s="475"/>
      <c r="Y1335" s="475"/>
      <c r="Z1335" s="475"/>
      <c r="AA1335" s="475"/>
      <c r="AB1335" s="475"/>
      <c r="AC1335" s="475"/>
      <c r="AD1335" s="475"/>
      <c r="AE1335" s="475"/>
      <c r="AF1335" s="475"/>
    </row>
    <row r="1336" spans="2:32">
      <c r="B1336" s="471"/>
      <c r="C1336" s="475"/>
      <c r="D1336" s="475"/>
      <c r="E1336" s="475"/>
      <c r="F1336" s="474"/>
      <c r="G1336" s="475"/>
      <c r="H1336" s="474"/>
      <c r="I1336" s="474"/>
      <c r="J1336" s="475"/>
      <c r="K1336" s="475"/>
      <c r="L1336" s="475"/>
      <c r="M1336" s="475"/>
      <c r="N1336" s="475"/>
      <c r="O1336" s="475"/>
      <c r="P1336" s="475"/>
      <c r="Q1336" s="475"/>
      <c r="R1336" s="475"/>
      <c r="S1336" s="475"/>
      <c r="T1336" s="475"/>
      <c r="U1336" s="475"/>
      <c r="V1336" s="475"/>
      <c r="W1336" s="475"/>
      <c r="X1336" s="475"/>
      <c r="Y1336" s="475"/>
      <c r="Z1336" s="475"/>
      <c r="AA1336" s="475"/>
      <c r="AB1336" s="475"/>
      <c r="AC1336" s="475"/>
      <c r="AD1336" s="475"/>
      <c r="AE1336" s="475"/>
      <c r="AF1336" s="475"/>
    </row>
    <row r="1337" spans="2:32">
      <c r="B1337" s="471"/>
      <c r="C1337" s="475"/>
      <c r="D1337" s="475"/>
      <c r="E1337" s="475"/>
      <c r="F1337" s="474"/>
      <c r="G1337" s="475"/>
      <c r="H1337" s="474"/>
      <c r="I1337" s="474"/>
      <c r="J1337" s="475"/>
      <c r="K1337" s="475"/>
      <c r="L1337" s="475"/>
      <c r="M1337" s="475"/>
      <c r="N1337" s="475"/>
      <c r="O1337" s="475"/>
      <c r="P1337" s="475"/>
      <c r="Q1337" s="475"/>
      <c r="R1337" s="475"/>
      <c r="S1337" s="475"/>
      <c r="T1337" s="475"/>
      <c r="U1337" s="475"/>
      <c r="V1337" s="475"/>
      <c r="W1337" s="475"/>
      <c r="X1337" s="475"/>
      <c r="Y1337" s="475"/>
      <c r="Z1337" s="475"/>
      <c r="AA1337" s="475"/>
      <c r="AB1337" s="475"/>
      <c r="AC1337" s="475"/>
      <c r="AD1337" s="475"/>
      <c r="AE1337" s="475"/>
      <c r="AF1337" s="475"/>
    </row>
    <row r="1338" spans="2:32">
      <c r="B1338" s="471"/>
      <c r="C1338" s="475"/>
      <c r="D1338" s="475"/>
      <c r="E1338" s="475"/>
      <c r="F1338" s="474"/>
      <c r="G1338" s="475"/>
      <c r="H1338" s="474"/>
      <c r="I1338" s="474"/>
      <c r="J1338" s="475"/>
      <c r="K1338" s="475"/>
      <c r="L1338" s="475"/>
      <c r="M1338" s="475"/>
      <c r="N1338" s="475"/>
      <c r="O1338" s="475"/>
      <c r="P1338" s="475"/>
      <c r="Q1338" s="475"/>
      <c r="R1338" s="475"/>
      <c r="S1338" s="475"/>
      <c r="T1338" s="475"/>
      <c r="U1338" s="475"/>
      <c r="V1338" s="475"/>
      <c r="W1338" s="475"/>
      <c r="X1338" s="475"/>
      <c r="Y1338" s="475"/>
      <c r="Z1338" s="475"/>
      <c r="AA1338" s="475"/>
      <c r="AB1338" s="475"/>
      <c r="AC1338" s="475"/>
      <c r="AD1338" s="475"/>
      <c r="AE1338" s="475"/>
      <c r="AF1338" s="475"/>
    </row>
    <row r="1339" spans="2:32">
      <c r="B1339" s="471"/>
      <c r="C1339" s="475"/>
      <c r="D1339" s="475"/>
      <c r="E1339" s="475"/>
      <c r="F1339" s="474"/>
      <c r="G1339" s="475"/>
      <c r="H1339" s="474"/>
      <c r="I1339" s="474"/>
      <c r="J1339" s="475"/>
      <c r="K1339" s="475"/>
      <c r="L1339" s="475"/>
      <c r="M1339" s="475"/>
      <c r="N1339" s="475"/>
      <c r="O1339" s="475"/>
      <c r="P1339" s="475"/>
      <c r="Q1339" s="475"/>
      <c r="R1339" s="475"/>
      <c r="S1339" s="475"/>
      <c r="T1339" s="475"/>
      <c r="U1339" s="475"/>
      <c r="V1339" s="475"/>
      <c r="W1339" s="475"/>
      <c r="X1339" s="475"/>
      <c r="Y1339" s="475"/>
      <c r="Z1339" s="475"/>
      <c r="AA1339" s="475"/>
      <c r="AB1339" s="475"/>
      <c r="AC1339" s="475"/>
      <c r="AD1339" s="475"/>
      <c r="AE1339" s="475"/>
      <c r="AF1339" s="475"/>
    </row>
    <row r="1340" spans="2:32">
      <c r="B1340" s="471"/>
      <c r="C1340" s="475"/>
      <c r="D1340" s="475"/>
      <c r="E1340" s="475"/>
      <c r="F1340" s="474"/>
      <c r="G1340" s="475"/>
      <c r="H1340" s="474"/>
      <c r="I1340" s="474"/>
      <c r="J1340" s="475"/>
      <c r="K1340" s="475"/>
      <c r="L1340" s="475"/>
      <c r="M1340" s="475"/>
      <c r="N1340" s="475"/>
      <c r="O1340" s="475"/>
      <c r="P1340" s="475"/>
      <c r="Q1340" s="475"/>
      <c r="R1340" s="475"/>
      <c r="S1340" s="475"/>
      <c r="T1340" s="475"/>
      <c r="U1340" s="475"/>
      <c r="V1340" s="475"/>
      <c r="W1340" s="475"/>
      <c r="X1340" s="475"/>
      <c r="Y1340" s="475"/>
      <c r="Z1340" s="475"/>
      <c r="AA1340" s="475"/>
      <c r="AB1340" s="475"/>
      <c r="AC1340" s="475"/>
      <c r="AD1340" s="475"/>
      <c r="AE1340" s="475"/>
      <c r="AF1340" s="475"/>
    </row>
    <row r="1341" spans="2:32">
      <c r="B1341" s="471"/>
      <c r="C1341" s="475"/>
      <c r="D1341" s="475"/>
      <c r="E1341" s="475"/>
      <c r="F1341" s="474"/>
      <c r="G1341" s="475"/>
      <c r="H1341" s="474"/>
      <c r="I1341" s="474"/>
      <c r="J1341" s="475"/>
      <c r="K1341" s="475"/>
      <c r="L1341" s="475"/>
      <c r="M1341" s="475"/>
      <c r="N1341" s="475"/>
      <c r="O1341" s="475"/>
      <c r="P1341" s="475"/>
      <c r="Q1341" s="475"/>
      <c r="R1341" s="475"/>
      <c r="S1341" s="475"/>
      <c r="T1341" s="475"/>
      <c r="U1341" s="475"/>
      <c r="V1341" s="475"/>
      <c r="W1341" s="475"/>
      <c r="X1341" s="475"/>
      <c r="Y1341" s="475"/>
      <c r="Z1341" s="475"/>
      <c r="AA1341" s="475"/>
      <c r="AB1341" s="475"/>
      <c r="AC1341" s="475"/>
      <c r="AD1341" s="475"/>
      <c r="AE1341" s="475"/>
      <c r="AF1341" s="475"/>
    </row>
    <row r="1342" spans="2:32">
      <c r="B1342" s="471"/>
      <c r="C1342" s="475"/>
      <c r="D1342" s="475"/>
      <c r="E1342" s="475"/>
      <c r="F1342" s="474"/>
      <c r="G1342" s="475"/>
      <c r="H1342" s="474"/>
      <c r="I1342" s="474"/>
      <c r="J1342" s="475"/>
      <c r="K1342" s="475"/>
      <c r="L1342" s="475"/>
      <c r="M1342" s="475"/>
      <c r="N1342" s="475"/>
      <c r="O1342" s="475"/>
      <c r="P1342" s="475"/>
      <c r="Q1342" s="475"/>
      <c r="R1342" s="475"/>
      <c r="S1342" s="475"/>
      <c r="T1342" s="475"/>
      <c r="U1342" s="475"/>
      <c r="V1342" s="475"/>
      <c r="W1342" s="475"/>
      <c r="X1342" s="475"/>
      <c r="Y1342" s="475"/>
      <c r="Z1342" s="475"/>
      <c r="AA1342" s="475"/>
      <c r="AB1342" s="475"/>
      <c r="AC1342" s="475"/>
      <c r="AD1342" s="475"/>
      <c r="AE1342" s="475"/>
      <c r="AF1342" s="475"/>
    </row>
    <row r="1343" spans="2:32">
      <c r="B1343" s="471"/>
      <c r="C1343" s="475"/>
      <c r="D1343" s="475"/>
      <c r="E1343" s="475"/>
      <c r="F1343" s="474"/>
      <c r="G1343" s="475"/>
      <c r="H1343" s="474"/>
      <c r="I1343" s="474"/>
      <c r="J1343" s="475"/>
      <c r="K1343" s="475"/>
      <c r="L1343" s="475"/>
      <c r="M1343" s="475"/>
      <c r="N1343" s="475"/>
      <c r="O1343" s="475"/>
      <c r="P1343" s="475"/>
      <c r="Q1343" s="475"/>
      <c r="R1343" s="475"/>
      <c r="S1343" s="475"/>
      <c r="T1343" s="475"/>
      <c r="U1343" s="475"/>
      <c r="V1343" s="475"/>
      <c r="W1343" s="475"/>
      <c r="X1343" s="475"/>
      <c r="Y1343" s="475"/>
      <c r="Z1343" s="475"/>
      <c r="AA1343" s="475"/>
      <c r="AB1343" s="475"/>
      <c r="AC1343" s="475"/>
      <c r="AD1343" s="475"/>
      <c r="AE1343" s="475"/>
      <c r="AF1343" s="475"/>
    </row>
    <row r="1344" spans="2:32">
      <c r="B1344" s="471"/>
      <c r="C1344" s="475"/>
      <c r="D1344" s="475"/>
      <c r="E1344" s="475"/>
      <c r="F1344" s="474"/>
      <c r="G1344" s="475"/>
      <c r="H1344" s="474"/>
      <c r="I1344" s="474"/>
      <c r="J1344" s="475"/>
      <c r="K1344" s="475"/>
      <c r="L1344" s="475"/>
      <c r="M1344" s="475"/>
      <c r="N1344" s="475"/>
      <c r="O1344" s="475"/>
      <c r="P1344" s="475"/>
      <c r="Q1344" s="475"/>
      <c r="R1344" s="475"/>
      <c r="S1344" s="475"/>
      <c r="T1344" s="475"/>
      <c r="U1344" s="475"/>
      <c r="V1344" s="475"/>
      <c r="W1344" s="475"/>
      <c r="X1344" s="475"/>
      <c r="Y1344" s="475"/>
      <c r="Z1344" s="475"/>
      <c r="AA1344" s="475"/>
      <c r="AB1344" s="475"/>
      <c r="AC1344" s="475"/>
      <c r="AD1344" s="475"/>
      <c r="AE1344" s="475"/>
      <c r="AF1344" s="475"/>
    </row>
    <row r="1345" spans="2:32">
      <c r="B1345" s="471"/>
      <c r="C1345" s="475"/>
      <c r="D1345" s="475"/>
      <c r="E1345" s="475"/>
      <c r="F1345" s="474"/>
      <c r="G1345" s="475"/>
      <c r="H1345" s="474"/>
      <c r="I1345" s="474"/>
      <c r="J1345" s="475"/>
      <c r="K1345" s="475"/>
      <c r="L1345" s="475"/>
      <c r="M1345" s="475"/>
      <c r="N1345" s="475"/>
      <c r="O1345" s="475"/>
      <c r="P1345" s="475"/>
      <c r="Q1345" s="475"/>
      <c r="R1345" s="475"/>
      <c r="S1345" s="475"/>
      <c r="T1345" s="475"/>
      <c r="U1345" s="475"/>
      <c r="V1345" s="475"/>
      <c r="W1345" s="475"/>
      <c r="X1345" s="475"/>
      <c r="Y1345" s="475"/>
      <c r="Z1345" s="475"/>
      <c r="AA1345" s="475"/>
      <c r="AB1345" s="475"/>
      <c r="AC1345" s="475"/>
      <c r="AD1345" s="475"/>
      <c r="AE1345" s="475"/>
      <c r="AF1345" s="475"/>
    </row>
    <row r="1346" spans="2:32">
      <c r="B1346" s="471"/>
      <c r="C1346" s="475"/>
      <c r="D1346" s="475"/>
      <c r="E1346" s="475"/>
      <c r="F1346" s="474"/>
      <c r="G1346" s="475"/>
      <c r="H1346" s="474"/>
      <c r="I1346" s="474"/>
      <c r="J1346" s="475"/>
      <c r="K1346" s="475"/>
      <c r="L1346" s="475"/>
      <c r="M1346" s="475"/>
      <c r="N1346" s="475"/>
      <c r="O1346" s="475"/>
      <c r="P1346" s="475"/>
      <c r="Q1346" s="475"/>
      <c r="R1346" s="475"/>
      <c r="S1346" s="475"/>
      <c r="T1346" s="475"/>
      <c r="U1346" s="475"/>
      <c r="V1346" s="475"/>
      <c r="W1346" s="475"/>
      <c r="X1346" s="475"/>
      <c r="Y1346" s="475"/>
      <c r="Z1346" s="475"/>
      <c r="AA1346" s="475"/>
      <c r="AB1346" s="475"/>
      <c r="AC1346" s="475"/>
      <c r="AD1346" s="475"/>
      <c r="AE1346" s="475"/>
      <c r="AF1346" s="475"/>
    </row>
    <row r="1347" spans="2:32">
      <c r="B1347" s="471"/>
      <c r="C1347" s="475"/>
      <c r="D1347" s="475"/>
      <c r="E1347" s="475"/>
      <c r="F1347" s="474"/>
      <c r="G1347" s="475"/>
      <c r="H1347" s="474"/>
      <c r="I1347" s="474"/>
      <c r="J1347" s="475"/>
      <c r="K1347" s="475"/>
      <c r="L1347" s="475"/>
      <c r="M1347" s="475"/>
      <c r="N1347" s="475"/>
      <c r="O1347" s="475"/>
      <c r="P1347" s="475"/>
      <c r="Q1347" s="475"/>
      <c r="R1347" s="475"/>
      <c r="S1347" s="475"/>
      <c r="T1347" s="475"/>
      <c r="U1347" s="475"/>
      <c r="V1347" s="475"/>
      <c r="W1347" s="475"/>
      <c r="X1347" s="475"/>
      <c r="Y1347" s="475"/>
      <c r="Z1347" s="475"/>
      <c r="AA1347" s="475"/>
      <c r="AB1347" s="475"/>
      <c r="AC1347" s="475"/>
      <c r="AD1347" s="475"/>
      <c r="AE1347" s="475"/>
      <c r="AF1347" s="475"/>
    </row>
    <row r="1348" spans="2:32">
      <c r="B1348" s="471"/>
      <c r="C1348" s="475"/>
      <c r="D1348" s="475"/>
      <c r="E1348" s="475"/>
      <c r="F1348" s="474"/>
      <c r="G1348" s="475"/>
      <c r="H1348" s="474"/>
      <c r="I1348" s="474"/>
      <c r="J1348" s="475"/>
      <c r="K1348" s="475"/>
      <c r="L1348" s="475"/>
      <c r="M1348" s="475"/>
      <c r="N1348" s="475"/>
      <c r="O1348" s="475"/>
      <c r="P1348" s="475"/>
      <c r="Q1348" s="475"/>
      <c r="R1348" s="475"/>
      <c r="S1348" s="475"/>
      <c r="T1348" s="475"/>
      <c r="U1348" s="475"/>
      <c r="V1348" s="475"/>
      <c r="W1348" s="475"/>
      <c r="X1348" s="475"/>
      <c r="Y1348" s="475"/>
      <c r="Z1348" s="475"/>
      <c r="AA1348" s="475"/>
      <c r="AB1348" s="475"/>
      <c r="AC1348" s="475"/>
      <c r="AD1348" s="475"/>
      <c r="AE1348" s="475"/>
      <c r="AF1348" s="475"/>
    </row>
    <row r="1349" spans="2:32">
      <c r="B1349" s="471"/>
      <c r="C1349" s="475"/>
      <c r="D1349" s="475"/>
      <c r="E1349" s="475"/>
      <c r="F1349" s="474"/>
      <c r="G1349" s="475"/>
      <c r="H1349" s="474"/>
      <c r="I1349" s="474"/>
      <c r="J1349" s="475"/>
      <c r="K1349" s="475"/>
      <c r="L1349" s="475"/>
      <c r="M1349" s="475"/>
      <c r="N1349" s="475"/>
      <c r="O1349" s="475"/>
      <c r="P1349" s="475"/>
      <c r="Q1349" s="475"/>
      <c r="R1349" s="475"/>
      <c r="S1349" s="475"/>
      <c r="T1349" s="475"/>
      <c r="U1349" s="475"/>
      <c r="V1349" s="475"/>
      <c r="W1349" s="475"/>
      <c r="X1349" s="475"/>
      <c r="Y1349" s="475"/>
      <c r="Z1349" s="475"/>
      <c r="AA1349" s="475"/>
      <c r="AB1349" s="475"/>
      <c r="AC1349" s="475"/>
      <c r="AD1349" s="475"/>
      <c r="AE1349" s="475"/>
      <c r="AF1349" s="475"/>
    </row>
    <row r="1350" spans="2:32">
      <c r="B1350" s="471"/>
      <c r="C1350" s="475"/>
      <c r="D1350" s="475"/>
      <c r="E1350" s="475"/>
      <c r="F1350" s="474"/>
      <c r="G1350" s="475"/>
      <c r="H1350" s="474"/>
      <c r="I1350" s="474"/>
      <c r="J1350" s="475"/>
      <c r="K1350" s="475"/>
      <c r="L1350" s="475"/>
      <c r="M1350" s="475"/>
      <c r="N1350" s="475"/>
      <c r="O1350" s="475"/>
      <c r="P1350" s="475"/>
      <c r="Q1350" s="475"/>
      <c r="R1350" s="475"/>
      <c r="S1350" s="475"/>
      <c r="T1350" s="475"/>
      <c r="U1350" s="475"/>
      <c r="V1350" s="475"/>
      <c r="W1350" s="475"/>
      <c r="X1350" s="475"/>
      <c r="Y1350" s="475"/>
      <c r="Z1350" s="475"/>
      <c r="AA1350" s="475"/>
      <c r="AB1350" s="475"/>
      <c r="AC1350" s="475"/>
      <c r="AD1350" s="475"/>
      <c r="AE1350" s="475"/>
      <c r="AF1350" s="475"/>
    </row>
    <row r="1351" spans="2:32">
      <c r="B1351" s="471"/>
      <c r="C1351" s="475"/>
      <c r="D1351" s="475"/>
      <c r="E1351" s="475"/>
      <c r="F1351" s="474"/>
      <c r="G1351" s="475"/>
      <c r="H1351" s="474"/>
      <c r="I1351" s="474"/>
      <c r="J1351" s="475"/>
      <c r="K1351" s="475"/>
      <c r="L1351" s="475"/>
      <c r="M1351" s="475"/>
      <c r="N1351" s="475"/>
      <c r="O1351" s="475"/>
      <c r="P1351" s="475"/>
      <c r="Q1351" s="475"/>
      <c r="R1351" s="475"/>
      <c r="S1351" s="475"/>
      <c r="T1351" s="475"/>
      <c r="U1351" s="475"/>
      <c r="V1351" s="475"/>
      <c r="W1351" s="475"/>
      <c r="X1351" s="475"/>
      <c r="Y1351" s="475"/>
      <c r="Z1351" s="475"/>
      <c r="AA1351" s="475"/>
      <c r="AB1351" s="475"/>
      <c r="AC1351" s="475"/>
      <c r="AD1351" s="475"/>
      <c r="AE1351" s="475"/>
      <c r="AF1351" s="475"/>
    </row>
    <row r="1352" spans="2:32">
      <c r="B1352" s="471"/>
      <c r="C1352" s="475"/>
      <c r="D1352" s="475"/>
      <c r="E1352" s="475"/>
      <c r="F1352" s="474"/>
      <c r="G1352" s="475"/>
      <c r="H1352" s="474"/>
      <c r="I1352" s="474"/>
      <c r="J1352" s="475"/>
      <c r="K1352" s="475"/>
      <c r="L1352" s="475"/>
      <c r="M1352" s="475"/>
      <c r="N1352" s="475"/>
      <c r="O1352" s="475"/>
      <c r="P1352" s="475"/>
      <c r="Q1352" s="475"/>
      <c r="R1352" s="475"/>
      <c r="S1352" s="475"/>
      <c r="T1352" s="475"/>
      <c r="U1352" s="475"/>
      <c r="V1352" s="475"/>
      <c r="W1352" s="475"/>
      <c r="X1352" s="475"/>
      <c r="Y1352" s="475"/>
      <c r="Z1352" s="475"/>
      <c r="AA1352" s="475"/>
      <c r="AB1352" s="475"/>
      <c r="AC1352" s="475"/>
      <c r="AD1352" s="475"/>
      <c r="AE1352" s="475"/>
      <c r="AF1352" s="475"/>
    </row>
    <row r="1353" spans="2:32">
      <c r="B1353" s="471"/>
      <c r="C1353" s="475"/>
      <c r="D1353" s="475"/>
      <c r="E1353" s="475"/>
      <c r="F1353" s="474"/>
      <c r="G1353" s="475"/>
      <c r="H1353" s="474"/>
      <c r="I1353" s="474"/>
      <c r="J1353" s="475"/>
      <c r="K1353" s="475"/>
      <c r="L1353" s="475"/>
      <c r="M1353" s="475"/>
      <c r="N1353" s="475"/>
      <c r="O1353" s="475"/>
      <c r="P1353" s="475"/>
      <c r="Q1353" s="475"/>
      <c r="R1353" s="475"/>
      <c r="S1353" s="475"/>
      <c r="T1353" s="475"/>
      <c r="U1353" s="475"/>
      <c r="V1353" s="475"/>
      <c r="W1353" s="475"/>
      <c r="X1353" s="475"/>
      <c r="Y1353" s="475"/>
      <c r="Z1353" s="475"/>
      <c r="AA1353" s="475"/>
      <c r="AB1353" s="475"/>
      <c r="AC1353" s="475"/>
      <c r="AD1353" s="475"/>
      <c r="AE1353" s="475"/>
      <c r="AF1353" s="475"/>
    </row>
    <row r="1354" spans="2:32">
      <c r="B1354" s="471"/>
      <c r="C1354" s="475"/>
      <c r="D1354" s="475"/>
      <c r="E1354" s="475"/>
      <c r="F1354" s="474"/>
      <c r="G1354" s="475"/>
      <c r="H1354" s="474"/>
      <c r="I1354" s="474"/>
      <c r="J1354" s="475"/>
      <c r="K1354" s="475"/>
      <c r="L1354" s="475"/>
      <c r="M1354" s="475"/>
      <c r="N1354" s="475"/>
      <c r="O1354" s="475"/>
      <c r="P1354" s="475"/>
      <c r="Q1354" s="475"/>
      <c r="R1354" s="475"/>
      <c r="S1354" s="475"/>
      <c r="T1354" s="475"/>
      <c r="U1354" s="475"/>
      <c r="V1354" s="475"/>
      <c r="W1354" s="475"/>
      <c r="X1354" s="475"/>
      <c r="Y1354" s="475"/>
      <c r="Z1354" s="475"/>
      <c r="AA1354" s="475"/>
      <c r="AB1354" s="475"/>
      <c r="AC1354" s="475"/>
      <c r="AD1354" s="475"/>
      <c r="AE1354" s="475"/>
      <c r="AF1354" s="475"/>
    </row>
    <row r="1355" spans="2:32">
      <c r="B1355" s="471"/>
      <c r="C1355" s="475"/>
      <c r="D1355" s="475"/>
      <c r="E1355" s="475"/>
      <c r="F1355" s="474"/>
      <c r="G1355" s="475"/>
      <c r="H1355" s="474"/>
      <c r="I1355" s="474"/>
      <c r="J1355" s="475"/>
      <c r="K1355" s="475"/>
      <c r="L1355" s="475"/>
      <c r="M1355" s="475"/>
      <c r="N1355" s="475"/>
      <c r="O1355" s="475"/>
      <c r="P1355" s="475"/>
      <c r="Q1355" s="475"/>
      <c r="R1355" s="475"/>
      <c r="S1355" s="475"/>
      <c r="T1355" s="475"/>
      <c r="U1355" s="475"/>
      <c r="V1355" s="475"/>
      <c r="W1355" s="475"/>
      <c r="X1355" s="475"/>
      <c r="Y1355" s="475"/>
      <c r="Z1355" s="475"/>
      <c r="AA1355" s="475"/>
      <c r="AB1355" s="475"/>
      <c r="AC1355" s="475"/>
      <c r="AD1355" s="475"/>
      <c r="AE1355" s="475"/>
      <c r="AF1355" s="475"/>
    </row>
    <row r="1356" spans="2:32">
      <c r="B1356" s="471"/>
      <c r="C1356" s="475"/>
      <c r="D1356" s="475"/>
      <c r="E1356" s="475"/>
      <c r="F1356" s="474"/>
      <c r="G1356" s="475"/>
      <c r="H1356" s="474"/>
      <c r="I1356" s="474"/>
      <c r="J1356" s="475"/>
      <c r="K1356" s="475"/>
      <c r="L1356" s="475"/>
      <c r="M1356" s="475"/>
      <c r="N1356" s="475"/>
      <c r="O1356" s="475"/>
      <c r="P1356" s="475"/>
      <c r="Q1356" s="475"/>
      <c r="R1356" s="475"/>
      <c r="S1356" s="475"/>
      <c r="T1356" s="475"/>
      <c r="U1356" s="475"/>
      <c r="V1356" s="475"/>
      <c r="W1356" s="475"/>
      <c r="X1356" s="475"/>
      <c r="Y1356" s="475"/>
      <c r="Z1356" s="475"/>
      <c r="AA1356" s="475"/>
      <c r="AB1356" s="475"/>
      <c r="AC1356" s="475"/>
      <c r="AD1356" s="475"/>
      <c r="AE1356" s="475"/>
      <c r="AF1356" s="475"/>
    </row>
    <row r="1357" spans="2:32">
      <c r="B1357" s="471"/>
      <c r="C1357" s="475"/>
      <c r="D1357" s="475"/>
      <c r="E1357" s="475"/>
      <c r="F1357" s="474"/>
      <c r="G1357" s="475"/>
      <c r="H1357" s="474"/>
      <c r="I1357" s="474"/>
      <c r="J1357" s="475"/>
      <c r="K1357" s="475"/>
      <c r="L1357" s="475"/>
      <c r="M1357" s="475"/>
      <c r="N1357" s="475"/>
      <c r="O1357" s="475"/>
      <c r="P1357" s="475"/>
      <c r="Q1357" s="475"/>
      <c r="R1357" s="475"/>
      <c r="S1357" s="475"/>
      <c r="T1357" s="475"/>
      <c r="U1357" s="475"/>
      <c r="V1357" s="475"/>
      <c r="W1357" s="475"/>
      <c r="X1357" s="475"/>
      <c r="Y1357" s="475"/>
      <c r="Z1357" s="475"/>
      <c r="AA1357" s="475"/>
      <c r="AB1357" s="475"/>
      <c r="AC1357" s="475"/>
      <c r="AD1357" s="475"/>
      <c r="AE1357" s="475"/>
      <c r="AF1357" s="475"/>
    </row>
    <row r="1358" spans="2:32">
      <c r="B1358" s="471"/>
      <c r="C1358" s="475"/>
      <c r="D1358" s="475"/>
      <c r="E1358" s="475"/>
      <c r="F1358" s="474"/>
      <c r="G1358" s="475"/>
      <c r="H1358" s="474"/>
      <c r="I1358" s="474"/>
      <c r="J1358" s="475"/>
      <c r="K1358" s="475"/>
      <c r="L1358" s="475"/>
      <c r="M1358" s="475"/>
      <c r="N1358" s="475"/>
      <c r="O1358" s="475"/>
      <c r="P1358" s="475"/>
      <c r="Q1358" s="475"/>
      <c r="R1358" s="475"/>
      <c r="S1358" s="475"/>
      <c r="T1358" s="475"/>
      <c r="U1358" s="475"/>
      <c r="V1358" s="475"/>
      <c r="W1358" s="475"/>
      <c r="X1358" s="475"/>
      <c r="Y1358" s="475"/>
      <c r="Z1358" s="475"/>
      <c r="AA1358" s="475"/>
      <c r="AB1358" s="475"/>
      <c r="AC1358" s="475"/>
      <c r="AD1358" s="475"/>
      <c r="AE1358" s="475"/>
      <c r="AF1358" s="475"/>
    </row>
    <row r="1359" spans="2:32">
      <c r="B1359" s="471"/>
      <c r="C1359" s="475"/>
      <c r="D1359" s="475"/>
      <c r="E1359" s="475"/>
      <c r="F1359" s="474"/>
      <c r="G1359" s="475"/>
      <c r="H1359" s="474"/>
      <c r="I1359" s="474"/>
      <c r="J1359" s="475"/>
      <c r="K1359" s="475"/>
      <c r="L1359" s="475"/>
      <c r="M1359" s="475"/>
      <c r="N1359" s="475"/>
      <c r="O1359" s="475"/>
      <c r="P1359" s="475"/>
      <c r="Q1359" s="475"/>
      <c r="R1359" s="475"/>
      <c r="S1359" s="475"/>
      <c r="T1359" s="475"/>
      <c r="U1359" s="475"/>
      <c r="V1359" s="475"/>
      <c r="W1359" s="475"/>
      <c r="X1359" s="475"/>
      <c r="Y1359" s="475"/>
      <c r="Z1359" s="475"/>
      <c r="AA1359" s="475"/>
      <c r="AB1359" s="475"/>
      <c r="AC1359" s="475"/>
      <c r="AD1359" s="475"/>
      <c r="AE1359" s="475"/>
      <c r="AF1359" s="475"/>
    </row>
    <row r="1360" spans="2:32">
      <c r="B1360" s="471"/>
      <c r="C1360" s="475"/>
      <c r="D1360" s="475"/>
      <c r="E1360" s="475"/>
      <c r="F1360" s="474"/>
      <c r="G1360" s="475"/>
      <c r="H1360" s="474"/>
      <c r="I1360" s="474"/>
      <c r="J1360" s="475"/>
      <c r="K1360" s="475"/>
      <c r="L1360" s="475"/>
      <c r="M1360" s="475"/>
      <c r="N1360" s="475"/>
      <c r="O1360" s="475"/>
      <c r="P1360" s="475"/>
      <c r="Q1360" s="475"/>
      <c r="R1360" s="475"/>
      <c r="S1360" s="475"/>
      <c r="T1360" s="475"/>
      <c r="U1360" s="475"/>
      <c r="V1360" s="475"/>
      <c r="W1360" s="475"/>
      <c r="X1360" s="475"/>
      <c r="Y1360" s="475"/>
      <c r="Z1360" s="475"/>
      <c r="AA1360" s="475"/>
      <c r="AB1360" s="475"/>
      <c r="AC1360" s="475"/>
      <c r="AD1360" s="475"/>
      <c r="AE1360" s="475"/>
      <c r="AF1360" s="475"/>
    </row>
    <row r="1361" spans="2:32">
      <c r="B1361" s="471"/>
      <c r="C1361" s="475"/>
      <c r="D1361" s="475"/>
      <c r="E1361" s="475"/>
      <c r="F1361" s="474"/>
      <c r="G1361" s="475"/>
      <c r="H1361" s="474"/>
      <c r="I1361" s="474"/>
      <c r="J1361" s="475"/>
      <c r="K1361" s="475"/>
      <c r="L1361" s="475"/>
      <c r="M1361" s="475"/>
      <c r="N1361" s="475"/>
      <c r="O1361" s="475"/>
      <c r="P1361" s="475"/>
      <c r="Q1361" s="475"/>
      <c r="R1361" s="475"/>
      <c r="S1361" s="475"/>
      <c r="T1361" s="475"/>
      <c r="U1361" s="475"/>
      <c r="V1361" s="475"/>
      <c r="W1361" s="475"/>
      <c r="X1361" s="475"/>
      <c r="Y1361" s="475"/>
      <c r="Z1361" s="475"/>
      <c r="AA1361" s="475"/>
      <c r="AB1361" s="475"/>
      <c r="AC1361" s="475"/>
      <c r="AD1361" s="475"/>
      <c r="AE1361" s="475"/>
      <c r="AF1361" s="475"/>
    </row>
    <row r="1362" spans="2:32">
      <c r="B1362" s="471"/>
      <c r="C1362" s="475"/>
      <c r="D1362" s="475"/>
      <c r="E1362" s="475"/>
      <c r="F1362" s="474"/>
      <c r="G1362" s="475"/>
      <c r="H1362" s="474"/>
      <c r="I1362" s="474"/>
      <c r="J1362" s="475"/>
      <c r="K1362" s="475"/>
      <c r="L1362" s="475"/>
      <c r="M1362" s="475"/>
      <c r="N1362" s="475"/>
      <c r="O1362" s="475"/>
      <c r="P1362" s="475"/>
      <c r="Q1362" s="475"/>
      <c r="R1362" s="475"/>
      <c r="S1362" s="475"/>
      <c r="T1362" s="475"/>
      <c r="U1362" s="475"/>
      <c r="V1362" s="475"/>
      <c r="W1362" s="475"/>
      <c r="X1362" s="475"/>
      <c r="Y1362" s="475"/>
      <c r="Z1362" s="475"/>
      <c r="AA1362" s="475"/>
      <c r="AB1362" s="475"/>
      <c r="AC1362" s="475"/>
      <c r="AD1362" s="475"/>
      <c r="AE1362" s="475"/>
      <c r="AF1362" s="475"/>
    </row>
    <row r="1363" spans="2:32">
      <c r="B1363" s="471"/>
      <c r="C1363" s="475"/>
      <c r="D1363" s="475"/>
      <c r="E1363" s="475"/>
      <c r="F1363" s="474"/>
      <c r="G1363" s="475"/>
      <c r="H1363" s="474"/>
      <c r="I1363" s="474"/>
      <c r="J1363" s="475"/>
      <c r="K1363" s="475"/>
      <c r="L1363" s="475"/>
      <c r="M1363" s="475"/>
      <c r="N1363" s="475"/>
      <c r="O1363" s="475"/>
      <c r="P1363" s="475"/>
      <c r="Q1363" s="475"/>
      <c r="R1363" s="475"/>
      <c r="S1363" s="475"/>
      <c r="T1363" s="475"/>
      <c r="U1363" s="475"/>
      <c r="V1363" s="475"/>
      <c r="W1363" s="475"/>
      <c r="X1363" s="475"/>
      <c r="Y1363" s="475"/>
      <c r="Z1363" s="475"/>
      <c r="AA1363" s="475"/>
      <c r="AB1363" s="475"/>
      <c r="AC1363" s="475"/>
      <c r="AD1363" s="475"/>
      <c r="AE1363" s="475"/>
      <c r="AF1363" s="475"/>
    </row>
    <row r="1364" spans="2:32">
      <c r="B1364" s="471"/>
      <c r="C1364" s="475"/>
      <c r="D1364" s="475"/>
      <c r="E1364" s="475"/>
      <c r="F1364" s="474"/>
      <c r="G1364" s="475"/>
      <c r="H1364" s="474"/>
      <c r="I1364" s="474"/>
      <c r="J1364" s="475"/>
      <c r="K1364" s="475"/>
      <c r="L1364" s="475"/>
      <c r="M1364" s="475"/>
      <c r="N1364" s="475"/>
      <c r="O1364" s="475"/>
      <c r="P1364" s="475"/>
      <c r="Q1364" s="475"/>
      <c r="R1364" s="475"/>
      <c r="S1364" s="475"/>
      <c r="T1364" s="475"/>
      <c r="U1364" s="475"/>
      <c r="V1364" s="475"/>
      <c r="W1364" s="475"/>
      <c r="X1364" s="475"/>
      <c r="Y1364" s="475"/>
      <c r="Z1364" s="475"/>
      <c r="AA1364" s="475"/>
      <c r="AB1364" s="475"/>
      <c r="AC1364" s="475"/>
      <c r="AD1364" s="475"/>
      <c r="AE1364" s="475"/>
      <c r="AF1364" s="475"/>
    </row>
    <row r="1365" spans="2:32">
      <c r="B1365" s="471"/>
      <c r="C1365" s="475"/>
      <c r="D1365" s="475"/>
      <c r="E1365" s="475"/>
      <c r="F1365" s="474"/>
      <c r="G1365" s="475"/>
      <c r="H1365" s="474"/>
      <c r="I1365" s="474"/>
      <c r="J1365" s="475"/>
      <c r="K1365" s="475"/>
      <c r="L1365" s="475"/>
      <c r="M1365" s="475"/>
      <c r="N1365" s="475"/>
      <c r="O1365" s="475"/>
      <c r="P1365" s="475"/>
      <c r="Q1365" s="475"/>
      <c r="R1365" s="475"/>
      <c r="S1365" s="475"/>
      <c r="T1365" s="475"/>
      <c r="U1365" s="475"/>
      <c r="V1365" s="475"/>
      <c r="W1365" s="475"/>
      <c r="X1365" s="475"/>
      <c r="Y1365" s="475"/>
      <c r="Z1365" s="475"/>
      <c r="AA1365" s="475"/>
      <c r="AB1365" s="475"/>
      <c r="AC1365" s="475"/>
      <c r="AD1365" s="475"/>
      <c r="AE1365" s="475"/>
      <c r="AF1365" s="475"/>
    </row>
    <row r="1366" spans="2:32">
      <c r="B1366" s="471"/>
      <c r="C1366" s="475"/>
      <c r="D1366" s="475"/>
      <c r="E1366" s="475"/>
      <c r="F1366" s="474"/>
      <c r="G1366" s="475"/>
      <c r="H1366" s="474"/>
      <c r="I1366" s="474"/>
      <c r="J1366" s="475"/>
      <c r="K1366" s="475"/>
      <c r="L1366" s="475"/>
      <c r="M1366" s="475"/>
      <c r="N1366" s="475"/>
      <c r="O1366" s="475"/>
      <c r="P1366" s="475"/>
      <c r="Q1366" s="475"/>
      <c r="R1366" s="475"/>
      <c r="S1366" s="475"/>
      <c r="T1366" s="475"/>
      <c r="U1366" s="475"/>
      <c r="V1366" s="475"/>
      <c r="W1366" s="475"/>
      <c r="X1366" s="475"/>
      <c r="Y1366" s="475"/>
      <c r="Z1366" s="475"/>
      <c r="AA1366" s="475"/>
      <c r="AB1366" s="475"/>
      <c r="AC1366" s="475"/>
      <c r="AD1366" s="475"/>
      <c r="AE1366" s="475"/>
      <c r="AF1366" s="475"/>
    </row>
    <row r="1367" spans="2:32">
      <c r="B1367" s="471"/>
      <c r="C1367" s="475"/>
      <c r="D1367" s="475"/>
      <c r="E1367" s="475"/>
      <c r="F1367" s="474"/>
      <c r="G1367" s="475"/>
      <c r="H1367" s="474"/>
      <c r="I1367" s="474"/>
      <c r="J1367" s="475"/>
      <c r="K1367" s="475"/>
      <c r="L1367" s="475"/>
      <c r="M1367" s="475"/>
      <c r="N1367" s="475"/>
      <c r="O1367" s="475"/>
      <c r="P1367" s="475"/>
      <c r="Q1367" s="475"/>
      <c r="R1367" s="475"/>
      <c r="S1367" s="475"/>
      <c r="T1367" s="475"/>
      <c r="U1367" s="475"/>
      <c r="V1367" s="475"/>
      <c r="W1367" s="475"/>
      <c r="X1367" s="475"/>
      <c r="Y1367" s="475"/>
      <c r="Z1367" s="475"/>
      <c r="AA1367" s="475"/>
      <c r="AB1367" s="475"/>
      <c r="AC1367" s="475"/>
      <c r="AD1367" s="475"/>
      <c r="AE1367" s="475"/>
      <c r="AF1367" s="475"/>
    </row>
    <row r="1368" spans="2:32">
      <c r="B1368" s="471"/>
      <c r="C1368" s="475"/>
      <c r="D1368" s="475"/>
      <c r="E1368" s="475"/>
      <c r="F1368" s="474"/>
      <c r="G1368" s="475"/>
      <c r="H1368" s="474"/>
      <c r="I1368" s="474"/>
      <c r="J1368" s="475"/>
      <c r="K1368" s="475"/>
      <c r="L1368" s="475"/>
      <c r="M1368" s="475"/>
      <c r="N1368" s="475"/>
      <c r="O1368" s="475"/>
      <c r="P1368" s="475"/>
      <c r="Q1368" s="475"/>
      <c r="R1368" s="475"/>
      <c r="S1368" s="475"/>
      <c r="T1368" s="475"/>
      <c r="U1368" s="475"/>
      <c r="V1368" s="475"/>
      <c r="W1368" s="475"/>
      <c r="X1368" s="475"/>
      <c r="Y1368" s="475"/>
      <c r="Z1368" s="475"/>
      <c r="AA1368" s="475"/>
      <c r="AB1368" s="475"/>
      <c r="AC1368" s="475"/>
      <c r="AD1368" s="475"/>
      <c r="AE1368" s="475"/>
      <c r="AF1368" s="475"/>
    </row>
    <row r="1369" spans="2:32">
      <c r="B1369" s="471"/>
      <c r="C1369" s="475"/>
      <c r="D1369" s="475"/>
      <c r="E1369" s="475"/>
      <c r="F1369" s="474"/>
      <c r="G1369" s="475"/>
      <c r="H1369" s="474"/>
      <c r="I1369" s="474"/>
      <c r="J1369" s="475"/>
      <c r="K1369" s="475"/>
      <c r="L1369" s="475"/>
      <c r="M1369" s="475"/>
      <c r="N1369" s="475"/>
      <c r="O1369" s="475"/>
      <c r="P1369" s="475"/>
      <c r="Q1369" s="475"/>
      <c r="R1369" s="475"/>
      <c r="S1369" s="475"/>
      <c r="T1369" s="475"/>
      <c r="U1369" s="475"/>
      <c r="V1369" s="475"/>
      <c r="W1369" s="475"/>
      <c r="X1369" s="475"/>
      <c r="Y1369" s="475"/>
      <c r="Z1369" s="475"/>
      <c r="AA1369" s="475"/>
      <c r="AB1369" s="475"/>
      <c r="AC1369" s="475"/>
      <c r="AD1369" s="475"/>
      <c r="AE1369" s="475"/>
      <c r="AF1369" s="475"/>
    </row>
    <row r="1370" spans="2:32">
      <c r="B1370" s="471"/>
      <c r="C1370" s="475"/>
      <c r="D1370" s="475"/>
      <c r="E1370" s="475"/>
      <c r="F1370" s="474"/>
      <c r="G1370" s="475"/>
      <c r="H1370" s="474"/>
      <c r="I1370" s="474"/>
      <c r="J1370" s="475"/>
      <c r="K1370" s="475"/>
      <c r="L1370" s="475"/>
      <c r="M1370" s="475"/>
      <c r="N1370" s="475"/>
      <c r="O1370" s="475"/>
      <c r="P1370" s="475"/>
      <c r="Q1370" s="475"/>
      <c r="R1370" s="475"/>
      <c r="S1370" s="475"/>
      <c r="T1370" s="475"/>
      <c r="U1370" s="475"/>
      <c r="V1370" s="475"/>
      <c r="W1370" s="475"/>
      <c r="X1370" s="475"/>
      <c r="Y1370" s="475"/>
      <c r="Z1370" s="475"/>
      <c r="AA1370" s="475"/>
      <c r="AB1370" s="475"/>
      <c r="AC1370" s="475"/>
      <c r="AD1370" s="475"/>
      <c r="AE1370" s="475"/>
      <c r="AF1370" s="475"/>
    </row>
    <row r="1371" spans="2:32">
      <c r="B1371" s="471"/>
      <c r="C1371" s="475"/>
      <c r="D1371" s="475"/>
      <c r="E1371" s="475"/>
      <c r="F1371" s="474"/>
      <c r="G1371" s="475"/>
      <c r="H1371" s="474"/>
      <c r="I1371" s="474"/>
      <c r="J1371" s="475"/>
      <c r="K1371" s="475"/>
      <c r="L1371" s="475"/>
      <c r="M1371" s="475"/>
      <c r="N1371" s="475"/>
      <c r="O1371" s="475"/>
      <c r="P1371" s="475"/>
      <c r="Q1371" s="475"/>
      <c r="R1371" s="475"/>
      <c r="S1371" s="475"/>
      <c r="T1371" s="475"/>
      <c r="U1371" s="475"/>
      <c r="V1371" s="475"/>
      <c r="W1371" s="475"/>
      <c r="X1371" s="475"/>
      <c r="Y1371" s="475"/>
      <c r="Z1371" s="475"/>
      <c r="AA1371" s="475"/>
      <c r="AB1371" s="475"/>
      <c r="AC1371" s="475"/>
      <c r="AD1371" s="475"/>
      <c r="AE1371" s="475"/>
      <c r="AF1371" s="475"/>
    </row>
    <row r="1372" spans="2:32">
      <c r="B1372" s="471"/>
      <c r="C1372" s="475"/>
      <c r="D1372" s="475"/>
      <c r="E1372" s="475"/>
      <c r="F1372" s="474"/>
      <c r="G1372" s="475"/>
      <c r="H1372" s="474"/>
      <c r="I1372" s="474"/>
      <c r="J1372" s="475"/>
      <c r="K1372" s="475"/>
      <c r="L1372" s="475"/>
      <c r="M1372" s="475"/>
      <c r="N1372" s="475"/>
      <c r="O1372" s="475"/>
      <c r="P1372" s="475"/>
      <c r="Q1372" s="475"/>
      <c r="R1372" s="475"/>
      <c r="S1372" s="475"/>
      <c r="T1372" s="475"/>
      <c r="U1372" s="475"/>
      <c r="V1372" s="475"/>
      <c r="W1372" s="475"/>
      <c r="X1372" s="475"/>
      <c r="Y1372" s="475"/>
      <c r="Z1372" s="475"/>
      <c r="AA1372" s="475"/>
      <c r="AB1372" s="475"/>
      <c r="AC1372" s="475"/>
      <c r="AD1372" s="475"/>
      <c r="AE1372" s="475"/>
      <c r="AF1372" s="475"/>
    </row>
    <row r="1373" spans="2:32">
      <c r="B1373" s="471"/>
      <c r="C1373" s="475"/>
      <c r="D1373" s="475"/>
      <c r="E1373" s="475"/>
      <c r="F1373" s="474"/>
      <c r="G1373" s="475"/>
      <c r="H1373" s="474"/>
      <c r="I1373" s="474"/>
      <c r="J1373" s="475"/>
      <c r="K1373" s="475"/>
      <c r="L1373" s="475"/>
      <c r="M1373" s="475"/>
      <c r="N1373" s="475"/>
      <c r="O1373" s="475"/>
      <c r="P1373" s="475"/>
      <c r="Q1373" s="475"/>
      <c r="R1373" s="475"/>
      <c r="S1373" s="475"/>
      <c r="T1373" s="475"/>
      <c r="U1373" s="475"/>
      <c r="V1373" s="475"/>
      <c r="W1373" s="475"/>
      <c r="X1373" s="475"/>
      <c r="Y1373" s="475"/>
      <c r="Z1373" s="475"/>
      <c r="AA1373" s="475"/>
      <c r="AB1373" s="475"/>
      <c r="AC1373" s="475"/>
      <c r="AD1373" s="475"/>
      <c r="AE1373" s="475"/>
      <c r="AF1373" s="475"/>
    </row>
    <row r="1374" spans="2:32">
      <c r="B1374" s="471"/>
      <c r="C1374" s="475"/>
      <c r="D1374" s="475"/>
      <c r="E1374" s="475"/>
      <c r="F1374" s="474"/>
      <c r="G1374" s="475"/>
      <c r="H1374" s="474"/>
      <c r="I1374" s="474"/>
      <c r="J1374" s="475"/>
      <c r="K1374" s="475"/>
      <c r="L1374" s="475"/>
      <c r="M1374" s="475"/>
      <c r="N1374" s="475"/>
      <c r="O1374" s="475"/>
      <c r="P1374" s="475"/>
      <c r="Q1374" s="475"/>
      <c r="R1374" s="475"/>
      <c r="S1374" s="475"/>
      <c r="T1374" s="475"/>
      <c r="U1374" s="475"/>
      <c r="V1374" s="475"/>
      <c r="W1374" s="475"/>
      <c r="X1374" s="475"/>
      <c r="Y1374" s="475"/>
      <c r="Z1374" s="475"/>
      <c r="AA1374" s="475"/>
      <c r="AB1374" s="475"/>
      <c r="AC1374" s="475"/>
      <c r="AD1374" s="475"/>
      <c r="AE1374" s="475"/>
      <c r="AF1374" s="475"/>
    </row>
    <row r="1375" spans="2:32">
      <c r="B1375" s="471"/>
      <c r="C1375" s="475"/>
      <c r="D1375" s="475"/>
      <c r="E1375" s="475"/>
      <c r="F1375" s="474"/>
      <c r="G1375" s="475"/>
      <c r="H1375" s="474"/>
      <c r="I1375" s="474"/>
      <c r="J1375" s="475"/>
      <c r="K1375" s="475"/>
      <c r="L1375" s="475"/>
      <c r="M1375" s="475"/>
      <c r="N1375" s="475"/>
      <c r="O1375" s="475"/>
      <c r="P1375" s="475"/>
      <c r="Q1375" s="475"/>
      <c r="R1375" s="475"/>
      <c r="S1375" s="475"/>
      <c r="T1375" s="475"/>
      <c r="U1375" s="475"/>
      <c r="V1375" s="475"/>
      <c r="W1375" s="475"/>
      <c r="X1375" s="475"/>
      <c r="Y1375" s="475"/>
      <c r="Z1375" s="475"/>
      <c r="AA1375" s="475"/>
      <c r="AB1375" s="475"/>
      <c r="AC1375" s="475"/>
      <c r="AD1375" s="475"/>
      <c r="AE1375" s="475"/>
      <c r="AF1375" s="475"/>
    </row>
    <row r="1376" spans="2:32">
      <c r="B1376" s="471"/>
      <c r="C1376" s="475"/>
      <c r="D1376" s="475"/>
      <c r="E1376" s="475"/>
      <c r="F1376" s="474"/>
      <c r="G1376" s="475"/>
      <c r="H1376" s="474"/>
      <c r="I1376" s="474"/>
      <c r="J1376" s="475"/>
      <c r="K1376" s="475"/>
      <c r="L1376" s="475"/>
      <c r="M1376" s="475"/>
      <c r="N1376" s="475"/>
      <c r="O1376" s="475"/>
      <c r="P1376" s="475"/>
      <c r="Q1376" s="475"/>
      <c r="R1376" s="475"/>
      <c r="S1376" s="475"/>
      <c r="T1376" s="475"/>
      <c r="U1376" s="475"/>
      <c r="V1376" s="475"/>
      <c r="W1376" s="475"/>
      <c r="X1376" s="475"/>
      <c r="Y1376" s="475"/>
      <c r="Z1376" s="475"/>
      <c r="AA1376" s="475"/>
      <c r="AB1376" s="475"/>
      <c r="AC1376" s="475"/>
      <c r="AD1376" s="475"/>
      <c r="AE1376" s="475"/>
      <c r="AF1376" s="475"/>
    </row>
    <row r="1377" spans="2:32">
      <c r="B1377" s="471"/>
      <c r="C1377" s="475"/>
      <c r="D1377" s="475"/>
      <c r="E1377" s="475"/>
      <c r="F1377" s="474"/>
      <c r="G1377" s="475"/>
      <c r="H1377" s="474"/>
      <c r="I1377" s="474"/>
      <c r="J1377" s="475"/>
      <c r="K1377" s="475"/>
      <c r="L1377" s="475"/>
      <c r="M1377" s="475"/>
      <c r="N1377" s="475"/>
      <c r="O1377" s="475"/>
      <c r="P1377" s="475"/>
      <c r="Q1377" s="475"/>
      <c r="R1377" s="475"/>
      <c r="S1377" s="475"/>
      <c r="T1377" s="475"/>
      <c r="U1377" s="475"/>
      <c r="V1377" s="475"/>
      <c r="W1377" s="475"/>
      <c r="X1377" s="475"/>
      <c r="Y1377" s="475"/>
      <c r="Z1377" s="475"/>
      <c r="AA1377" s="475"/>
      <c r="AB1377" s="475"/>
      <c r="AC1377" s="475"/>
      <c r="AD1377" s="475"/>
      <c r="AE1377" s="475"/>
      <c r="AF1377" s="475"/>
    </row>
    <row r="1378" spans="2:32">
      <c r="B1378" s="471"/>
      <c r="C1378" s="475"/>
      <c r="D1378" s="475"/>
      <c r="E1378" s="475"/>
      <c r="F1378" s="474"/>
      <c r="G1378" s="475"/>
      <c r="H1378" s="474"/>
      <c r="I1378" s="474"/>
      <c r="J1378" s="475"/>
      <c r="K1378" s="475"/>
      <c r="L1378" s="475"/>
      <c r="M1378" s="475"/>
      <c r="N1378" s="475"/>
      <c r="O1378" s="475"/>
      <c r="P1378" s="475"/>
      <c r="Q1378" s="475"/>
      <c r="R1378" s="475"/>
      <c r="S1378" s="475"/>
      <c r="T1378" s="475"/>
      <c r="U1378" s="475"/>
      <c r="V1378" s="475"/>
      <c r="W1378" s="475"/>
      <c r="X1378" s="475"/>
      <c r="Y1378" s="475"/>
      <c r="Z1378" s="475"/>
      <c r="AA1378" s="475"/>
      <c r="AB1378" s="475"/>
      <c r="AC1378" s="475"/>
      <c r="AD1378" s="475"/>
      <c r="AE1378" s="475"/>
      <c r="AF1378" s="475"/>
    </row>
    <row r="1379" spans="2:32">
      <c r="B1379" s="471"/>
      <c r="C1379" s="475"/>
      <c r="D1379" s="475"/>
      <c r="E1379" s="475"/>
      <c r="F1379" s="474"/>
      <c r="G1379" s="475"/>
      <c r="H1379" s="474"/>
      <c r="I1379" s="474"/>
      <c r="J1379" s="475"/>
      <c r="K1379" s="475"/>
      <c r="L1379" s="475"/>
      <c r="M1379" s="475"/>
      <c r="N1379" s="475"/>
      <c r="O1379" s="475"/>
      <c r="P1379" s="475"/>
      <c r="Q1379" s="475"/>
      <c r="R1379" s="475"/>
      <c r="S1379" s="475"/>
      <c r="T1379" s="475"/>
      <c r="U1379" s="475"/>
      <c r="V1379" s="475"/>
      <c r="W1379" s="475"/>
      <c r="X1379" s="475"/>
      <c r="Y1379" s="475"/>
      <c r="Z1379" s="475"/>
      <c r="AA1379" s="475"/>
      <c r="AB1379" s="475"/>
      <c r="AC1379" s="475"/>
      <c r="AD1379" s="475"/>
      <c r="AE1379" s="475"/>
      <c r="AF1379" s="475"/>
    </row>
    <row r="1380" spans="2:32">
      <c r="B1380" s="471"/>
      <c r="C1380" s="475"/>
      <c r="D1380" s="475"/>
      <c r="E1380" s="475"/>
      <c r="F1380" s="474"/>
      <c r="G1380" s="475"/>
      <c r="H1380" s="474"/>
      <c r="I1380" s="474"/>
      <c r="J1380" s="475"/>
      <c r="K1380" s="475"/>
      <c r="L1380" s="475"/>
      <c r="M1380" s="475"/>
      <c r="N1380" s="475"/>
      <c r="O1380" s="475"/>
      <c r="P1380" s="475"/>
      <c r="Q1380" s="475"/>
      <c r="R1380" s="475"/>
      <c r="S1380" s="475"/>
      <c r="T1380" s="475"/>
      <c r="U1380" s="475"/>
      <c r="V1380" s="475"/>
      <c r="W1380" s="475"/>
      <c r="X1380" s="475"/>
      <c r="Y1380" s="475"/>
      <c r="Z1380" s="475"/>
      <c r="AA1380" s="475"/>
      <c r="AB1380" s="475"/>
      <c r="AC1380" s="475"/>
      <c r="AD1380" s="475"/>
      <c r="AE1380" s="475"/>
      <c r="AF1380" s="475"/>
    </row>
    <row r="1381" spans="2:32">
      <c r="B1381" s="471"/>
      <c r="C1381" s="475"/>
      <c r="D1381" s="475"/>
      <c r="E1381" s="475"/>
      <c r="F1381" s="474"/>
      <c r="G1381" s="475"/>
      <c r="H1381" s="474"/>
      <c r="I1381" s="474"/>
      <c r="J1381" s="475"/>
      <c r="K1381" s="475"/>
      <c r="L1381" s="475"/>
      <c r="M1381" s="475"/>
      <c r="N1381" s="475"/>
      <c r="O1381" s="475"/>
      <c r="P1381" s="475"/>
      <c r="Q1381" s="475"/>
      <c r="R1381" s="475"/>
      <c r="S1381" s="475"/>
      <c r="T1381" s="475"/>
      <c r="U1381" s="475"/>
      <c r="V1381" s="475"/>
      <c r="W1381" s="475"/>
      <c r="X1381" s="475"/>
      <c r="Y1381" s="475"/>
      <c r="Z1381" s="475"/>
      <c r="AA1381" s="475"/>
      <c r="AB1381" s="475"/>
      <c r="AC1381" s="475"/>
      <c r="AD1381" s="475"/>
      <c r="AE1381" s="475"/>
      <c r="AF1381" s="475"/>
    </row>
    <row r="1382" spans="2:32">
      <c r="B1382" s="471"/>
      <c r="C1382" s="475"/>
      <c r="D1382" s="475"/>
      <c r="E1382" s="475"/>
      <c r="F1382" s="474"/>
      <c r="G1382" s="475"/>
      <c r="H1382" s="474"/>
      <c r="I1382" s="474"/>
      <c r="J1382" s="475"/>
      <c r="K1382" s="475"/>
      <c r="L1382" s="475"/>
      <c r="M1382" s="475"/>
      <c r="N1382" s="475"/>
      <c r="O1382" s="475"/>
      <c r="P1382" s="475"/>
      <c r="Q1382" s="475"/>
      <c r="R1382" s="475"/>
      <c r="S1382" s="475"/>
      <c r="T1382" s="475"/>
      <c r="U1382" s="475"/>
      <c r="V1382" s="475"/>
      <c r="W1382" s="475"/>
      <c r="X1382" s="475"/>
      <c r="Y1382" s="475"/>
      <c r="Z1382" s="475"/>
      <c r="AA1382" s="475"/>
      <c r="AB1382" s="475"/>
      <c r="AC1382" s="475"/>
      <c r="AD1382" s="475"/>
      <c r="AE1382" s="475"/>
      <c r="AF1382" s="475"/>
    </row>
    <row r="1383" spans="2:32">
      <c r="B1383" s="471"/>
      <c r="C1383" s="475"/>
      <c r="D1383" s="475"/>
      <c r="E1383" s="475"/>
      <c r="F1383" s="474"/>
      <c r="G1383" s="475"/>
      <c r="H1383" s="474"/>
      <c r="I1383" s="474"/>
      <c r="J1383" s="475"/>
      <c r="K1383" s="475"/>
      <c r="L1383" s="475"/>
      <c r="M1383" s="475"/>
      <c r="N1383" s="475"/>
      <c r="O1383" s="475"/>
      <c r="P1383" s="475"/>
      <c r="Q1383" s="475"/>
      <c r="R1383" s="475"/>
      <c r="S1383" s="475"/>
      <c r="T1383" s="475"/>
      <c r="U1383" s="475"/>
      <c r="V1383" s="475"/>
      <c r="W1383" s="475"/>
      <c r="X1383" s="475"/>
      <c r="Y1383" s="475"/>
      <c r="Z1383" s="475"/>
      <c r="AA1383" s="475"/>
      <c r="AB1383" s="475"/>
      <c r="AC1383" s="475"/>
      <c r="AD1383" s="475"/>
      <c r="AE1383" s="475"/>
      <c r="AF1383" s="475"/>
    </row>
    <row r="1384" spans="2:32">
      <c r="B1384" s="471"/>
      <c r="C1384" s="475"/>
      <c r="D1384" s="475"/>
      <c r="E1384" s="475"/>
      <c r="F1384" s="474"/>
      <c r="G1384" s="475"/>
      <c r="H1384" s="474"/>
      <c r="I1384" s="474"/>
      <c r="J1384" s="475"/>
      <c r="K1384" s="475"/>
      <c r="L1384" s="475"/>
      <c r="M1384" s="475"/>
      <c r="N1384" s="475"/>
      <c r="O1384" s="475"/>
      <c r="P1384" s="475"/>
      <c r="Q1384" s="475"/>
      <c r="R1384" s="475"/>
      <c r="S1384" s="475"/>
      <c r="T1384" s="475"/>
      <c r="U1384" s="475"/>
      <c r="V1384" s="475"/>
      <c r="W1384" s="475"/>
      <c r="X1384" s="475"/>
      <c r="Y1384" s="475"/>
      <c r="Z1384" s="475"/>
      <c r="AA1384" s="475"/>
      <c r="AB1384" s="475"/>
      <c r="AC1384" s="475"/>
      <c r="AD1384" s="475"/>
      <c r="AE1384" s="475"/>
      <c r="AF1384" s="475"/>
    </row>
    <row r="1385" spans="2:32">
      <c r="B1385" s="471"/>
      <c r="C1385" s="475"/>
      <c r="D1385" s="475"/>
      <c r="E1385" s="475"/>
      <c r="F1385" s="474"/>
      <c r="G1385" s="475"/>
      <c r="H1385" s="474"/>
      <c r="I1385" s="474"/>
      <c r="J1385" s="475"/>
      <c r="K1385" s="475"/>
      <c r="L1385" s="475"/>
      <c r="M1385" s="475"/>
      <c r="N1385" s="475"/>
      <c r="O1385" s="475"/>
      <c r="P1385" s="475"/>
      <c r="Q1385" s="475"/>
      <c r="R1385" s="475"/>
      <c r="S1385" s="475"/>
      <c r="T1385" s="475"/>
      <c r="U1385" s="475"/>
      <c r="V1385" s="475"/>
      <c r="W1385" s="475"/>
      <c r="X1385" s="475"/>
      <c r="Y1385" s="475"/>
      <c r="Z1385" s="475"/>
      <c r="AA1385" s="475"/>
      <c r="AB1385" s="475"/>
      <c r="AC1385" s="475"/>
      <c r="AD1385" s="475"/>
      <c r="AE1385" s="475"/>
      <c r="AF1385" s="475"/>
    </row>
    <row r="1386" spans="2:32">
      <c r="B1386" s="471"/>
      <c r="C1386" s="475"/>
      <c r="D1386" s="475"/>
      <c r="E1386" s="475"/>
      <c r="F1386" s="474"/>
      <c r="G1386" s="475"/>
      <c r="H1386" s="474"/>
      <c r="I1386" s="474"/>
      <c r="J1386" s="475"/>
      <c r="K1386" s="475"/>
      <c r="L1386" s="475"/>
      <c r="M1386" s="475"/>
      <c r="N1386" s="475"/>
      <c r="O1386" s="475"/>
      <c r="P1386" s="475"/>
      <c r="Q1386" s="475"/>
      <c r="R1386" s="475"/>
      <c r="S1386" s="475"/>
      <c r="T1386" s="475"/>
      <c r="U1386" s="475"/>
      <c r="V1386" s="475"/>
      <c r="W1386" s="475"/>
      <c r="X1386" s="475"/>
      <c r="Y1386" s="475"/>
      <c r="Z1386" s="475"/>
      <c r="AA1386" s="475"/>
      <c r="AB1386" s="475"/>
      <c r="AC1386" s="475"/>
      <c r="AD1386" s="475"/>
      <c r="AE1386" s="475"/>
      <c r="AF1386" s="475"/>
    </row>
    <row r="1387" spans="2:32">
      <c r="B1387" s="471"/>
      <c r="C1387" s="475"/>
      <c r="D1387" s="475"/>
      <c r="E1387" s="475"/>
      <c r="F1387" s="474"/>
      <c r="G1387" s="475"/>
      <c r="H1387" s="474"/>
      <c r="I1387" s="474"/>
      <c r="J1387" s="475"/>
      <c r="K1387" s="475"/>
      <c r="L1387" s="475"/>
      <c r="M1387" s="475"/>
      <c r="N1387" s="475"/>
      <c r="O1387" s="475"/>
      <c r="P1387" s="475"/>
      <c r="Q1387" s="475"/>
      <c r="R1387" s="475"/>
      <c r="S1387" s="475"/>
      <c r="T1387" s="475"/>
      <c r="U1387" s="475"/>
      <c r="V1387" s="475"/>
      <c r="W1387" s="475"/>
      <c r="X1387" s="475"/>
      <c r="Y1387" s="475"/>
      <c r="Z1387" s="475"/>
      <c r="AA1387" s="475"/>
      <c r="AB1387" s="475"/>
      <c r="AC1387" s="475"/>
      <c r="AD1387" s="475"/>
      <c r="AE1387" s="475"/>
      <c r="AF1387" s="475"/>
    </row>
    <row r="1388" spans="2:32">
      <c r="B1388" s="471"/>
      <c r="C1388" s="475"/>
      <c r="D1388" s="475"/>
      <c r="E1388" s="475"/>
      <c r="F1388" s="474"/>
      <c r="G1388" s="475"/>
      <c r="H1388" s="474"/>
      <c r="I1388" s="474"/>
      <c r="J1388" s="475"/>
      <c r="K1388" s="475"/>
      <c r="L1388" s="475"/>
      <c r="M1388" s="475"/>
      <c r="N1388" s="475"/>
      <c r="O1388" s="475"/>
      <c r="P1388" s="475"/>
      <c r="Q1388" s="475"/>
      <c r="R1388" s="475"/>
      <c r="S1388" s="475"/>
      <c r="T1388" s="475"/>
      <c r="U1388" s="475"/>
      <c r="V1388" s="475"/>
      <c r="W1388" s="475"/>
      <c r="X1388" s="475"/>
      <c r="Y1388" s="475"/>
      <c r="Z1388" s="475"/>
      <c r="AA1388" s="475"/>
      <c r="AB1388" s="475"/>
      <c r="AC1388" s="475"/>
      <c r="AD1388" s="475"/>
      <c r="AE1388" s="475"/>
      <c r="AF1388" s="475"/>
    </row>
    <row r="1389" spans="2:32">
      <c r="B1389" s="471"/>
      <c r="C1389" s="475"/>
      <c r="D1389" s="475"/>
      <c r="E1389" s="475"/>
      <c r="F1389" s="474"/>
      <c r="G1389" s="475"/>
      <c r="H1389" s="474"/>
      <c r="I1389" s="474"/>
      <c r="J1389" s="475"/>
      <c r="K1389" s="475"/>
      <c r="L1389" s="475"/>
      <c r="M1389" s="475"/>
      <c r="N1389" s="475"/>
      <c r="O1389" s="475"/>
      <c r="P1389" s="475"/>
      <c r="Q1389" s="475"/>
      <c r="R1389" s="475"/>
      <c r="S1389" s="475"/>
      <c r="T1389" s="475"/>
      <c r="U1389" s="475"/>
      <c r="V1389" s="475"/>
      <c r="W1389" s="475"/>
      <c r="X1389" s="475"/>
      <c r="Y1389" s="475"/>
      <c r="Z1389" s="475"/>
      <c r="AA1389" s="475"/>
      <c r="AB1389" s="475"/>
      <c r="AC1389" s="475"/>
      <c r="AD1389" s="475"/>
      <c r="AE1389" s="475"/>
      <c r="AF1389" s="475"/>
    </row>
    <row r="1390" spans="2:32">
      <c r="B1390" s="471"/>
      <c r="C1390" s="475"/>
      <c r="D1390" s="475"/>
      <c r="E1390" s="475"/>
      <c r="F1390" s="474"/>
      <c r="G1390" s="475"/>
      <c r="H1390" s="474"/>
      <c r="I1390" s="474"/>
      <c r="J1390" s="475"/>
      <c r="K1390" s="475"/>
      <c r="L1390" s="475"/>
      <c r="M1390" s="475"/>
      <c r="N1390" s="475"/>
      <c r="O1390" s="475"/>
      <c r="P1390" s="475"/>
      <c r="Q1390" s="475"/>
      <c r="R1390" s="475"/>
      <c r="S1390" s="475"/>
      <c r="T1390" s="475"/>
      <c r="U1390" s="475"/>
      <c r="V1390" s="475"/>
      <c r="W1390" s="475"/>
      <c r="X1390" s="475"/>
      <c r="Y1390" s="475"/>
      <c r="Z1390" s="475"/>
      <c r="AA1390" s="475"/>
      <c r="AB1390" s="475"/>
      <c r="AC1390" s="475"/>
      <c r="AD1390" s="475"/>
      <c r="AE1390" s="475"/>
      <c r="AF1390" s="475"/>
    </row>
    <row r="1391" spans="2:32">
      <c r="B1391" s="471"/>
      <c r="C1391" s="475"/>
      <c r="D1391" s="475"/>
      <c r="E1391" s="475"/>
      <c r="F1391" s="474"/>
      <c r="G1391" s="475"/>
      <c r="H1391" s="474"/>
      <c r="I1391" s="474"/>
      <c r="J1391" s="475"/>
      <c r="K1391" s="475"/>
      <c r="L1391" s="475"/>
      <c r="M1391" s="475"/>
      <c r="N1391" s="475"/>
      <c r="O1391" s="475"/>
      <c r="P1391" s="475"/>
      <c r="Q1391" s="475"/>
      <c r="R1391" s="475"/>
      <c r="S1391" s="475"/>
      <c r="T1391" s="475"/>
      <c r="U1391" s="475"/>
      <c r="V1391" s="475"/>
      <c r="W1391" s="475"/>
      <c r="X1391" s="475"/>
      <c r="Y1391" s="475"/>
      <c r="Z1391" s="475"/>
      <c r="AA1391" s="475"/>
      <c r="AB1391" s="475"/>
      <c r="AC1391" s="475"/>
      <c r="AD1391" s="475"/>
      <c r="AE1391" s="475"/>
      <c r="AF1391" s="475"/>
    </row>
    <row r="1392" spans="2:32">
      <c r="B1392" s="471"/>
      <c r="C1392" s="475"/>
      <c r="D1392" s="475"/>
      <c r="E1392" s="475"/>
      <c r="F1392" s="474"/>
      <c r="G1392" s="475"/>
      <c r="H1392" s="474"/>
      <c r="I1392" s="474"/>
      <c r="J1392" s="475"/>
      <c r="K1392" s="475"/>
      <c r="L1392" s="475"/>
      <c r="M1392" s="475"/>
      <c r="N1392" s="475"/>
      <c r="O1392" s="475"/>
      <c r="P1392" s="475"/>
      <c r="Q1392" s="475"/>
      <c r="R1392" s="475"/>
      <c r="S1392" s="475"/>
      <c r="T1392" s="475"/>
      <c r="U1392" s="475"/>
      <c r="V1392" s="475"/>
      <c r="W1392" s="475"/>
      <c r="X1392" s="475"/>
      <c r="Y1392" s="475"/>
      <c r="Z1392" s="475"/>
      <c r="AA1392" s="475"/>
      <c r="AB1392" s="475"/>
      <c r="AC1392" s="475"/>
      <c r="AD1392" s="475"/>
      <c r="AE1392" s="475"/>
      <c r="AF1392" s="475"/>
    </row>
    <row r="1393" spans="2:32">
      <c r="B1393" s="471"/>
      <c r="C1393" s="475"/>
      <c r="D1393" s="475"/>
      <c r="E1393" s="475"/>
      <c r="F1393" s="474"/>
      <c r="G1393" s="475"/>
      <c r="H1393" s="474"/>
      <c r="I1393" s="474"/>
      <c r="J1393" s="475"/>
      <c r="K1393" s="475"/>
      <c r="L1393" s="475"/>
      <c r="M1393" s="475"/>
      <c r="N1393" s="475"/>
      <c r="O1393" s="475"/>
      <c r="P1393" s="475"/>
      <c r="Q1393" s="475"/>
      <c r="R1393" s="475"/>
      <c r="S1393" s="475"/>
      <c r="T1393" s="475"/>
      <c r="U1393" s="475"/>
      <c r="V1393" s="475"/>
      <c r="W1393" s="475"/>
      <c r="X1393" s="475"/>
      <c r="Y1393" s="475"/>
      <c r="Z1393" s="475"/>
      <c r="AA1393" s="475"/>
      <c r="AB1393" s="475"/>
      <c r="AC1393" s="475"/>
      <c r="AD1393" s="475"/>
      <c r="AE1393" s="475"/>
      <c r="AF1393" s="475"/>
    </row>
    <row r="1394" spans="2:32">
      <c r="B1394" s="471"/>
      <c r="C1394" s="475"/>
      <c r="D1394" s="475"/>
      <c r="E1394" s="475"/>
      <c r="F1394" s="474"/>
      <c r="G1394" s="475"/>
      <c r="H1394" s="474"/>
      <c r="I1394" s="474"/>
      <c r="J1394" s="475"/>
      <c r="K1394" s="475"/>
      <c r="L1394" s="475"/>
      <c r="M1394" s="475"/>
      <c r="N1394" s="475"/>
      <c r="O1394" s="475"/>
      <c r="P1394" s="475"/>
      <c r="Q1394" s="475"/>
      <c r="R1394" s="475"/>
      <c r="S1394" s="475"/>
      <c r="T1394" s="475"/>
      <c r="U1394" s="475"/>
      <c r="V1394" s="475"/>
      <c r="W1394" s="475"/>
      <c r="X1394" s="475"/>
      <c r="Y1394" s="475"/>
      <c r="Z1394" s="475"/>
      <c r="AA1394" s="475"/>
      <c r="AB1394" s="475"/>
      <c r="AC1394" s="475"/>
      <c r="AD1394" s="475"/>
      <c r="AE1394" s="475"/>
      <c r="AF1394" s="475"/>
    </row>
    <row r="1395" spans="2:32">
      <c r="B1395" s="471"/>
      <c r="C1395" s="475"/>
      <c r="D1395" s="475"/>
      <c r="E1395" s="475"/>
      <c r="F1395" s="474"/>
      <c r="G1395" s="475"/>
      <c r="H1395" s="474"/>
      <c r="I1395" s="474"/>
      <c r="J1395" s="475"/>
      <c r="K1395" s="475"/>
      <c r="L1395" s="475"/>
      <c r="M1395" s="475"/>
      <c r="N1395" s="475"/>
      <c r="O1395" s="475"/>
      <c r="P1395" s="475"/>
      <c r="Q1395" s="475"/>
      <c r="R1395" s="475"/>
      <c r="S1395" s="475"/>
      <c r="T1395" s="475"/>
      <c r="U1395" s="475"/>
      <c r="V1395" s="475"/>
      <c r="W1395" s="475"/>
      <c r="X1395" s="475"/>
      <c r="Y1395" s="475"/>
      <c r="Z1395" s="475"/>
      <c r="AA1395" s="475"/>
      <c r="AB1395" s="475"/>
      <c r="AC1395" s="475"/>
      <c r="AD1395" s="475"/>
      <c r="AE1395" s="475"/>
      <c r="AF1395" s="475"/>
    </row>
    <row r="1396" spans="2:32">
      <c r="B1396" s="471"/>
      <c r="C1396" s="475"/>
      <c r="D1396" s="475"/>
      <c r="E1396" s="475"/>
      <c r="F1396" s="474"/>
      <c r="G1396" s="475"/>
      <c r="H1396" s="474"/>
      <c r="I1396" s="474"/>
      <c r="J1396" s="475"/>
      <c r="K1396" s="475"/>
      <c r="L1396" s="475"/>
      <c r="M1396" s="475"/>
      <c r="N1396" s="475"/>
      <c r="O1396" s="475"/>
      <c r="P1396" s="475"/>
      <c r="Q1396" s="475"/>
      <c r="R1396" s="475"/>
      <c r="S1396" s="475"/>
      <c r="T1396" s="475"/>
      <c r="U1396" s="475"/>
      <c r="V1396" s="475"/>
      <c r="W1396" s="475"/>
      <c r="X1396" s="475"/>
      <c r="Y1396" s="475"/>
      <c r="Z1396" s="475"/>
      <c r="AA1396" s="475"/>
      <c r="AB1396" s="475"/>
      <c r="AC1396" s="475"/>
      <c r="AD1396" s="475"/>
      <c r="AE1396" s="475"/>
      <c r="AF1396" s="475"/>
    </row>
    <row r="1397" spans="2:32">
      <c r="B1397" s="471"/>
      <c r="C1397" s="475"/>
      <c r="D1397" s="475"/>
      <c r="E1397" s="475"/>
      <c r="F1397" s="474"/>
      <c r="G1397" s="475"/>
      <c r="H1397" s="474"/>
      <c r="I1397" s="474"/>
      <c r="J1397" s="475"/>
      <c r="K1397" s="475"/>
      <c r="L1397" s="475"/>
      <c r="M1397" s="475"/>
      <c r="N1397" s="475"/>
      <c r="O1397" s="475"/>
      <c r="P1397" s="475"/>
      <c r="Q1397" s="475"/>
      <c r="R1397" s="475"/>
      <c r="S1397" s="475"/>
      <c r="T1397" s="475"/>
      <c r="U1397" s="475"/>
      <c r="V1397" s="475"/>
      <c r="W1397" s="475"/>
      <c r="X1397" s="475"/>
      <c r="Y1397" s="475"/>
      <c r="Z1397" s="475"/>
      <c r="AA1397" s="475"/>
      <c r="AB1397" s="475"/>
      <c r="AC1397" s="475"/>
      <c r="AD1397" s="475"/>
      <c r="AE1397" s="475"/>
      <c r="AF1397" s="475"/>
    </row>
    <row r="1398" spans="2:32">
      <c r="B1398" s="471"/>
      <c r="C1398" s="475"/>
      <c r="D1398" s="475"/>
      <c r="E1398" s="475"/>
      <c r="F1398" s="474"/>
      <c r="G1398" s="475"/>
      <c r="H1398" s="474"/>
      <c r="I1398" s="474"/>
      <c r="J1398" s="475"/>
      <c r="K1398" s="475"/>
      <c r="L1398" s="475"/>
      <c r="M1398" s="475"/>
      <c r="N1398" s="475"/>
      <c r="O1398" s="475"/>
      <c r="P1398" s="475"/>
      <c r="Q1398" s="475"/>
      <c r="R1398" s="475"/>
      <c r="S1398" s="475"/>
      <c r="T1398" s="475"/>
      <c r="U1398" s="475"/>
      <c r="V1398" s="475"/>
      <c r="W1398" s="475"/>
      <c r="X1398" s="475"/>
      <c r="Y1398" s="475"/>
      <c r="Z1398" s="475"/>
      <c r="AA1398" s="475"/>
      <c r="AB1398" s="475"/>
      <c r="AC1398" s="475"/>
      <c r="AD1398" s="475"/>
      <c r="AE1398" s="475"/>
      <c r="AF1398" s="475"/>
    </row>
    <row r="1399" spans="2:32">
      <c r="B1399" s="471"/>
      <c r="C1399" s="475"/>
      <c r="D1399" s="475"/>
      <c r="E1399" s="475"/>
      <c r="F1399" s="474"/>
      <c r="G1399" s="475"/>
      <c r="H1399" s="474"/>
      <c r="I1399" s="474"/>
      <c r="J1399" s="475"/>
      <c r="K1399" s="475"/>
      <c r="L1399" s="475"/>
      <c r="M1399" s="475"/>
      <c r="N1399" s="475"/>
      <c r="O1399" s="475"/>
      <c r="P1399" s="475"/>
      <c r="Q1399" s="475"/>
      <c r="R1399" s="475"/>
      <c r="S1399" s="475"/>
      <c r="T1399" s="475"/>
      <c r="U1399" s="475"/>
      <c r="V1399" s="475"/>
      <c r="W1399" s="475"/>
      <c r="X1399" s="475"/>
      <c r="Y1399" s="475"/>
      <c r="Z1399" s="475"/>
      <c r="AA1399" s="475"/>
      <c r="AB1399" s="475"/>
      <c r="AC1399" s="475"/>
      <c r="AD1399" s="475"/>
      <c r="AE1399" s="475"/>
      <c r="AF1399" s="475"/>
    </row>
    <row r="1400" spans="2:32">
      <c r="B1400" s="471"/>
      <c r="C1400" s="475"/>
      <c r="D1400" s="475"/>
      <c r="E1400" s="475"/>
      <c r="F1400" s="474"/>
      <c r="G1400" s="475"/>
      <c r="H1400" s="474"/>
      <c r="I1400" s="474"/>
      <c r="J1400" s="475"/>
      <c r="K1400" s="475"/>
      <c r="L1400" s="475"/>
      <c r="M1400" s="475"/>
      <c r="N1400" s="475"/>
      <c r="O1400" s="475"/>
      <c r="P1400" s="475"/>
      <c r="Q1400" s="475"/>
      <c r="R1400" s="475"/>
      <c r="S1400" s="475"/>
      <c r="T1400" s="475"/>
      <c r="U1400" s="475"/>
      <c r="V1400" s="475"/>
      <c r="W1400" s="475"/>
      <c r="X1400" s="475"/>
      <c r="Y1400" s="475"/>
      <c r="Z1400" s="475"/>
      <c r="AA1400" s="475"/>
      <c r="AB1400" s="475"/>
      <c r="AC1400" s="475"/>
      <c r="AD1400" s="475"/>
      <c r="AE1400" s="475"/>
      <c r="AF1400" s="475"/>
    </row>
    <row r="1401" spans="2:32">
      <c r="B1401" s="471"/>
      <c r="C1401" s="475"/>
      <c r="D1401" s="475"/>
      <c r="E1401" s="475"/>
      <c r="F1401" s="474"/>
      <c r="G1401" s="475"/>
      <c r="H1401" s="474"/>
      <c r="I1401" s="474"/>
      <c r="J1401" s="475"/>
      <c r="K1401" s="475"/>
      <c r="L1401" s="475"/>
      <c r="M1401" s="475"/>
      <c r="N1401" s="475"/>
      <c r="O1401" s="475"/>
      <c r="P1401" s="475"/>
      <c r="Q1401" s="475"/>
      <c r="R1401" s="475"/>
      <c r="S1401" s="475"/>
      <c r="T1401" s="475"/>
      <c r="U1401" s="475"/>
      <c r="V1401" s="475"/>
      <c r="W1401" s="475"/>
      <c r="X1401" s="475"/>
      <c r="Y1401" s="475"/>
      <c r="Z1401" s="475"/>
      <c r="AA1401" s="475"/>
      <c r="AB1401" s="475"/>
      <c r="AC1401" s="475"/>
      <c r="AD1401" s="475"/>
      <c r="AE1401" s="475"/>
      <c r="AF1401" s="475"/>
    </row>
    <row r="1402" spans="2:32">
      <c r="B1402" s="471"/>
      <c r="C1402" s="475"/>
      <c r="D1402" s="475"/>
      <c r="E1402" s="475"/>
      <c r="F1402" s="474"/>
      <c r="G1402" s="475"/>
      <c r="H1402" s="474"/>
      <c r="I1402" s="474"/>
      <c r="J1402" s="475"/>
      <c r="K1402" s="475"/>
      <c r="L1402" s="475"/>
      <c r="M1402" s="475"/>
      <c r="N1402" s="475"/>
      <c r="O1402" s="475"/>
      <c r="P1402" s="475"/>
      <c r="Q1402" s="475"/>
      <c r="R1402" s="475"/>
      <c r="S1402" s="475"/>
      <c r="T1402" s="475"/>
      <c r="U1402" s="475"/>
      <c r="V1402" s="475"/>
      <c r="W1402" s="475"/>
      <c r="X1402" s="475"/>
      <c r="Y1402" s="475"/>
      <c r="Z1402" s="475"/>
      <c r="AA1402" s="475"/>
      <c r="AB1402" s="475"/>
      <c r="AC1402" s="475"/>
      <c r="AD1402" s="475"/>
      <c r="AE1402" s="475"/>
      <c r="AF1402" s="475"/>
    </row>
    <row r="1403" spans="2:32">
      <c r="B1403" s="471"/>
      <c r="C1403" s="475"/>
      <c r="D1403" s="475"/>
      <c r="E1403" s="475"/>
      <c r="F1403" s="474"/>
      <c r="G1403" s="475"/>
      <c r="H1403" s="474"/>
      <c r="I1403" s="474"/>
      <c r="J1403" s="475"/>
      <c r="K1403" s="475"/>
      <c r="L1403" s="475"/>
      <c r="M1403" s="475"/>
      <c r="N1403" s="475"/>
      <c r="O1403" s="475"/>
      <c r="P1403" s="475"/>
      <c r="Q1403" s="475"/>
      <c r="R1403" s="475"/>
      <c r="S1403" s="475"/>
      <c r="T1403" s="475"/>
      <c r="U1403" s="475"/>
      <c r="V1403" s="475"/>
      <c r="W1403" s="475"/>
      <c r="X1403" s="475"/>
      <c r="Y1403" s="475"/>
      <c r="Z1403" s="475"/>
      <c r="AA1403" s="475"/>
      <c r="AB1403" s="475"/>
      <c r="AC1403" s="475"/>
      <c r="AD1403" s="475"/>
      <c r="AE1403" s="475"/>
      <c r="AF1403" s="475"/>
    </row>
    <row r="1404" spans="2:32">
      <c r="B1404" s="471"/>
      <c r="C1404" s="475"/>
      <c r="D1404" s="475"/>
      <c r="E1404" s="475"/>
      <c r="F1404" s="474"/>
      <c r="G1404" s="475"/>
      <c r="H1404" s="474"/>
      <c r="I1404" s="474"/>
      <c r="J1404" s="475"/>
      <c r="K1404" s="475"/>
      <c r="L1404" s="475"/>
      <c r="M1404" s="475"/>
      <c r="N1404" s="475"/>
      <c r="O1404" s="475"/>
      <c r="P1404" s="475"/>
      <c r="Q1404" s="475"/>
      <c r="R1404" s="475"/>
      <c r="S1404" s="475"/>
      <c r="T1404" s="475"/>
      <c r="U1404" s="475"/>
      <c r="V1404" s="475"/>
      <c r="W1404" s="475"/>
      <c r="X1404" s="475"/>
      <c r="Y1404" s="475"/>
      <c r="Z1404" s="475"/>
      <c r="AA1404" s="475"/>
      <c r="AB1404" s="475"/>
      <c r="AC1404" s="475"/>
      <c r="AD1404" s="475"/>
      <c r="AE1404" s="475"/>
      <c r="AF1404" s="475"/>
    </row>
    <row r="1405" spans="2:32">
      <c r="B1405" s="471"/>
      <c r="C1405" s="475"/>
      <c r="D1405" s="475"/>
      <c r="E1405" s="475"/>
      <c r="F1405" s="474"/>
      <c r="G1405" s="475"/>
      <c r="H1405" s="474"/>
      <c r="I1405" s="474"/>
      <c r="J1405" s="475"/>
      <c r="K1405" s="475"/>
      <c r="L1405" s="475"/>
      <c r="M1405" s="475"/>
      <c r="N1405" s="475"/>
      <c r="O1405" s="475"/>
      <c r="P1405" s="475"/>
      <c r="Q1405" s="475"/>
      <c r="R1405" s="475"/>
      <c r="S1405" s="475"/>
      <c r="T1405" s="475"/>
      <c r="U1405" s="475"/>
      <c r="V1405" s="475"/>
      <c r="W1405" s="475"/>
      <c r="X1405" s="475"/>
      <c r="Y1405" s="475"/>
      <c r="Z1405" s="475"/>
      <c r="AA1405" s="475"/>
      <c r="AB1405" s="475"/>
      <c r="AC1405" s="475"/>
      <c r="AD1405" s="475"/>
      <c r="AE1405" s="475"/>
      <c r="AF1405" s="475"/>
    </row>
    <row r="1406" spans="2:32">
      <c r="B1406" s="471"/>
      <c r="C1406" s="475"/>
      <c r="D1406" s="475"/>
      <c r="E1406" s="475"/>
      <c r="F1406" s="474"/>
      <c r="G1406" s="475"/>
      <c r="H1406" s="474"/>
      <c r="I1406" s="474"/>
      <c r="J1406" s="475"/>
      <c r="K1406" s="475"/>
      <c r="L1406" s="475"/>
      <c r="M1406" s="475"/>
      <c r="N1406" s="475"/>
      <c r="O1406" s="475"/>
      <c r="P1406" s="475"/>
      <c r="Q1406" s="475"/>
      <c r="R1406" s="475"/>
      <c r="S1406" s="475"/>
      <c r="T1406" s="475"/>
      <c r="U1406" s="475"/>
      <c r="V1406" s="475"/>
      <c r="W1406" s="475"/>
      <c r="X1406" s="475"/>
      <c r="Y1406" s="475"/>
      <c r="Z1406" s="475"/>
      <c r="AA1406" s="475"/>
      <c r="AB1406" s="475"/>
      <c r="AC1406" s="475"/>
      <c r="AD1406" s="475"/>
      <c r="AE1406" s="475"/>
      <c r="AF1406" s="475"/>
    </row>
    <row r="1407" spans="2:32">
      <c r="B1407" s="471"/>
      <c r="C1407" s="475"/>
      <c r="D1407" s="475"/>
      <c r="E1407" s="475"/>
      <c r="F1407" s="474"/>
      <c r="G1407" s="475"/>
      <c r="H1407" s="474"/>
      <c r="I1407" s="474"/>
      <c r="J1407" s="475"/>
      <c r="K1407" s="475"/>
      <c r="L1407" s="475"/>
      <c r="M1407" s="475"/>
      <c r="N1407" s="475"/>
      <c r="O1407" s="475"/>
      <c r="P1407" s="475"/>
      <c r="Q1407" s="475"/>
      <c r="R1407" s="475"/>
      <c r="S1407" s="475"/>
      <c r="T1407" s="475"/>
      <c r="U1407" s="475"/>
      <c r="V1407" s="475"/>
      <c r="W1407" s="475"/>
      <c r="X1407" s="475"/>
      <c r="Y1407" s="475"/>
      <c r="Z1407" s="475"/>
      <c r="AA1407" s="475"/>
      <c r="AB1407" s="475"/>
      <c r="AC1407" s="475"/>
      <c r="AD1407" s="475"/>
      <c r="AE1407" s="475"/>
      <c r="AF1407" s="475"/>
    </row>
    <row r="1408" spans="2:32">
      <c r="B1408" s="471"/>
      <c r="C1408" s="475"/>
      <c r="D1408" s="475"/>
      <c r="E1408" s="475"/>
      <c r="F1408" s="474"/>
      <c r="G1408" s="475"/>
      <c r="H1408" s="474"/>
      <c r="I1408" s="474"/>
      <c r="J1408" s="475"/>
      <c r="K1408" s="475"/>
      <c r="L1408" s="475"/>
      <c r="M1408" s="475"/>
      <c r="N1408" s="475"/>
      <c r="O1408" s="475"/>
      <c r="P1408" s="475"/>
      <c r="Q1408" s="475"/>
      <c r="R1408" s="475"/>
      <c r="S1408" s="475"/>
      <c r="T1408" s="475"/>
      <c r="U1408" s="475"/>
      <c r="V1408" s="475"/>
      <c r="W1408" s="475"/>
      <c r="X1408" s="475"/>
      <c r="Y1408" s="475"/>
      <c r="Z1408" s="475"/>
      <c r="AA1408" s="475"/>
      <c r="AB1408" s="475"/>
      <c r="AC1408" s="475"/>
      <c r="AD1408" s="475"/>
      <c r="AE1408" s="475"/>
      <c r="AF1408" s="475"/>
    </row>
    <row r="1409" spans="2:32">
      <c r="B1409" s="471"/>
      <c r="C1409" s="475"/>
      <c r="D1409" s="475"/>
      <c r="E1409" s="475"/>
      <c r="F1409" s="474"/>
      <c r="G1409" s="475"/>
      <c r="H1409" s="474"/>
      <c r="I1409" s="474"/>
      <c r="J1409" s="475"/>
      <c r="K1409" s="475"/>
      <c r="L1409" s="475"/>
      <c r="M1409" s="475"/>
      <c r="N1409" s="475"/>
      <c r="O1409" s="475"/>
      <c r="P1409" s="475"/>
      <c r="Q1409" s="475"/>
      <c r="R1409" s="475"/>
      <c r="S1409" s="475"/>
      <c r="T1409" s="475"/>
      <c r="U1409" s="475"/>
      <c r="V1409" s="475"/>
      <c r="W1409" s="475"/>
      <c r="X1409" s="475"/>
      <c r="Y1409" s="475"/>
      <c r="Z1409" s="475"/>
      <c r="AA1409" s="475"/>
      <c r="AB1409" s="475"/>
      <c r="AC1409" s="475"/>
      <c r="AD1409" s="475"/>
      <c r="AE1409" s="475"/>
      <c r="AF1409" s="475"/>
    </row>
    <row r="1410" spans="2:32">
      <c r="B1410" s="471"/>
      <c r="C1410" s="475"/>
      <c r="D1410" s="475"/>
      <c r="E1410" s="475"/>
      <c r="F1410" s="474"/>
      <c r="G1410" s="475"/>
      <c r="H1410" s="474"/>
      <c r="I1410" s="474"/>
      <c r="J1410" s="475"/>
      <c r="K1410" s="475"/>
      <c r="L1410" s="475"/>
      <c r="M1410" s="475"/>
      <c r="N1410" s="475"/>
      <c r="O1410" s="475"/>
      <c r="P1410" s="475"/>
      <c r="Q1410" s="475"/>
      <c r="R1410" s="475"/>
      <c r="S1410" s="475"/>
      <c r="T1410" s="475"/>
      <c r="U1410" s="475"/>
      <c r="V1410" s="475"/>
      <c r="W1410" s="475"/>
      <c r="X1410" s="475"/>
      <c r="Y1410" s="475"/>
      <c r="Z1410" s="475"/>
      <c r="AA1410" s="475"/>
      <c r="AB1410" s="475"/>
      <c r="AC1410" s="475"/>
      <c r="AD1410" s="475"/>
      <c r="AE1410" s="475"/>
      <c r="AF1410" s="475"/>
    </row>
    <row r="1411" spans="2:32">
      <c r="B1411" s="471"/>
      <c r="C1411" s="475"/>
      <c r="D1411" s="475"/>
      <c r="E1411" s="475"/>
      <c r="F1411" s="474"/>
      <c r="G1411" s="475"/>
      <c r="H1411" s="474"/>
      <c r="I1411" s="474"/>
      <c r="J1411" s="475"/>
      <c r="K1411" s="475"/>
      <c r="L1411" s="475"/>
      <c r="M1411" s="475"/>
      <c r="N1411" s="475"/>
      <c r="O1411" s="475"/>
      <c r="P1411" s="475"/>
      <c r="Q1411" s="475"/>
      <c r="R1411" s="475"/>
      <c r="S1411" s="475"/>
      <c r="T1411" s="475"/>
      <c r="U1411" s="475"/>
      <c r="V1411" s="475"/>
      <c r="W1411" s="475"/>
      <c r="X1411" s="475"/>
      <c r="Y1411" s="475"/>
      <c r="Z1411" s="475"/>
      <c r="AA1411" s="475"/>
      <c r="AB1411" s="475"/>
      <c r="AC1411" s="475"/>
      <c r="AD1411" s="475"/>
      <c r="AE1411" s="475"/>
      <c r="AF1411" s="475"/>
    </row>
    <row r="1412" spans="2:32">
      <c r="B1412" s="471"/>
      <c r="C1412" s="475"/>
      <c r="D1412" s="475"/>
      <c r="E1412" s="475"/>
      <c r="F1412" s="474"/>
      <c r="G1412" s="475"/>
      <c r="H1412" s="474"/>
      <c r="I1412" s="474"/>
      <c r="J1412" s="475"/>
      <c r="K1412" s="475"/>
      <c r="L1412" s="475"/>
      <c r="M1412" s="475"/>
      <c r="N1412" s="475"/>
      <c r="O1412" s="475"/>
      <c r="P1412" s="475"/>
      <c r="Q1412" s="475"/>
      <c r="R1412" s="475"/>
      <c r="S1412" s="475"/>
      <c r="T1412" s="475"/>
      <c r="U1412" s="475"/>
      <c r="V1412" s="475"/>
      <c r="W1412" s="475"/>
      <c r="X1412" s="475"/>
      <c r="Y1412" s="475"/>
      <c r="Z1412" s="475"/>
      <c r="AA1412" s="475"/>
      <c r="AB1412" s="475"/>
      <c r="AC1412" s="475"/>
      <c r="AD1412" s="475"/>
      <c r="AE1412" s="475"/>
      <c r="AF1412" s="475"/>
    </row>
    <row r="1413" spans="2:32">
      <c r="B1413" s="471"/>
      <c r="C1413" s="475"/>
      <c r="D1413" s="475"/>
      <c r="E1413" s="475"/>
      <c r="F1413" s="474"/>
      <c r="G1413" s="475"/>
      <c r="H1413" s="474"/>
      <c r="I1413" s="474"/>
      <c r="J1413" s="475"/>
      <c r="K1413" s="475"/>
      <c r="L1413" s="475"/>
      <c r="M1413" s="475"/>
      <c r="N1413" s="475"/>
      <c r="O1413" s="475"/>
      <c r="P1413" s="475"/>
      <c r="Q1413" s="475"/>
      <c r="R1413" s="475"/>
      <c r="S1413" s="475"/>
      <c r="T1413" s="475"/>
      <c r="U1413" s="475"/>
      <c r="V1413" s="475"/>
      <c r="W1413" s="475"/>
      <c r="X1413" s="475"/>
      <c r="Y1413" s="475"/>
      <c r="Z1413" s="475"/>
      <c r="AA1413" s="475"/>
      <c r="AB1413" s="475"/>
      <c r="AC1413" s="475"/>
      <c r="AD1413" s="475"/>
      <c r="AE1413" s="475"/>
      <c r="AF1413" s="475"/>
    </row>
    <row r="1414" spans="2:32">
      <c r="B1414" s="471"/>
      <c r="C1414" s="475"/>
      <c r="D1414" s="475"/>
      <c r="E1414" s="475"/>
      <c r="F1414" s="474"/>
      <c r="G1414" s="475"/>
      <c r="H1414" s="474"/>
      <c r="I1414" s="474"/>
      <c r="J1414" s="475"/>
      <c r="K1414" s="475"/>
      <c r="L1414" s="475"/>
      <c r="M1414" s="475"/>
      <c r="N1414" s="475"/>
      <c r="O1414" s="475"/>
      <c r="P1414" s="475"/>
      <c r="Q1414" s="475"/>
      <c r="R1414" s="475"/>
      <c r="S1414" s="475"/>
      <c r="T1414" s="475"/>
      <c r="U1414" s="475"/>
      <c r="V1414" s="475"/>
      <c r="W1414" s="475"/>
      <c r="X1414" s="475"/>
      <c r="Y1414" s="475"/>
      <c r="Z1414" s="475"/>
      <c r="AA1414" s="475"/>
      <c r="AB1414" s="475"/>
      <c r="AC1414" s="475"/>
      <c r="AD1414" s="475"/>
      <c r="AE1414" s="475"/>
      <c r="AF1414" s="475"/>
    </row>
    <row r="1415" spans="2:32">
      <c r="B1415" s="471"/>
      <c r="C1415" s="475"/>
      <c r="D1415" s="475"/>
      <c r="E1415" s="475"/>
      <c r="F1415" s="474"/>
      <c r="G1415" s="475"/>
      <c r="H1415" s="474"/>
      <c r="I1415" s="474"/>
      <c r="J1415" s="475"/>
      <c r="K1415" s="475"/>
      <c r="L1415" s="475"/>
      <c r="M1415" s="475"/>
      <c r="N1415" s="475"/>
      <c r="O1415" s="475"/>
      <c r="P1415" s="475"/>
      <c r="Q1415" s="475"/>
      <c r="R1415" s="475"/>
      <c r="S1415" s="475"/>
      <c r="T1415" s="475"/>
      <c r="U1415" s="475"/>
      <c r="V1415" s="475"/>
      <c r="W1415" s="475"/>
      <c r="X1415" s="475"/>
      <c r="Y1415" s="475"/>
      <c r="Z1415" s="475"/>
      <c r="AA1415" s="475"/>
      <c r="AB1415" s="475"/>
      <c r="AC1415" s="475"/>
      <c r="AD1415" s="475"/>
      <c r="AE1415" s="475"/>
      <c r="AF1415" s="475"/>
    </row>
    <row r="1416" spans="2:32">
      <c r="B1416" s="471"/>
      <c r="C1416" s="475"/>
      <c r="D1416" s="475"/>
      <c r="E1416" s="475"/>
      <c r="F1416" s="474"/>
      <c r="G1416" s="475"/>
      <c r="H1416" s="474"/>
      <c r="I1416" s="474"/>
      <c r="J1416" s="475"/>
      <c r="K1416" s="475"/>
      <c r="L1416" s="475"/>
      <c r="M1416" s="475"/>
      <c r="N1416" s="475"/>
      <c r="O1416" s="475"/>
      <c r="P1416" s="475"/>
      <c r="Q1416" s="475"/>
      <c r="R1416" s="475"/>
      <c r="S1416" s="475"/>
      <c r="T1416" s="475"/>
      <c r="U1416" s="475"/>
      <c r="V1416" s="475"/>
      <c r="W1416" s="475"/>
      <c r="X1416" s="475"/>
      <c r="Y1416" s="475"/>
      <c r="Z1416" s="475"/>
      <c r="AA1416" s="475"/>
      <c r="AB1416" s="475"/>
      <c r="AC1416" s="475"/>
      <c r="AD1416" s="475"/>
      <c r="AE1416" s="475"/>
      <c r="AF1416" s="475"/>
    </row>
    <row r="1417" spans="2:32">
      <c r="B1417" s="471"/>
      <c r="C1417" s="475"/>
      <c r="D1417" s="475"/>
      <c r="E1417" s="475"/>
      <c r="F1417" s="474"/>
      <c r="G1417" s="475"/>
      <c r="H1417" s="474"/>
      <c r="I1417" s="474"/>
      <c r="J1417" s="475"/>
      <c r="K1417" s="475"/>
      <c r="L1417" s="475"/>
      <c r="M1417" s="475"/>
      <c r="N1417" s="475"/>
      <c r="O1417" s="475"/>
      <c r="P1417" s="475"/>
      <c r="Q1417" s="475"/>
      <c r="R1417" s="475"/>
      <c r="S1417" s="475"/>
      <c r="T1417" s="475"/>
      <c r="U1417" s="475"/>
      <c r="V1417" s="475"/>
      <c r="W1417" s="475"/>
      <c r="X1417" s="475"/>
      <c r="Y1417" s="475"/>
      <c r="Z1417" s="475"/>
      <c r="AA1417" s="475"/>
      <c r="AB1417" s="475"/>
      <c r="AC1417" s="475"/>
      <c r="AD1417" s="475"/>
      <c r="AE1417" s="475"/>
      <c r="AF1417" s="475"/>
    </row>
    <row r="1418" spans="2:32">
      <c r="B1418" s="471"/>
      <c r="C1418" s="475"/>
      <c r="D1418" s="475"/>
      <c r="E1418" s="475"/>
      <c r="F1418" s="474"/>
      <c r="G1418" s="475"/>
      <c r="H1418" s="474"/>
      <c r="I1418" s="474"/>
      <c r="J1418" s="475"/>
      <c r="K1418" s="475"/>
      <c r="L1418" s="475"/>
      <c r="M1418" s="475"/>
      <c r="N1418" s="475"/>
      <c r="O1418" s="475"/>
      <c r="P1418" s="475"/>
      <c r="Q1418" s="475"/>
      <c r="R1418" s="475"/>
      <c r="S1418" s="475"/>
      <c r="T1418" s="475"/>
      <c r="U1418" s="475"/>
      <c r="V1418" s="475"/>
      <c r="W1418" s="475"/>
      <c r="X1418" s="475"/>
      <c r="Y1418" s="475"/>
      <c r="Z1418" s="475"/>
      <c r="AA1418" s="475"/>
      <c r="AB1418" s="475"/>
      <c r="AC1418" s="475"/>
      <c r="AD1418" s="475"/>
      <c r="AE1418" s="475"/>
      <c r="AF1418" s="475"/>
    </row>
    <row r="1419" spans="2:32">
      <c r="B1419" s="471"/>
      <c r="C1419" s="475"/>
      <c r="D1419" s="475"/>
      <c r="E1419" s="475"/>
      <c r="F1419" s="474"/>
      <c r="G1419" s="475"/>
      <c r="H1419" s="474"/>
      <c r="I1419" s="474"/>
      <c r="J1419" s="475"/>
      <c r="K1419" s="475"/>
      <c r="L1419" s="475"/>
      <c r="M1419" s="475"/>
      <c r="N1419" s="475"/>
      <c r="O1419" s="475"/>
      <c r="P1419" s="475"/>
      <c r="Q1419" s="475"/>
      <c r="R1419" s="475"/>
      <c r="S1419" s="475"/>
      <c r="T1419" s="475"/>
      <c r="U1419" s="475"/>
      <c r="V1419" s="475"/>
      <c r="W1419" s="475"/>
      <c r="X1419" s="475"/>
      <c r="Y1419" s="475"/>
      <c r="Z1419" s="475"/>
      <c r="AA1419" s="475"/>
      <c r="AB1419" s="475"/>
      <c r="AC1419" s="475"/>
      <c r="AD1419" s="475"/>
      <c r="AE1419" s="475"/>
      <c r="AF1419" s="475"/>
    </row>
    <row r="1420" spans="2:32">
      <c r="B1420" s="471"/>
      <c r="C1420" s="475"/>
      <c r="D1420" s="475"/>
      <c r="E1420" s="475"/>
      <c r="F1420" s="474"/>
      <c r="G1420" s="475"/>
      <c r="H1420" s="474"/>
      <c r="I1420" s="474"/>
      <c r="J1420" s="475"/>
      <c r="K1420" s="475"/>
      <c r="L1420" s="475"/>
      <c r="M1420" s="475"/>
      <c r="N1420" s="475"/>
      <c r="O1420" s="475"/>
      <c r="P1420" s="475"/>
      <c r="Q1420" s="475"/>
      <c r="R1420" s="475"/>
      <c r="S1420" s="475"/>
      <c r="T1420" s="475"/>
      <c r="U1420" s="475"/>
      <c r="V1420" s="475"/>
      <c r="W1420" s="475"/>
      <c r="X1420" s="475"/>
      <c r="Y1420" s="475"/>
      <c r="Z1420" s="475"/>
      <c r="AA1420" s="475"/>
      <c r="AB1420" s="475"/>
      <c r="AC1420" s="475"/>
      <c r="AD1420" s="475"/>
      <c r="AE1420" s="475"/>
      <c r="AF1420" s="475"/>
    </row>
    <row r="1421" spans="2:32">
      <c r="B1421" s="471"/>
      <c r="C1421" s="475"/>
      <c r="D1421" s="475"/>
      <c r="E1421" s="475"/>
      <c r="F1421" s="474"/>
      <c r="G1421" s="475"/>
      <c r="H1421" s="474"/>
      <c r="I1421" s="474"/>
      <c r="J1421" s="475"/>
      <c r="K1421" s="475"/>
      <c r="L1421" s="475"/>
      <c r="M1421" s="475"/>
      <c r="N1421" s="475"/>
      <c r="O1421" s="475"/>
      <c r="P1421" s="475"/>
      <c r="Q1421" s="475"/>
      <c r="R1421" s="475"/>
      <c r="S1421" s="475"/>
      <c r="T1421" s="475"/>
      <c r="U1421" s="475"/>
      <c r="V1421" s="475"/>
      <c r="W1421" s="475"/>
      <c r="X1421" s="475"/>
      <c r="Y1421" s="475"/>
      <c r="Z1421" s="475"/>
      <c r="AA1421" s="475"/>
      <c r="AB1421" s="475"/>
      <c r="AC1421" s="475"/>
      <c r="AD1421" s="475"/>
      <c r="AE1421" s="475"/>
      <c r="AF1421" s="475"/>
    </row>
    <row r="1422" spans="2:32">
      <c r="B1422" s="471"/>
      <c r="C1422" s="475"/>
      <c r="D1422" s="475"/>
      <c r="E1422" s="475"/>
      <c r="F1422" s="474"/>
      <c r="G1422" s="475"/>
      <c r="H1422" s="474"/>
      <c r="I1422" s="474"/>
      <c r="J1422" s="475"/>
      <c r="K1422" s="475"/>
      <c r="L1422" s="475"/>
      <c r="M1422" s="475"/>
      <c r="N1422" s="475"/>
      <c r="O1422" s="475"/>
      <c r="P1422" s="475"/>
      <c r="Q1422" s="475"/>
      <c r="R1422" s="475"/>
      <c r="S1422" s="475"/>
      <c r="T1422" s="475"/>
      <c r="U1422" s="475"/>
      <c r="V1422" s="475"/>
      <c r="W1422" s="475"/>
      <c r="X1422" s="475"/>
      <c r="Y1422" s="475"/>
      <c r="Z1422" s="475"/>
      <c r="AA1422" s="475"/>
      <c r="AB1422" s="475"/>
      <c r="AC1422" s="475"/>
      <c r="AD1422" s="475"/>
      <c r="AE1422" s="475"/>
      <c r="AF1422" s="475"/>
    </row>
    <row r="1423" spans="2:32">
      <c r="B1423" s="471"/>
      <c r="C1423" s="475"/>
      <c r="D1423" s="475"/>
      <c r="E1423" s="475"/>
      <c r="F1423" s="474"/>
      <c r="G1423" s="475"/>
      <c r="H1423" s="474"/>
      <c r="I1423" s="474"/>
      <c r="J1423" s="475"/>
      <c r="K1423" s="475"/>
      <c r="L1423" s="475"/>
      <c r="M1423" s="475"/>
      <c r="N1423" s="475"/>
      <c r="O1423" s="475"/>
      <c r="P1423" s="475"/>
      <c r="Q1423" s="475"/>
      <c r="R1423" s="475"/>
      <c r="S1423" s="475"/>
      <c r="T1423" s="475"/>
      <c r="U1423" s="475"/>
      <c r="V1423" s="475"/>
      <c r="W1423" s="475"/>
      <c r="X1423" s="475"/>
      <c r="Y1423" s="475"/>
      <c r="Z1423" s="475"/>
      <c r="AA1423" s="475"/>
      <c r="AB1423" s="475"/>
      <c r="AC1423" s="475"/>
      <c r="AD1423" s="475"/>
      <c r="AE1423" s="475"/>
      <c r="AF1423" s="475"/>
    </row>
    <row r="1424" spans="2:32">
      <c r="B1424" s="471"/>
      <c r="C1424" s="475"/>
      <c r="D1424" s="475"/>
      <c r="E1424" s="475"/>
      <c r="F1424" s="474"/>
      <c r="G1424" s="475"/>
      <c r="H1424" s="474"/>
      <c r="I1424" s="474"/>
      <c r="J1424" s="475"/>
      <c r="K1424" s="475"/>
      <c r="L1424" s="475"/>
      <c r="M1424" s="475"/>
      <c r="N1424" s="475"/>
      <c r="O1424" s="475"/>
      <c r="P1424" s="475"/>
      <c r="Q1424" s="475"/>
      <c r="R1424" s="475"/>
      <c r="S1424" s="475"/>
      <c r="T1424" s="475"/>
      <c r="U1424" s="475"/>
      <c r="V1424" s="475"/>
      <c r="W1424" s="475"/>
      <c r="X1424" s="475"/>
      <c r="Y1424" s="475"/>
      <c r="Z1424" s="475"/>
      <c r="AA1424" s="475"/>
      <c r="AB1424" s="475"/>
      <c r="AC1424" s="475"/>
      <c r="AD1424" s="475"/>
      <c r="AE1424" s="475"/>
      <c r="AF1424" s="475"/>
    </row>
    <row r="1425" spans="2:32">
      <c r="B1425" s="471"/>
      <c r="C1425" s="475"/>
      <c r="D1425" s="475"/>
      <c r="E1425" s="475"/>
      <c r="F1425" s="474"/>
      <c r="G1425" s="475"/>
      <c r="H1425" s="474"/>
      <c r="I1425" s="474"/>
      <c r="J1425" s="475"/>
      <c r="K1425" s="475"/>
      <c r="L1425" s="475"/>
      <c r="M1425" s="475"/>
      <c r="N1425" s="475"/>
      <c r="O1425" s="475"/>
      <c r="P1425" s="475"/>
      <c r="Q1425" s="475"/>
      <c r="R1425" s="475"/>
      <c r="S1425" s="475"/>
      <c r="T1425" s="475"/>
      <c r="U1425" s="475"/>
      <c r="V1425" s="475"/>
      <c r="W1425" s="475"/>
      <c r="X1425" s="475"/>
      <c r="Y1425" s="475"/>
      <c r="Z1425" s="475"/>
      <c r="AA1425" s="475"/>
      <c r="AB1425" s="475"/>
      <c r="AC1425" s="475"/>
      <c r="AD1425" s="475"/>
      <c r="AE1425" s="475"/>
      <c r="AF1425" s="475"/>
    </row>
    <row r="1426" spans="2:32">
      <c r="B1426" s="471"/>
      <c r="C1426" s="475"/>
      <c r="D1426" s="475"/>
      <c r="E1426" s="475"/>
      <c r="F1426" s="474"/>
      <c r="G1426" s="475"/>
      <c r="H1426" s="474"/>
      <c r="I1426" s="474"/>
      <c r="J1426" s="475"/>
      <c r="K1426" s="475"/>
      <c r="L1426" s="475"/>
      <c r="M1426" s="475"/>
      <c r="N1426" s="475"/>
      <c r="O1426" s="475"/>
      <c r="P1426" s="475"/>
      <c r="Q1426" s="475"/>
      <c r="R1426" s="475"/>
      <c r="S1426" s="475"/>
      <c r="T1426" s="475"/>
      <c r="U1426" s="475"/>
      <c r="V1426" s="475"/>
      <c r="W1426" s="475"/>
      <c r="X1426" s="475"/>
      <c r="Y1426" s="475"/>
      <c r="Z1426" s="475"/>
      <c r="AA1426" s="475"/>
      <c r="AB1426" s="475"/>
      <c r="AC1426" s="475"/>
      <c r="AD1426" s="475"/>
      <c r="AE1426" s="475"/>
      <c r="AF1426" s="475"/>
    </row>
    <row r="1427" spans="2:32">
      <c r="B1427" s="471"/>
      <c r="C1427" s="475"/>
      <c r="D1427" s="475"/>
      <c r="E1427" s="475"/>
      <c r="F1427" s="474"/>
      <c r="G1427" s="475"/>
      <c r="H1427" s="474"/>
      <c r="I1427" s="474"/>
      <c r="J1427" s="475"/>
      <c r="K1427" s="475"/>
      <c r="L1427" s="475"/>
      <c r="M1427" s="475"/>
      <c r="N1427" s="475"/>
      <c r="O1427" s="475"/>
      <c r="P1427" s="475"/>
      <c r="Q1427" s="475"/>
      <c r="R1427" s="475"/>
      <c r="S1427" s="475"/>
      <c r="T1427" s="475"/>
      <c r="U1427" s="475"/>
      <c r="V1427" s="475"/>
      <c r="W1427" s="475"/>
      <c r="X1427" s="475"/>
      <c r="Y1427" s="475"/>
      <c r="Z1427" s="475"/>
      <c r="AA1427" s="475"/>
      <c r="AB1427" s="475"/>
      <c r="AC1427" s="475"/>
      <c r="AD1427" s="475"/>
      <c r="AE1427" s="475"/>
      <c r="AF1427" s="475"/>
    </row>
    <row r="1428" spans="2:32">
      <c r="B1428" s="471"/>
      <c r="C1428" s="475"/>
      <c r="D1428" s="475"/>
      <c r="E1428" s="475"/>
      <c r="F1428" s="474"/>
      <c r="G1428" s="475"/>
      <c r="H1428" s="474"/>
      <c r="I1428" s="474"/>
      <c r="J1428" s="475"/>
      <c r="K1428" s="475"/>
      <c r="L1428" s="475"/>
      <c r="M1428" s="475"/>
      <c r="N1428" s="475"/>
      <c r="O1428" s="475"/>
      <c r="P1428" s="475"/>
      <c r="Q1428" s="475"/>
      <c r="R1428" s="475"/>
      <c r="S1428" s="475"/>
      <c r="T1428" s="475"/>
      <c r="U1428" s="475"/>
      <c r="V1428" s="475"/>
      <c r="W1428" s="475"/>
      <c r="X1428" s="475"/>
      <c r="Y1428" s="475"/>
      <c r="Z1428" s="475"/>
      <c r="AA1428" s="475"/>
      <c r="AB1428" s="475"/>
      <c r="AC1428" s="475"/>
      <c r="AD1428" s="475"/>
      <c r="AE1428" s="475"/>
      <c r="AF1428" s="475"/>
    </row>
    <row r="1429" spans="2:32">
      <c r="B1429" s="471"/>
      <c r="C1429" s="475"/>
      <c r="D1429" s="475"/>
      <c r="E1429" s="475"/>
      <c r="F1429" s="474"/>
      <c r="G1429" s="475"/>
      <c r="H1429" s="474"/>
      <c r="I1429" s="474"/>
      <c r="J1429" s="475"/>
      <c r="K1429" s="475"/>
      <c r="L1429" s="475"/>
      <c r="M1429" s="475"/>
      <c r="N1429" s="475"/>
      <c r="O1429" s="475"/>
      <c r="P1429" s="475"/>
      <c r="Q1429" s="475"/>
      <c r="R1429" s="475"/>
      <c r="S1429" s="475"/>
      <c r="T1429" s="475"/>
      <c r="U1429" s="475"/>
      <c r="V1429" s="475"/>
      <c r="W1429" s="475"/>
      <c r="X1429" s="475"/>
      <c r="Y1429" s="475"/>
      <c r="Z1429" s="475"/>
      <c r="AA1429" s="475"/>
      <c r="AB1429" s="475"/>
      <c r="AC1429" s="475"/>
      <c r="AD1429" s="475"/>
      <c r="AE1429" s="475"/>
      <c r="AF1429" s="475"/>
    </row>
    <row r="1430" spans="2:32">
      <c r="B1430" s="471"/>
      <c r="C1430" s="475"/>
      <c r="D1430" s="475"/>
      <c r="E1430" s="475"/>
      <c r="F1430" s="474"/>
      <c r="G1430" s="475"/>
      <c r="H1430" s="474"/>
      <c r="I1430" s="474"/>
      <c r="J1430" s="475"/>
      <c r="K1430" s="475"/>
      <c r="L1430" s="475"/>
      <c r="M1430" s="475"/>
      <c r="N1430" s="475"/>
      <c r="O1430" s="475"/>
      <c r="P1430" s="475"/>
      <c r="Q1430" s="475"/>
      <c r="R1430" s="475"/>
      <c r="S1430" s="475"/>
      <c r="T1430" s="475"/>
      <c r="U1430" s="475"/>
      <c r="V1430" s="475"/>
      <c r="W1430" s="475"/>
      <c r="X1430" s="475"/>
      <c r="Y1430" s="475"/>
      <c r="Z1430" s="475"/>
      <c r="AA1430" s="475"/>
      <c r="AB1430" s="475"/>
      <c r="AC1430" s="475"/>
      <c r="AD1430" s="475"/>
      <c r="AE1430" s="475"/>
      <c r="AF1430" s="475"/>
    </row>
    <row r="1431" spans="2:32">
      <c r="B1431" s="471"/>
      <c r="C1431" s="475"/>
      <c r="D1431" s="475"/>
      <c r="E1431" s="475"/>
      <c r="F1431" s="474"/>
      <c r="G1431" s="475"/>
      <c r="H1431" s="474"/>
      <c r="I1431" s="474"/>
      <c r="J1431" s="475"/>
      <c r="K1431" s="475"/>
      <c r="L1431" s="475"/>
      <c r="M1431" s="475"/>
      <c r="N1431" s="475"/>
      <c r="O1431" s="475"/>
      <c r="P1431" s="475"/>
      <c r="Q1431" s="475"/>
      <c r="R1431" s="475"/>
      <c r="S1431" s="475"/>
      <c r="T1431" s="475"/>
      <c r="U1431" s="475"/>
      <c r="V1431" s="475"/>
      <c r="W1431" s="475"/>
      <c r="X1431" s="475"/>
      <c r="Y1431" s="475"/>
      <c r="Z1431" s="475"/>
      <c r="AA1431" s="475"/>
      <c r="AB1431" s="475"/>
      <c r="AC1431" s="475"/>
      <c r="AD1431" s="475"/>
      <c r="AE1431" s="475"/>
      <c r="AF1431" s="475"/>
    </row>
    <row r="1432" spans="2:32">
      <c r="B1432" s="471"/>
      <c r="C1432" s="475"/>
      <c r="D1432" s="475"/>
      <c r="E1432" s="475"/>
      <c r="F1432" s="474"/>
      <c r="G1432" s="475"/>
      <c r="H1432" s="474"/>
      <c r="I1432" s="474"/>
      <c r="J1432" s="475"/>
      <c r="K1432" s="475"/>
      <c r="L1432" s="475"/>
      <c r="M1432" s="475"/>
      <c r="N1432" s="475"/>
      <c r="O1432" s="475"/>
      <c r="P1432" s="475"/>
      <c r="Q1432" s="475"/>
      <c r="R1432" s="475"/>
      <c r="S1432" s="475"/>
      <c r="T1432" s="475"/>
      <c r="U1432" s="475"/>
      <c r="V1432" s="475"/>
      <c r="W1432" s="475"/>
      <c r="X1432" s="475"/>
      <c r="Y1432" s="475"/>
      <c r="Z1432" s="475"/>
      <c r="AA1432" s="475"/>
      <c r="AB1432" s="475"/>
      <c r="AC1432" s="475"/>
      <c r="AD1432" s="475"/>
      <c r="AE1432" s="475"/>
      <c r="AF1432" s="475"/>
    </row>
    <row r="1433" spans="2:32">
      <c r="B1433" s="471"/>
      <c r="C1433" s="475"/>
      <c r="D1433" s="475"/>
      <c r="E1433" s="475"/>
      <c r="F1433" s="474"/>
      <c r="G1433" s="475"/>
      <c r="H1433" s="474"/>
      <c r="I1433" s="474"/>
      <c r="J1433" s="475"/>
      <c r="K1433" s="475"/>
      <c r="L1433" s="475"/>
      <c r="M1433" s="475"/>
      <c r="N1433" s="475"/>
      <c r="O1433" s="475"/>
      <c r="P1433" s="475"/>
      <c r="Q1433" s="475"/>
      <c r="R1433" s="475"/>
      <c r="S1433" s="475"/>
      <c r="T1433" s="475"/>
      <c r="U1433" s="475"/>
      <c r="V1433" s="475"/>
      <c r="W1433" s="475"/>
      <c r="X1433" s="475"/>
      <c r="Y1433" s="475"/>
      <c r="Z1433" s="475"/>
      <c r="AA1433" s="475"/>
      <c r="AB1433" s="475"/>
      <c r="AC1433" s="475"/>
      <c r="AD1433" s="475"/>
      <c r="AE1433" s="475"/>
      <c r="AF1433" s="475"/>
    </row>
    <row r="1434" spans="2:32">
      <c r="B1434" s="471"/>
      <c r="C1434" s="475"/>
      <c r="D1434" s="475"/>
      <c r="E1434" s="475"/>
      <c r="F1434" s="474"/>
      <c r="G1434" s="475"/>
      <c r="H1434" s="474"/>
      <c r="I1434" s="474"/>
      <c r="J1434" s="475"/>
      <c r="K1434" s="475"/>
      <c r="L1434" s="475"/>
      <c r="M1434" s="475"/>
      <c r="N1434" s="475"/>
      <c r="O1434" s="475"/>
      <c r="P1434" s="475"/>
      <c r="Q1434" s="475"/>
      <c r="R1434" s="475"/>
      <c r="S1434" s="475"/>
      <c r="T1434" s="475"/>
      <c r="U1434" s="475"/>
      <c r="V1434" s="475"/>
      <c r="W1434" s="475"/>
      <c r="X1434" s="475"/>
      <c r="Y1434" s="475"/>
      <c r="Z1434" s="475"/>
      <c r="AA1434" s="475"/>
      <c r="AB1434" s="475"/>
      <c r="AC1434" s="475"/>
      <c r="AD1434" s="475"/>
      <c r="AE1434" s="475"/>
      <c r="AF1434" s="475"/>
    </row>
    <row r="1435" spans="2:32">
      <c r="B1435" s="471"/>
      <c r="C1435" s="475"/>
      <c r="D1435" s="475"/>
      <c r="E1435" s="475"/>
      <c r="F1435" s="474"/>
      <c r="G1435" s="475"/>
      <c r="H1435" s="474"/>
      <c r="I1435" s="474"/>
      <c r="J1435" s="475"/>
      <c r="K1435" s="475"/>
      <c r="L1435" s="475"/>
      <c r="M1435" s="475"/>
      <c r="N1435" s="475"/>
      <c r="O1435" s="475"/>
      <c r="P1435" s="475"/>
      <c r="Q1435" s="475"/>
      <c r="R1435" s="475"/>
      <c r="S1435" s="475"/>
      <c r="T1435" s="475"/>
      <c r="U1435" s="475"/>
      <c r="V1435" s="475"/>
      <c r="W1435" s="475"/>
      <c r="X1435" s="475"/>
      <c r="Y1435" s="475"/>
      <c r="Z1435" s="475"/>
      <c r="AA1435" s="475"/>
      <c r="AB1435" s="475"/>
      <c r="AC1435" s="475"/>
      <c r="AD1435" s="475"/>
      <c r="AE1435" s="475"/>
      <c r="AF1435" s="475"/>
    </row>
    <row r="1436" spans="2:32">
      <c r="B1436" s="471"/>
      <c r="C1436" s="475"/>
      <c r="D1436" s="475"/>
      <c r="E1436" s="475"/>
      <c r="F1436" s="474"/>
      <c r="G1436" s="475"/>
      <c r="H1436" s="474"/>
      <c r="I1436" s="474"/>
      <c r="J1436" s="475"/>
      <c r="K1436" s="475"/>
      <c r="L1436" s="475"/>
      <c r="M1436" s="475"/>
      <c r="N1436" s="475"/>
      <c r="O1436" s="475"/>
      <c r="P1436" s="475"/>
      <c r="Q1436" s="475"/>
      <c r="R1436" s="475"/>
      <c r="S1436" s="475"/>
      <c r="T1436" s="475"/>
      <c r="U1436" s="475"/>
      <c r="V1436" s="475"/>
      <c r="W1436" s="475"/>
      <c r="X1436" s="475"/>
      <c r="Y1436" s="475"/>
      <c r="Z1436" s="475"/>
      <c r="AA1436" s="475"/>
      <c r="AB1436" s="475"/>
      <c r="AC1436" s="475"/>
      <c r="AD1436" s="475"/>
      <c r="AE1436" s="475"/>
      <c r="AF1436" s="475"/>
    </row>
    <row r="1437" spans="2:32">
      <c r="B1437" s="471"/>
      <c r="C1437" s="475"/>
      <c r="D1437" s="475"/>
      <c r="E1437" s="475"/>
      <c r="F1437" s="474"/>
      <c r="G1437" s="475"/>
      <c r="H1437" s="474"/>
      <c r="I1437" s="474"/>
      <c r="J1437" s="475"/>
      <c r="K1437" s="475"/>
      <c r="L1437" s="475"/>
      <c r="M1437" s="475"/>
      <c r="N1437" s="475"/>
      <c r="O1437" s="475"/>
      <c r="P1437" s="475"/>
      <c r="Q1437" s="475"/>
      <c r="R1437" s="475"/>
      <c r="S1437" s="475"/>
      <c r="T1437" s="475"/>
      <c r="U1437" s="475"/>
      <c r="V1437" s="475"/>
      <c r="W1437" s="475"/>
      <c r="X1437" s="475"/>
      <c r="Y1437" s="475"/>
      <c r="Z1437" s="475"/>
      <c r="AA1437" s="475"/>
      <c r="AB1437" s="475"/>
      <c r="AC1437" s="475"/>
      <c r="AD1437" s="475"/>
      <c r="AE1437" s="475"/>
      <c r="AF1437" s="475"/>
    </row>
    <row r="1438" spans="2:32">
      <c r="B1438" s="471"/>
      <c r="C1438" s="475"/>
      <c r="D1438" s="475"/>
      <c r="E1438" s="475"/>
      <c r="F1438" s="474"/>
      <c r="G1438" s="475"/>
      <c r="H1438" s="474"/>
      <c r="I1438" s="474"/>
      <c r="J1438" s="475"/>
      <c r="K1438" s="475"/>
      <c r="L1438" s="475"/>
      <c r="M1438" s="475"/>
      <c r="N1438" s="475"/>
      <c r="O1438" s="475"/>
      <c r="P1438" s="475"/>
      <c r="Q1438" s="475"/>
      <c r="R1438" s="475"/>
      <c r="S1438" s="475"/>
      <c r="T1438" s="475"/>
      <c r="U1438" s="475"/>
      <c r="V1438" s="475"/>
      <c r="W1438" s="475"/>
      <c r="X1438" s="475"/>
      <c r="Y1438" s="475"/>
      <c r="Z1438" s="475"/>
      <c r="AA1438" s="475"/>
      <c r="AB1438" s="475"/>
      <c r="AC1438" s="475"/>
      <c r="AD1438" s="475"/>
      <c r="AE1438" s="475"/>
      <c r="AF1438" s="475"/>
    </row>
    <row r="1439" spans="2:32">
      <c r="B1439" s="471"/>
      <c r="C1439" s="475"/>
      <c r="D1439" s="475"/>
      <c r="E1439" s="475"/>
      <c r="F1439" s="474"/>
      <c r="G1439" s="475"/>
      <c r="H1439" s="474"/>
      <c r="I1439" s="474"/>
      <c r="J1439" s="475"/>
      <c r="K1439" s="475"/>
      <c r="L1439" s="475"/>
      <c r="M1439" s="475"/>
      <c r="N1439" s="475"/>
      <c r="O1439" s="475"/>
      <c r="P1439" s="475"/>
      <c r="Q1439" s="475"/>
      <c r="R1439" s="475"/>
      <c r="S1439" s="475"/>
      <c r="T1439" s="475"/>
      <c r="U1439" s="475"/>
      <c r="V1439" s="475"/>
      <c r="W1439" s="475"/>
      <c r="X1439" s="475"/>
      <c r="Y1439" s="475"/>
      <c r="Z1439" s="475"/>
      <c r="AA1439" s="475"/>
      <c r="AB1439" s="475"/>
      <c r="AC1439" s="475"/>
      <c r="AD1439" s="475"/>
      <c r="AE1439" s="475"/>
      <c r="AF1439" s="475"/>
    </row>
    <row r="1440" spans="2:32">
      <c r="B1440" s="471"/>
      <c r="C1440" s="475"/>
      <c r="D1440" s="475"/>
      <c r="E1440" s="475"/>
      <c r="F1440" s="474"/>
      <c r="G1440" s="475"/>
      <c r="H1440" s="474"/>
      <c r="I1440" s="474"/>
      <c r="J1440" s="475"/>
      <c r="K1440" s="475"/>
      <c r="L1440" s="475"/>
      <c r="M1440" s="475"/>
      <c r="N1440" s="475"/>
      <c r="O1440" s="475"/>
      <c r="P1440" s="475"/>
      <c r="Q1440" s="475"/>
      <c r="R1440" s="475"/>
      <c r="S1440" s="475"/>
      <c r="T1440" s="475"/>
      <c r="U1440" s="475"/>
      <c r="V1440" s="475"/>
      <c r="W1440" s="475"/>
      <c r="X1440" s="475"/>
      <c r="Y1440" s="475"/>
      <c r="Z1440" s="475"/>
      <c r="AA1440" s="475"/>
      <c r="AB1440" s="475"/>
      <c r="AC1440" s="475"/>
      <c r="AD1440" s="475"/>
      <c r="AE1440" s="475"/>
      <c r="AF1440" s="475"/>
    </row>
    <row r="1441" spans="2:32">
      <c r="B1441" s="471"/>
      <c r="C1441" s="475"/>
      <c r="D1441" s="475"/>
      <c r="E1441" s="475"/>
      <c r="F1441" s="474"/>
      <c r="G1441" s="475"/>
      <c r="H1441" s="474"/>
      <c r="I1441" s="474"/>
      <c r="J1441" s="475"/>
      <c r="K1441" s="475"/>
      <c r="L1441" s="475"/>
      <c r="M1441" s="475"/>
      <c r="N1441" s="475"/>
      <c r="O1441" s="475"/>
      <c r="P1441" s="475"/>
      <c r="Q1441" s="475"/>
      <c r="R1441" s="475"/>
      <c r="S1441" s="475"/>
      <c r="T1441" s="475"/>
      <c r="U1441" s="475"/>
      <c r="V1441" s="475"/>
      <c r="W1441" s="475"/>
      <c r="X1441" s="475"/>
      <c r="Y1441" s="475"/>
      <c r="Z1441" s="475"/>
      <c r="AA1441" s="475"/>
      <c r="AB1441" s="475"/>
      <c r="AC1441" s="475"/>
      <c r="AD1441" s="475"/>
      <c r="AE1441" s="475"/>
      <c r="AF1441" s="475"/>
    </row>
    <row r="1442" spans="2:32">
      <c r="B1442" s="471"/>
      <c r="C1442" s="475"/>
      <c r="D1442" s="475"/>
      <c r="E1442" s="475"/>
      <c r="F1442" s="474"/>
      <c r="G1442" s="475"/>
      <c r="H1442" s="474"/>
      <c r="I1442" s="474"/>
      <c r="J1442" s="475"/>
      <c r="K1442" s="475"/>
      <c r="L1442" s="475"/>
      <c r="M1442" s="475"/>
      <c r="N1442" s="475"/>
      <c r="O1442" s="475"/>
      <c r="P1442" s="475"/>
      <c r="Q1442" s="475"/>
      <c r="R1442" s="475"/>
      <c r="S1442" s="475"/>
      <c r="T1442" s="475"/>
      <c r="U1442" s="475"/>
      <c r="V1442" s="475"/>
      <c r="W1442" s="475"/>
      <c r="X1442" s="475"/>
      <c r="Y1442" s="475"/>
      <c r="Z1442" s="475"/>
      <c r="AA1442" s="475"/>
      <c r="AB1442" s="475"/>
      <c r="AC1442" s="475"/>
      <c r="AD1442" s="475"/>
      <c r="AE1442" s="475"/>
      <c r="AF1442" s="475"/>
    </row>
    <row r="1443" spans="2:32">
      <c r="B1443" s="471"/>
      <c r="C1443" s="475"/>
      <c r="D1443" s="475"/>
      <c r="E1443" s="475"/>
      <c r="F1443" s="474"/>
      <c r="G1443" s="475"/>
      <c r="H1443" s="474"/>
      <c r="I1443" s="474"/>
      <c r="J1443" s="475"/>
      <c r="K1443" s="475"/>
      <c r="L1443" s="475"/>
      <c r="M1443" s="475"/>
      <c r="N1443" s="475"/>
      <c r="O1443" s="475"/>
      <c r="P1443" s="475"/>
      <c r="Q1443" s="475"/>
      <c r="R1443" s="475"/>
      <c r="S1443" s="475"/>
      <c r="T1443" s="475"/>
      <c r="U1443" s="475"/>
      <c r="V1443" s="475"/>
      <c r="W1443" s="475"/>
      <c r="X1443" s="475"/>
      <c r="Y1443" s="475"/>
      <c r="Z1443" s="475"/>
      <c r="AA1443" s="475"/>
      <c r="AB1443" s="475"/>
      <c r="AC1443" s="475"/>
      <c r="AD1443" s="475"/>
      <c r="AE1443" s="475"/>
      <c r="AF1443" s="475"/>
    </row>
    <row r="1444" spans="2:32">
      <c r="B1444" s="471"/>
      <c r="C1444" s="475"/>
      <c r="D1444" s="475"/>
      <c r="E1444" s="475"/>
      <c r="F1444" s="474"/>
      <c r="G1444" s="475"/>
      <c r="H1444" s="474"/>
      <c r="I1444" s="474"/>
      <c r="J1444" s="475"/>
      <c r="K1444" s="475"/>
      <c r="L1444" s="475"/>
      <c r="M1444" s="475"/>
      <c r="N1444" s="475"/>
      <c r="O1444" s="475"/>
      <c r="P1444" s="475"/>
      <c r="Q1444" s="475"/>
      <c r="R1444" s="475"/>
      <c r="S1444" s="475"/>
      <c r="T1444" s="475"/>
      <c r="U1444" s="475"/>
      <c r="V1444" s="475"/>
      <c r="W1444" s="475"/>
      <c r="X1444" s="475"/>
      <c r="Y1444" s="475"/>
      <c r="Z1444" s="475"/>
      <c r="AA1444" s="475"/>
      <c r="AB1444" s="475"/>
      <c r="AC1444" s="475"/>
      <c r="AD1444" s="475"/>
      <c r="AE1444" s="475"/>
      <c r="AF1444" s="475"/>
    </row>
    <row r="1445" spans="2:32">
      <c r="B1445" s="471"/>
      <c r="C1445" s="475"/>
      <c r="D1445" s="475"/>
      <c r="E1445" s="475"/>
      <c r="F1445" s="474"/>
      <c r="G1445" s="475"/>
      <c r="H1445" s="474"/>
      <c r="I1445" s="474"/>
      <c r="J1445" s="475"/>
      <c r="K1445" s="475"/>
      <c r="L1445" s="475"/>
      <c r="M1445" s="475"/>
      <c r="N1445" s="475"/>
      <c r="O1445" s="475"/>
      <c r="P1445" s="475"/>
      <c r="Q1445" s="475"/>
      <c r="R1445" s="475"/>
      <c r="S1445" s="475"/>
      <c r="T1445" s="475"/>
      <c r="U1445" s="475"/>
      <c r="V1445" s="475"/>
      <c r="W1445" s="475"/>
      <c r="X1445" s="475"/>
      <c r="Y1445" s="475"/>
      <c r="Z1445" s="475"/>
      <c r="AA1445" s="475"/>
      <c r="AB1445" s="475"/>
      <c r="AC1445" s="475"/>
      <c r="AD1445" s="475"/>
      <c r="AE1445" s="475"/>
      <c r="AF1445" s="475"/>
    </row>
    <row r="1446" spans="2:32">
      <c r="B1446" s="471"/>
      <c r="C1446" s="475"/>
      <c r="D1446" s="475"/>
      <c r="E1446" s="475"/>
      <c r="F1446" s="474"/>
      <c r="G1446" s="475"/>
      <c r="H1446" s="474"/>
      <c r="I1446" s="474"/>
      <c r="J1446" s="475"/>
      <c r="K1446" s="475"/>
      <c r="L1446" s="475"/>
      <c r="M1446" s="475"/>
      <c r="N1446" s="475"/>
      <c r="O1446" s="475"/>
      <c r="P1446" s="475"/>
      <c r="Q1446" s="475"/>
      <c r="R1446" s="475"/>
      <c r="S1446" s="475"/>
      <c r="T1446" s="475"/>
      <c r="U1446" s="475"/>
      <c r="V1446" s="475"/>
      <c r="W1446" s="475"/>
      <c r="X1446" s="475"/>
      <c r="Y1446" s="475"/>
      <c r="Z1446" s="475"/>
      <c r="AA1446" s="475"/>
      <c r="AB1446" s="475"/>
      <c r="AC1446" s="475"/>
      <c r="AD1446" s="475"/>
      <c r="AE1446" s="475"/>
      <c r="AF1446" s="475"/>
    </row>
    <row r="1447" spans="2:32">
      <c r="B1447" s="471"/>
      <c r="C1447" s="475"/>
      <c r="D1447" s="475"/>
      <c r="E1447" s="475"/>
      <c r="F1447" s="474"/>
      <c r="G1447" s="475"/>
      <c r="H1447" s="474"/>
      <c r="I1447" s="474"/>
      <c r="J1447" s="475"/>
      <c r="K1447" s="475"/>
      <c r="L1447" s="475"/>
      <c r="M1447" s="475"/>
      <c r="N1447" s="475"/>
      <c r="O1447" s="475"/>
      <c r="P1447" s="475"/>
      <c r="Q1447" s="475"/>
      <c r="R1447" s="475"/>
      <c r="S1447" s="475"/>
      <c r="T1447" s="475"/>
      <c r="U1447" s="475"/>
      <c r="V1447" s="475"/>
      <c r="W1447" s="475"/>
      <c r="X1447" s="475"/>
      <c r="Y1447" s="475"/>
      <c r="Z1447" s="475"/>
      <c r="AA1447" s="475"/>
      <c r="AB1447" s="475"/>
      <c r="AC1447" s="475"/>
      <c r="AD1447" s="475"/>
      <c r="AE1447" s="475"/>
      <c r="AF1447" s="475"/>
    </row>
    <row r="1448" spans="2:32">
      <c r="B1448" s="471"/>
      <c r="C1448" s="475"/>
      <c r="D1448" s="475"/>
      <c r="E1448" s="475"/>
      <c r="F1448" s="474"/>
      <c r="G1448" s="475"/>
      <c r="H1448" s="474"/>
      <c r="I1448" s="474"/>
      <c r="J1448" s="475"/>
      <c r="K1448" s="475"/>
      <c r="L1448" s="475"/>
      <c r="M1448" s="475"/>
      <c r="N1448" s="475"/>
      <c r="O1448" s="475"/>
      <c r="P1448" s="475"/>
      <c r="Q1448" s="475"/>
      <c r="R1448" s="475"/>
      <c r="S1448" s="475"/>
      <c r="T1448" s="475"/>
      <c r="U1448" s="475"/>
      <c r="V1448" s="475"/>
      <c r="W1448" s="475"/>
      <c r="X1448" s="475"/>
      <c r="Y1448" s="475"/>
      <c r="Z1448" s="475"/>
      <c r="AA1448" s="475"/>
      <c r="AB1448" s="475"/>
      <c r="AC1448" s="475"/>
      <c r="AD1448" s="475"/>
      <c r="AE1448" s="475"/>
      <c r="AF1448" s="475"/>
    </row>
    <row r="1449" spans="2:32">
      <c r="B1449" s="471"/>
      <c r="C1449" s="475"/>
      <c r="D1449" s="475"/>
      <c r="E1449" s="475"/>
      <c r="F1449" s="474"/>
      <c r="G1449" s="475"/>
      <c r="H1449" s="474"/>
      <c r="I1449" s="474"/>
      <c r="J1449" s="475"/>
      <c r="K1449" s="475"/>
      <c r="L1449" s="475"/>
      <c r="M1449" s="475"/>
      <c r="N1449" s="475"/>
      <c r="O1449" s="475"/>
      <c r="P1449" s="475"/>
      <c r="Q1449" s="475"/>
      <c r="R1449" s="475"/>
      <c r="S1449" s="475"/>
      <c r="T1449" s="475"/>
      <c r="U1449" s="475"/>
      <c r="V1449" s="475"/>
      <c r="W1449" s="475"/>
      <c r="X1449" s="475"/>
      <c r="Y1449" s="475"/>
      <c r="Z1449" s="475"/>
      <c r="AA1449" s="475"/>
      <c r="AB1449" s="475"/>
      <c r="AC1449" s="475"/>
      <c r="AD1449" s="475"/>
      <c r="AE1449" s="475"/>
      <c r="AF1449" s="475"/>
    </row>
    <row r="1450" spans="2:32">
      <c r="B1450" s="471"/>
      <c r="C1450" s="475"/>
      <c r="D1450" s="475"/>
      <c r="E1450" s="475"/>
      <c r="F1450" s="474"/>
      <c r="G1450" s="475"/>
      <c r="H1450" s="474"/>
      <c r="I1450" s="474"/>
      <c r="J1450" s="475"/>
      <c r="K1450" s="475"/>
      <c r="L1450" s="475"/>
      <c r="M1450" s="475"/>
      <c r="N1450" s="475"/>
      <c r="O1450" s="475"/>
      <c r="P1450" s="475"/>
      <c r="Q1450" s="475"/>
      <c r="R1450" s="475"/>
      <c r="S1450" s="475"/>
      <c r="T1450" s="475"/>
      <c r="U1450" s="475"/>
      <c r="V1450" s="475"/>
      <c r="W1450" s="475"/>
      <c r="X1450" s="475"/>
      <c r="Y1450" s="475"/>
      <c r="Z1450" s="475"/>
      <c r="AA1450" s="475"/>
      <c r="AB1450" s="475"/>
      <c r="AC1450" s="475"/>
      <c r="AD1450" s="475"/>
      <c r="AE1450" s="475"/>
      <c r="AF1450" s="475"/>
    </row>
    <row r="1451" spans="2:32">
      <c r="B1451" s="471"/>
      <c r="C1451" s="475"/>
      <c r="D1451" s="475"/>
      <c r="E1451" s="475"/>
      <c r="F1451" s="474"/>
      <c r="G1451" s="475"/>
      <c r="H1451" s="474"/>
      <c r="I1451" s="474"/>
      <c r="J1451" s="475"/>
      <c r="K1451" s="475"/>
      <c r="L1451" s="475"/>
      <c r="M1451" s="475"/>
      <c r="N1451" s="475"/>
      <c r="O1451" s="475"/>
      <c r="P1451" s="475"/>
      <c r="Q1451" s="475"/>
      <c r="R1451" s="475"/>
      <c r="S1451" s="475"/>
      <c r="T1451" s="475"/>
      <c r="U1451" s="475"/>
      <c r="V1451" s="475"/>
      <c r="W1451" s="475"/>
      <c r="X1451" s="475"/>
      <c r="Y1451" s="475"/>
      <c r="Z1451" s="475"/>
      <c r="AA1451" s="475"/>
      <c r="AB1451" s="475"/>
      <c r="AC1451" s="475"/>
      <c r="AD1451" s="475"/>
      <c r="AE1451" s="475"/>
      <c r="AF1451" s="475"/>
    </row>
    <row r="1452" spans="2:32">
      <c r="B1452" s="471"/>
      <c r="C1452" s="475"/>
      <c r="D1452" s="475"/>
      <c r="E1452" s="475"/>
      <c r="F1452" s="474"/>
      <c r="G1452" s="475"/>
      <c r="H1452" s="474"/>
      <c r="I1452" s="474"/>
      <c r="J1452" s="475"/>
      <c r="K1452" s="475"/>
      <c r="L1452" s="475"/>
      <c r="M1452" s="475"/>
      <c r="N1452" s="475"/>
      <c r="O1452" s="475"/>
      <c r="P1452" s="475"/>
      <c r="Q1452" s="475"/>
      <c r="R1452" s="475"/>
      <c r="S1452" s="475"/>
      <c r="T1452" s="475"/>
      <c r="U1452" s="475"/>
      <c r="V1452" s="475"/>
      <c r="W1452" s="475"/>
      <c r="X1452" s="475"/>
      <c r="Y1452" s="475"/>
      <c r="Z1452" s="475"/>
      <c r="AA1452" s="475"/>
      <c r="AB1452" s="475"/>
      <c r="AC1452" s="475"/>
      <c r="AD1452" s="475"/>
      <c r="AE1452" s="475"/>
      <c r="AF1452" s="475"/>
    </row>
    <row r="1453" spans="2:32">
      <c r="B1453" s="471"/>
      <c r="C1453" s="475"/>
      <c r="D1453" s="475"/>
      <c r="E1453" s="475"/>
      <c r="F1453" s="474"/>
      <c r="G1453" s="475"/>
      <c r="H1453" s="474"/>
      <c r="I1453" s="474"/>
      <c r="J1453" s="475"/>
      <c r="K1453" s="475"/>
      <c r="L1453" s="475"/>
      <c r="M1453" s="475"/>
      <c r="N1453" s="475"/>
      <c r="O1453" s="475"/>
      <c r="P1453" s="475"/>
      <c r="Q1453" s="475"/>
      <c r="R1453" s="475"/>
      <c r="S1453" s="475"/>
      <c r="T1453" s="475"/>
      <c r="U1453" s="475"/>
      <c r="V1453" s="475"/>
      <c r="W1453" s="475"/>
      <c r="X1453" s="475"/>
      <c r="Y1453" s="475"/>
      <c r="Z1453" s="475"/>
      <c r="AA1453" s="475"/>
      <c r="AB1453" s="475"/>
      <c r="AC1453" s="475"/>
      <c r="AD1453" s="475"/>
      <c r="AE1453" s="475"/>
      <c r="AF1453" s="475"/>
    </row>
    <row r="1454" spans="2:32">
      <c r="B1454" s="471"/>
      <c r="C1454" s="475"/>
      <c r="D1454" s="475"/>
      <c r="E1454" s="475"/>
      <c r="F1454" s="474"/>
      <c r="G1454" s="475"/>
      <c r="H1454" s="474"/>
      <c r="I1454" s="474"/>
      <c r="J1454" s="475"/>
      <c r="K1454" s="475"/>
      <c r="L1454" s="475"/>
      <c r="M1454" s="475"/>
      <c r="N1454" s="475"/>
      <c r="O1454" s="475"/>
      <c r="P1454" s="475"/>
      <c r="Q1454" s="475"/>
      <c r="R1454" s="475"/>
      <c r="S1454" s="475"/>
      <c r="T1454" s="475"/>
      <c r="U1454" s="475"/>
      <c r="V1454" s="475"/>
      <c r="W1454" s="475"/>
      <c r="X1454" s="475"/>
      <c r="Y1454" s="475"/>
      <c r="Z1454" s="475"/>
      <c r="AA1454" s="475"/>
      <c r="AB1454" s="475"/>
      <c r="AC1454" s="475"/>
      <c r="AD1454" s="475"/>
      <c r="AE1454" s="475"/>
      <c r="AF1454" s="475"/>
    </row>
    <row r="1455" spans="2:32">
      <c r="B1455" s="471"/>
      <c r="C1455" s="475"/>
      <c r="D1455" s="475"/>
      <c r="E1455" s="475"/>
      <c r="F1455" s="474"/>
      <c r="G1455" s="475"/>
      <c r="H1455" s="474"/>
      <c r="I1455" s="474"/>
      <c r="J1455" s="475"/>
      <c r="K1455" s="475"/>
      <c r="L1455" s="475"/>
      <c r="M1455" s="475"/>
      <c r="N1455" s="475"/>
      <c r="O1455" s="475"/>
      <c r="P1455" s="475"/>
      <c r="Q1455" s="475"/>
      <c r="R1455" s="475"/>
      <c r="S1455" s="475"/>
      <c r="T1455" s="475"/>
      <c r="U1455" s="475"/>
      <c r="V1455" s="475"/>
      <c r="W1455" s="475"/>
      <c r="X1455" s="475"/>
      <c r="Y1455" s="475"/>
      <c r="Z1455" s="475"/>
      <c r="AA1455" s="475"/>
      <c r="AB1455" s="475"/>
      <c r="AC1455" s="475"/>
      <c r="AD1455" s="475"/>
      <c r="AE1455" s="475"/>
      <c r="AF1455" s="475"/>
    </row>
    <row r="1456" spans="2:32">
      <c r="B1456" s="471"/>
      <c r="C1456" s="475"/>
      <c r="D1456" s="475"/>
      <c r="E1456" s="475"/>
      <c r="F1456" s="474"/>
      <c r="G1456" s="475"/>
      <c r="H1456" s="474"/>
      <c r="I1456" s="474"/>
      <c r="J1456" s="475"/>
      <c r="K1456" s="475"/>
      <c r="L1456" s="475"/>
      <c r="M1456" s="475"/>
      <c r="N1456" s="475"/>
      <c r="O1456" s="475"/>
      <c r="P1456" s="475"/>
      <c r="Q1456" s="475"/>
      <c r="R1456" s="475"/>
      <c r="S1456" s="475"/>
      <c r="T1456" s="475"/>
      <c r="U1456" s="475"/>
      <c r="V1456" s="475"/>
      <c r="W1456" s="475"/>
      <c r="X1456" s="475"/>
      <c r="Y1456" s="475"/>
      <c r="Z1456" s="475"/>
      <c r="AA1456" s="475"/>
      <c r="AB1456" s="475"/>
      <c r="AC1456" s="475"/>
      <c r="AD1456" s="475"/>
      <c r="AE1456" s="475"/>
      <c r="AF1456" s="475"/>
    </row>
    <row r="1457" spans="2:32">
      <c r="B1457" s="471"/>
      <c r="C1457" s="475"/>
      <c r="D1457" s="475"/>
      <c r="E1457" s="475"/>
      <c r="F1457" s="474"/>
      <c r="G1457" s="475"/>
      <c r="H1457" s="474"/>
      <c r="I1457" s="474"/>
      <c r="J1457" s="475"/>
      <c r="K1457" s="475"/>
      <c r="L1457" s="475"/>
      <c r="M1457" s="475"/>
      <c r="N1457" s="475"/>
      <c r="O1457" s="475"/>
      <c r="P1457" s="475"/>
      <c r="Q1457" s="475"/>
      <c r="R1457" s="475"/>
      <c r="S1457" s="475"/>
      <c r="T1457" s="475"/>
      <c r="U1457" s="475"/>
      <c r="V1457" s="475"/>
      <c r="W1457" s="475"/>
      <c r="X1457" s="475"/>
      <c r="Y1457" s="475"/>
      <c r="Z1457" s="475"/>
      <c r="AA1457" s="475"/>
      <c r="AB1457" s="475"/>
      <c r="AC1457" s="475"/>
      <c r="AD1457" s="475"/>
      <c r="AE1457" s="475"/>
      <c r="AF1457" s="475"/>
    </row>
    <row r="1458" spans="2:32">
      <c r="B1458" s="471"/>
      <c r="C1458" s="475"/>
      <c r="D1458" s="475"/>
      <c r="E1458" s="475"/>
      <c r="F1458" s="474"/>
      <c r="G1458" s="475"/>
      <c r="H1458" s="474"/>
      <c r="I1458" s="474"/>
      <c r="J1458" s="475"/>
      <c r="K1458" s="475"/>
      <c r="L1458" s="475"/>
      <c r="M1458" s="475"/>
      <c r="N1458" s="475"/>
      <c r="O1458" s="475"/>
      <c r="P1458" s="475"/>
      <c r="Q1458" s="475"/>
      <c r="R1458" s="475"/>
      <c r="S1458" s="475"/>
      <c r="T1458" s="475"/>
      <c r="U1458" s="475"/>
      <c r="V1458" s="475"/>
      <c r="W1458" s="475"/>
      <c r="X1458" s="475"/>
      <c r="Y1458" s="475"/>
      <c r="Z1458" s="475"/>
      <c r="AA1458" s="475"/>
      <c r="AB1458" s="475"/>
      <c r="AC1458" s="475"/>
      <c r="AD1458" s="475"/>
      <c r="AE1458" s="475"/>
      <c r="AF1458" s="475"/>
    </row>
    <row r="1459" spans="2:32">
      <c r="B1459" s="471"/>
      <c r="C1459" s="475"/>
      <c r="D1459" s="475"/>
      <c r="E1459" s="475"/>
      <c r="F1459" s="474"/>
      <c r="G1459" s="475"/>
      <c r="H1459" s="474"/>
      <c r="I1459" s="474"/>
      <c r="J1459" s="475"/>
      <c r="K1459" s="475"/>
      <c r="L1459" s="475"/>
      <c r="M1459" s="475"/>
      <c r="N1459" s="475"/>
      <c r="O1459" s="475"/>
      <c r="P1459" s="475"/>
      <c r="Q1459" s="475"/>
      <c r="R1459" s="475"/>
      <c r="S1459" s="475"/>
      <c r="T1459" s="475"/>
      <c r="U1459" s="475"/>
      <c r="V1459" s="475"/>
      <c r="W1459" s="475"/>
      <c r="X1459" s="475"/>
      <c r="Y1459" s="475"/>
      <c r="Z1459" s="475"/>
      <c r="AA1459" s="475"/>
      <c r="AB1459" s="475"/>
      <c r="AC1459" s="475"/>
      <c r="AD1459" s="475"/>
      <c r="AE1459" s="475"/>
      <c r="AF1459" s="475"/>
    </row>
    <row r="1460" spans="2:32">
      <c r="B1460" s="471"/>
      <c r="C1460" s="475"/>
      <c r="D1460" s="475"/>
      <c r="E1460" s="475"/>
      <c r="F1460" s="474"/>
      <c r="G1460" s="475"/>
      <c r="H1460" s="474"/>
      <c r="I1460" s="474"/>
      <c r="J1460" s="475"/>
      <c r="K1460" s="475"/>
      <c r="L1460" s="475"/>
      <c r="M1460" s="475"/>
      <c r="N1460" s="475"/>
      <c r="O1460" s="475"/>
      <c r="P1460" s="475"/>
      <c r="Q1460" s="475"/>
      <c r="R1460" s="475"/>
      <c r="S1460" s="475"/>
      <c r="T1460" s="475"/>
      <c r="U1460" s="475"/>
      <c r="V1460" s="475"/>
      <c r="W1460" s="475"/>
      <c r="X1460" s="475"/>
      <c r="Y1460" s="475"/>
      <c r="Z1460" s="475"/>
      <c r="AA1460" s="475"/>
      <c r="AB1460" s="475"/>
      <c r="AC1460" s="475"/>
      <c r="AD1460" s="475"/>
      <c r="AE1460" s="475"/>
      <c r="AF1460" s="475"/>
    </row>
    <row r="1461" spans="2:32">
      <c r="B1461" s="471"/>
      <c r="C1461" s="475"/>
      <c r="D1461" s="475"/>
      <c r="E1461" s="475"/>
      <c r="F1461" s="474"/>
      <c r="G1461" s="475"/>
      <c r="H1461" s="474"/>
      <c r="I1461" s="474"/>
      <c r="J1461" s="475"/>
      <c r="K1461" s="475"/>
      <c r="L1461" s="475"/>
      <c r="M1461" s="475"/>
      <c r="N1461" s="475"/>
      <c r="O1461" s="475"/>
      <c r="P1461" s="475"/>
      <c r="Q1461" s="475"/>
      <c r="R1461" s="475"/>
      <c r="S1461" s="475"/>
      <c r="T1461" s="475"/>
      <c r="U1461" s="475"/>
      <c r="V1461" s="475"/>
      <c r="W1461" s="475"/>
      <c r="X1461" s="475"/>
      <c r="Y1461" s="475"/>
      <c r="Z1461" s="475"/>
      <c r="AA1461" s="475"/>
      <c r="AB1461" s="475"/>
      <c r="AC1461" s="475"/>
      <c r="AD1461" s="475"/>
      <c r="AE1461" s="475"/>
      <c r="AF1461" s="475"/>
    </row>
    <row r="1462" spans="2:32">
      <c r="B1462" s="471"/>
      <c r="C1462" s="475"/>
      <c r="D1462" s="475"/>
      <c r="E1462" s="475"/>
      <c r="F1462" s="474"/>
      <c r="G1462" s="475"/>
      <c r="H1462" s="474"/>
      <c r="I1462" s="474"/>
      <c r="J1462" s="475"/>
      <c r="K1462" s="475"/>
      <c r="L1462" s="475"/>
      <c r="M1462" s="475"/>
      <c r="N1462" s="475"/>
      <c r="O1462" s="475"/>
      <c r="P1462" s="475"/>
      <c r="Q1462" s="475"/>
      <c r="R1462" s="475"/>
      <c r="S1462" s="475"/>
      <c r="T1462" s="475"/>
      <c r="U1462" s="475"/>
      <c r="V1462" s="475"/>
      <c r="W1462" s="475"/>
      <c r="X1462" s="475"/>
      <c r="Y1462" s="475"/>
      <c r="Z1462" s="475"/>
      <c r="AA1462" s="475"/>
      <c r="AB1462" s="475"/>
      <c r="AC1462" s="475"/>
      <c r="AD1462" s="475"/>
      <c r="AE1462" s="475"/>
      <c r="AF1462" s="475"/>
    </row>
    <row r="1463" spans="2:32">
      <c r="B1463" s="471"/>
      <c r="C1463" s="475"/>
      <c r="D1463" s="475"/>
      <c r="E1463" s="475"/>
      <c r="F1463" s="474"/>
      <c r="G1463" s="475"/>
      <c r="H1463" s="474"/>
      <c r="I1463" s="474"/>
      <c r="J1463" s="475"/>
      <c r="K1463" s="475"/>
      <c r="L1463" s="475"/>
      <c r="M1463" s="475"/>
      <c r="N1463" s="475"/>
      <c r="O1463" s="475"/>
      <c r="P1463" s="475"/>
      <c r="Q1463" s="475"/>
      <c r="R1463" s="475"/>
      <c r="S1463" s="475"/>
      <c r="T1463" s="475"/>
      <c r="U1463" s="475"/>
      <c r="V1463" s="475"/>
      <c r="W1463" s="475"/>
      <c r="X1463" s="475"/>
      <c r="Y1463" s="475"/>
      <c r="Z1463" s="475"/>
      <c r="AA1463" s="475"/>
      <c r="AB1463" s="475"/>
      <c r="AC1463" s="475"/>
      <c r="AD1463" s="475"/>
      <c r="AE1463" s="475"/>
      <c r="AF1463" s="475"/>
    </row>
    <row r="1464" spans="2:32">
      <c r="B1464" s="471"/>
      <c r="C1464" s="475"/>
      <c r="D1464" s="475"/>
      <c r="E1464" s="475"/>
      <c r="F1464" s="474"/>
      <c r="G1464" s="475"/>
      <c r="H1464" s="474"/>
      <c r="I1464" s="474"/>
      <c r="J1464" s="475"/>
      <c r="K1464" s="475"/>
      <c r="L1464" s="475"/>
      <c r="M1464" s="475"/>
      <c r="N1464" s="475"/>
      <c r="O1464" s="475"/>
      <c r="P1464" s="475"/>
      <c r="Q1464" s="475"/>
      <c r="R1464" s="475"/>
      <c r="S1464" s="475"/>
      <c r="T1464" s="475"/>
      <c r="U1464" s="475"/>
      <c r="V1464" s="475"/>
      <c r="W1464" s="475"/>
      <c r="X1464" s="475"/>
      <c r="Y1464" s="475"/>
      <c r="Z1464" s="475"/>
      <c r="AA1464" s="475"/>
      <c r="AB1464" s="475"/>
      <c r="AC1464" s="475"/>
      <c r="AD1464" s="475"/>
      <c r="AE1464" s="475"/>
      <c r="AF1464" s="475"/>
    </row>
    <row r="1465" spans="2:32">
      <c r="B1465" s="471"/>
      <c r="C1465" s="475"/>
      <c r="D1465" s="475"/>
      <c r="E1465" s="475"/>
      <c r="F1465" s="474"/>
      <c r="G1465" s="475"/>
      <c r="H1465" s="474"/>
      <c r="I1465" s="474"/>
      <c r="J1465" s="475"/>
      <c r="K1465" s="475"/>
      <c r="L1465" s="475"/>
      <c r="M1465" s="475"/>
      <c r="N1465" s="475"/>
      <c r="O1465" s="475"/>
      <c r="P1465" s="475"/>
      <c r="Q1465" s="475"/>
      <c r="R1465" s="475"/>
      <c r="S1465" s="475"/>
      <c r="T1465" s="475"/>
      <c r="U1465" s="475"/>
      <c r="V1465" s="475"/>
      <c r="W1465" s="475"/>
      <c r="X1465" s="475"/>
      <c r="Y1465" s="475"/>
      <c r="Z1465" s="475"/>
      <c r="AA1465" s="475"/>
      <c r="AB1465" s="475"/>
      <c r="AC1465" s="475"/>
      <c r="AD1465" s="475"/>
      <c r="AE1465" s="475"/>
      <c r="AF1465" s="475"/>
    </row>
    <row r="1466" spans="2:32">
      <c r="B1466" s="471"/>
      <c r="C1466" s="475"/>
      <c r="D1466" s="475"/>
      <c r="E1466" s="475"/>
      <c r="F1466" s="474"/>
      <c r="G1466" s="475"/>
      <c r="H1466" s="474"/>
      <c r="I1466" s="474"/>
      <c r="J1466" s="475"/>
      <c r="K1466" s="475"/>
      <c r="L1466" s="475"/>
      <c r="M1466" s="475"/>
      <c r="N1466" s="475"/>
      <c r="O1466" s="475"/>
      <c r="P1466" s="475"/>
      <c r="Q1466" s="475"/>
      <c r="R1466" s="475"/>
      <c r="S1466" s="475"/>
      <c r="T1466" s="475"/>
      <c r="U1466" s="475"/>
      <c r="V1466" s="475"/>
      <c r="W1466" s="475"/>
      <c r="X1466" s="475"/>
      <c r="Y1466" s="475"/>
      <c r="Z1466" s="475"/>
      <c r="AA1466" s="475"/>
      <c r="AB1466" s="475"/>
      <c r="AC1466" s="475"/>
      <c r="AD1466" s="475"/>
      <c r="AE1466" s="475"/>
      <c r="AF1466" s="475"/>
    </row>
    <row r="1467" spans="2:32">
      <c r="B1467" s="471"/>
      <c r="C1467" s="475"/>
      <c r="D1467" s="475"/>
      <c r="E1467" s="475"/>
      <c r="F1467" s="474"/>
      <c r="G1467" s="475"/>
      <c r="H1467" s="474"/>
      <c r="I1467" s="474"/>
      <c r="J1467" s="475"/>
      <c r="K1467" s="475"/>
      <c r="L1467" s="475"/>
      <c r="M1467" s="475"/>
      <c r="N1467" s="475"/>
      <c r="O1467" s="475"/>
      <c r="P1467" s="475"/>
      <c r="Q1467" s="475"/>
      <c r="R1467" s="475"/>
      <c r="S1467" s="475"/>
      <c r="T1467" s="475"/>
      <c r="U1467" s="475"/>
      <c r="V1467" s="475"/>
      <c r="W1467" s="475"/>
      <c r="X1467" s="475"/>
      <c r="Y1467" s="475"/>
      <c r="Z1467" s="475"/>
      <c r="AA1467" s="475"/>
      <c r="AB1467" s="475"/>
      <c r="AC1467" s="475"/>
      <c r="AD1467" s="475"/>
      <c r="AE1467" s="475"/>
      <c r="AF1467" s="475"/>
    </row>
    <row r="1468" spans="2:32">
      <c r="B1468" s="471"/>
      <c r="C1468" s="475"/>
      <c r="D1468" s="475"/>
      <c r="E1468" s="475"/>
      <c r="F1468" s="474"/>
      <c r="G1468" s="475"/>
      <c r="H1468" s="474"/>
      <c r="I1468" s="474"/>
      <c r="J1468" s="475"/>
      <c r="K1468" s="475"/>
      <c r="L1468" s="475"/>
      <c r="M1468" s="475"/>
      <c r="N1468" s="475"/>
      <c r="O1468" s="475"/>
      <c r="P1468" s="475"/>
      <c r="Q1468" s="475"/>
      <c r="R1468" s="475"/>
      <c r="S1468" s="475"/>
      <c r="T1468" s="475"/>
      <c r="U1468" s="475"/>
      <c r="V1468" s="475"/>
      <c r="W1468" s="475"/>
      <c r="X1468" s="475"/>
      <c r="Y1468" s="475"/>
      <c r="Z1468" s="475"/>
      <c r="AA1468" s="475"/>
      <c r="AB1468" s="475"/>
      <c r="AC1468" s="475"/>
      <c r="AD1468" s="475"/>
      <c r="AE1468" s="475"/>
      <c r="AF1468" s="475"/>
    </row>
    <row r="1469" spans="2:32">
      <c r="B1469" s="471"/>
      <c r="C1469" s="475"/>
      <c r="D1469" s="475"/>
      <c r="E1469" s="475"/>
      <c r="F1469" s="474"/>
      <c r="G1469" s="475"/>
      <c r="H1469" s="474"/>
      <c r="I1469" s="474"/>
      <c r="J1469" s="475"/>
      <c r="K1469" s="475"/>
      <c r="L1469" s="475"/>
      <c r="M1469" s="475"/>
      <c r="N1469" s="475"/>
      <c r="O1469" s="475"/>
      <c r="P1469" s="475"/>
      <c r="Q1469" s="475"/>
      <c r="R1469" s="475"/>
      <c r="S1469" s="475"/>
      <c r="T1469" s="475"/>
      <c r="U1469" s="475"/>
      <c r="V1469" s="475"/>
      <c r="W1469" s="475"/>
      <c r="X1469" s="475"/>
      <c r="Y1469" s="475"/>
      <c r="Z1469" s="475"/>
      <c r="AA1469" s="475"/>
      <c r="AB1469" s="475"/>
      <c r="AC1469" s="475"/>
      <c r="AD1469" s="475"/>
      <c r="AE1469" s="475"/>
      <c r="AF1469" s="475"/>
    </row>
    <row r="1470" spans="2:32">
      <c r="B1470" s="471"/>
      <c r="C1470" s="475"/>
      <c r="D1470" s="475"/>
      <c r="E1470" s="475"/>
      <c r="F1470" s="474"/>
      <c r="G1470" s="475"/>
      <c r="H1470" s="474"/>
      <c r="I1470" s="474"/>
      <c r="J1470" s="475"/>
      <c r="K1470" s="475"/>
      <c r="L1470" s="475"/>
      <c r="M1470" s="475"/>
      <c r="N1470" s="475"/>
      <c r="O1470" s="475"/>
      <c r="P1470" s="475"/>
      <c r="Q1470" s="475"/>
      <c r="R1470" s="475"/>
      <c r="S1470" s="475"/>
      <c r="T1470" s="475"/>
      <c r="U1470" s="475"/>
      <c r="V1470" s="475"/>
      <c r="W1470" s="475"/>
      <c r="X1470" s="475"/>
      <c r="Y1470" s="475"/>
      <c r="Z1470" s="475"/>
      <c r="AA1470" s="475"/>
      <c r="AB1470" s="475"/>
      <c r="AC1470" s="475"/>
      <c r="AD1470" s="475"/>
      <c r="AE1470" s="475"/>
      <c r="AF1470" s="475"/>
    </row>
    <row r="1471" spans="2:32">
      <c r="B1471" s="471"/>
      <c r="C1471" s="475"/>
      <c r="D1471" s="475"/>
      <c r="E1471" s="475"/>
      <c r="F1471" s="474"/>
      <c r="G1471" s="475"/>
      <c r="H1471" s="474"/>
      <c r="I1471" s="474"/>
      <c r="J1471" s="475"/>
      <c r="K1471" s="475"/>
      <c r="L1471" s="475"/>
      <c r="M1471" s="475"/>
      <c r="N1471" s="475"/>
      <c r="O1471" s="475"/>
      <c r="P1471" s="475"/>
      <c r="Q1471" s="475"/>
      <c r="R1471" s="475"/>
      <c r="S1471" s="475"/>
      <c r="T1471" s="475"/>
      <c r="U1471" s="475"/>
      <c r="V1471" s="475"/>
      <c r="W1471" s="475"/>
      <c r="X1471" s="475"/>
      <c r="Y1471" s="475"/>
      <c r="Z1471" s="475"/>
      <c r="AA1471" s="475"/>
      <c r="AB1471" s="475"/>
      <c r="AC1471" s="475"/>
      <c r="AD1471" s="475"/>
      <c r="AE1471" s="475"/>
      <c r="AF1471" s="475"/>
    </row>
    <row r="1472" spans="2:32">
      <c r="B1472" s="471"/>
      <c r="C1472" s="475"/>
      <c r="D1472" s="475"/>
      <c r="E1472" s="475"/>
      <c r="F1472" s="474"/>
      <c r="G1472" s="475"/>
      <c r="H1472" s="474"/>
      <c r="I1472" s="474"/>
      <c r="J1472" s="475"/>
      <c r="K1472" s="475"/>
      <c r="L1472" s="475"/>
      <c r="M1472" s="475"/>
      <c r="N1472" s="475"/>
      <c r="O1472" s="475"/>
      <c r="P1472" s="475"/>
      <c r="Q1472" s="475"/>
      <c r="R1472" s="475"/>
      <c r="S1472" s="475"/>
      <c r="T1472" s="475"/>
      <c r="U1472" s="475"/>
      <c r="V1472" s="475"/>
      <c r="W1472" s="475"/>
      <c r="X1472" s="475"/>
      <c r="Y1472" s="475"/>
      <c r="Z1472" s="475"/>
      <c r="AA1472" s="475"/>
      <c r="AB1472" s="475"/>
      <c r="AC1472" s="475"/>
      <c r="AD1472" s="475"/>
      <c r="AE1472" s="475"/>
      <c r="AF1472" s="475"/>
    </row>
    <row r="1473" spans="2:32">
      <c r="B1473" s="471"/>
      <c r="C1473" s="475"/>
      <c r="D1473" s="475"/>
      <c r="E1473" s="475"/>
      <c r="F1473" s="474"/>
      <c r="G1473" s="475"/>
      <c r="H1473" s="474"/>
      <c r="I1473" s="474"/>
      <c r="J1473" s="475"/>
      <c r="K1473" s="475"/>
      <c r="L1473" s="475"/>
      <c r="M1473" s="475"/>
      <c r="N1473" s="475"/>
      <c r="O1473" s="475"/>
      <c r="P1473" s="475"/>
      <c r="Q1473" s="475"/>
      <c r="R1473" s="475"/>
      <c r="S1473" s="475"/>
      <c r="T1473" s="475"/>
      <c r="U1473" s="475"/>
      <c r="V1473" s="475"/>
      <c r="W1473" s="475"/>
      <c r="X1473" s="475"/>
      <c r="Y1473" s="475"/>
      <c r="Z1473" s="475"/>
      <c r="AA1473" s="475"/>
      <c r="AB1473" s="475"/>
      <c r="AC1473" s="475"/>
      <c r="AD1473" s="475"/>
      <c r="AE1473" s="475"/>
      <c r="AF1473" s="475"/>
    </row>
    <row r="1474" spans="2:32">
      <c r="B1474" s="471"/>
      <c r="C1474" s="475"/>
      <c r="D1474" s="475"/>
      <c r="E1474" s="475"/>
      <c r="F1474" s="474"/>
      <c r="G1474" s="475"/>
      <c r="H1474" s="474"/>
      <c r="I1474" s="474"/>
      <c r="J1474" s="475"/>
      <c r="K1474" s="475"/>
      <c r="L1474" s="475"/>
      <c r="M1474" s="475"/>
      <c r="N1474" s="475"/>
      <c r="O1474" s="475"/>
      <c r="P1474" s="475"/>
      <c r="Q1474" s="475"/>
      <c r="R1474" s="475"/>
      <c r="S1474" s="475"/>
      <c r="T1474" s="475"/>
      <c r="U1474" s="475"/>
      <c r="V1474" s="475"/>
      <c r="W1474" s="475"/>
      <c r="X1474" s="475"/>
      <c r="Y1474" s="475"/>
      <c r="Z1474" s="475"/>
      <c r="AA1474" s="475"/>
      <c r="AB1474" s="475"/>
      <c r="AC1474" s="475"/>
      <c r="AD1474" s="475"/>
      <c r="AE1474" s="475"/>
      <c r="AF1474" s="475"/>
    </row>
    <row r="1475" spans="2:32">
      <c r="B1475" s="471"/>
      <c r="C1475" s="475"/>
      <c r="D1475" s="475"/>
      <c r="E1475" s="475"/>
      <c r="F1475" s="474"/>
      <c r="G1475" s="475"/>
      <c r="H1475" s="474"/>
      <c r="I1475" s="474"/>
      <c r="J1475" s="475"/>
      <c r="K1475" s="475"/>
      <c r="L1475" s="475"/>
      <c r="M1475" s="475"/>
      <c r="N1475" s="475"/>
      <c r="O1475" s="475"/>
      <c r="P1475" s="475"/>
      <c r="Q1475" s="475"/>
      <c r="R1475" s="475"/>
      <c r="S1475" s="475"/>
      <c r="T1475" s="475"/>
      <c r="U1475" s="475"/>
      <c r="V1475" s="475"/>
      <c r="W1475" s="475"/>
      <c r="X1475" s="475"/>
      <c r="Y1475" s="475"/>
      <c r="Z1475" s="475"/>
      <c r="AA1475" s="475"/>
      <c r="AB1475" s="475"/>
      <c r="AC1475" s="475"/>
      <c r="AD1475" s="475"/>
      <c r="AE1475" s="475"/>
      <c r="AF1475" s="475"/>
    </row>
    <row r="1476" spans="2:32">
      <c r="B1476" s="471"/>
      <c r="C1476" s="475"/>
      <c r="D1476" s="475"/>
      <c r="E1476" s="475"/>
      <c r="F1476" s="474"/>
      <c r="G1476" s="475"/>
      <c r="H1476" s="474"/>
      <c r="I1476" s="474"/>
      <c r="J1476" s="475"/>
      <c r="K1476" s="475"/>
      <c r="L1476" s="475"/>
      <c r="M1476" s="475"/>
      <c r="N1476" s="475"/>
      <c r="O1476" s="475"/>
      <c r="P1476" s="475"/>
      <c r="Q1476" s="475"/>
      <c r="R1476" s="475"/>
      <c r="S1476" s="475"/>
      <c r="T1476" s="475"/>
      <c r="U1476" s="475"/>
      <c r="V1476" s="475"/>
      <c r="W1476" s="475"/>
      <c r="X1476" s="475"/>
      <c r="Y1476" s="475"/>
      <c r="Z1476" s="475"/>
      <c r="AA1476" s="475"/>
      <c r="AB1476" s="475"/>
      <c r="AC1476" s="475"/>
      <c r="AD1476" s="475"/>
      <c r="AE1476" s="475"/>
      <c r="AF1476" s="475"/>
    </row>
    <row r="1477" spans="2:32">
      <c r="B1477" s="471"/>
      <c r="C1477" s="475"/>
      <c r="D1477" s="475"/>
      <c r="E1477" s="475"/>
      <c r="F1477" s="474"/>
      <c r="G1477" s="475"/>
      <c r="H1477" s="474"/>
      <c r="I1477" s="474"/>
      <c r="J1477" s="475"/>
      <c r="K1477" s="475"/>
      <c r="L1477" s="475"/>
      <c r="M1477" s="475"/>
      <c r="N1477" s="475"/>
      <c r="O1477" s="475"/>
      <c r="P1477" s="475"/>
      <c r="Q1477" s="475"/>
      <c r="R1477" s="475"/>
      <c r="S1477" s="475"/>
      <c r="T1477" s="475"/>
      <c r="U1477" s="475"/>
      <c r="V1477" s="475"/>
      <c r="W1477" s="475"/>
      <c r="X1477" s="475"/>
      <c r="Y1477" s="475"/>
      <c r="Z1477" s="475"/>
      <c r="AA1477" s="475"/>
      <c r="AB1477" s="475"/>
      <c r="AC1477" s="475"/>
      <c r="AD1477" s="475"/>
      <c r="AE1477" s="475"/>
      <c r="AF1477" s="475"/>
    </row>
    <row r="1478" spans="2:32">
      <c r="B1478" s="471"/>
      <c r="C1478" s="475"/>
      <c r="D1478" s="475"/>
      <c r="E1478" s="475"/>
      <c r="F1478" s="474"/>
      <c r="G1478" s="475"/>
      <c r="H1478" s="474"/>
      <c r="I1478" s="474"/>
      <c r="J1478" s="475"/>
      <c r="K1478" s="475"/>
      <c r="L1478" s="475"/>
      <c r="M1478" s="475"/>
      <c r="N1478" s="475"/>
      <c r="O1478" s="475"/>
      <c r="P1478" s="475"/>
      <c r="Q1478" s="475"/>
      <c r="R1478" s="475"/>
      <c r="S1478" s="475"/>
      <c r="T1478" s="475"/>
      <c r="U1478" s="475"/>
      <c r="V1478" s="475"/>
      <c r="W1478" s="475"/>
      <c r="X1478" s="475"/>
      <c r="Y1478" s="475"/>
      <c r="Z1478" s="475"/>
      <c r="AA1478" s="475"/>
      <c r="AB1478" s="475"/>
      <c r="AC1478" s="475"/>
      <c r="AD1478" s="475"/>
      <c r="AE1478" s="475"/>
      <c r="AF1478" s="475"/>
    </row>
    <row r="1479" spans="2:32">
      <c r="B1479" s="471"/>
      <c r="C1479" s="475"/>
      <c r="D1479" s="475"/>
      <c r="E1479" s="475"/>
      <c r="F1479" s="474"/>
      <c r="G1479" s="475"/>
      <c r="H1479" s="474"/>
      <c r="I1479" s="474"/>
      <c r="J1479" s="475"/>
      <c r="K1479" s="475"/>
      <c r="L1479" s="475"/>
      <c r="M1479" s="475"/>
      <c r="N1479" s="475"/>
      <c r="O1479" s="475"/>
      <c r="P1479" s="475"/>
      <c r="Q1479" s="475"/>
      <c r="R1479" s="475"/>
      <c r="S1479" s="475"/>
      <c r="T1479" s="475"/>
      <c r="U1479" s="475"/>
      <c r="V1479" s="475"/>
      <c r="W1479" s="475"/>
      <c r="X1479" s="475"/>
      <c r="Y1479" s="475"/>
      <c r="Z1479" s="475"/>
      <c r="AA1479" s="475"/>
      <c r="AB1479" s="475"/>
      <c r="AC1479" s="475"/>
      <c r="AD1479" s="475"/>
      <c r="AE1479" s="475"/>
      <c r="AF1479" s="475"/>
    </row>
    <row r="1480" spans="2:32">
      <c r="B1480" s="471"/>
      <c r="C1480" s="475"/>
      <c r="D1480" s="475"/>
      <c r="E1480" s="475"/>
      <c r="F1480" s="474"/>
      <c r="G1480" s="475"/>
      <c r="H1480" s="474"/>
      <c r="I1480" s="474"/>
      <c r="J1480" s="475"/>
      <c r="K1480" s="475"/>
      <c r="L1480" s="475"/>
      <c r="M1480" s="475"/>
      <c r="N1480" s="475"/>
      <c r="O1480" s="475"/>
      <c r="P1480" s="475"/>
      <c r="Q1480" s="475"/>
      <c r="R1480" s="475"/>
      <c r="S1480" s="475"/>
      <c r="T1480" s="475"/>
      <c r="U1480" s="475"/>
      <c r="V1480" s="475"/>
      <c r="W1480" s="475"/>
      <c r="X1480" s="475"/>
      <c r="Y1480" s="475"/>
      <c r="Z1480" s="475"/>
      <c r="AA1480" s="475"/>
      <c r="AB1480" s="475"/>
      <c r="AC1480" s="475"/>
      <c r="AD1480" s="475"/>
      <c r="AE1480" s="475"/>
      <c r="AF1480" s="475"/>
    </row>
    <row r="1481" spans="2:32">
      <c r="B1481" s="471"/>
      <c r="C1481" s="475"/>
      <c r="D1481" s="475"/>
      <c r="E1481" s="475"/>
      <c r="F1481" s="474"/>
      <c r="G1481" s="475"/>
      <c r="H1481" s="474"/>
      <c r="I1481" s="474"/>
      <c r="J1481" s="475"/>
      <c r="K1481" s="475"/>
      <c r="L1481" s="475"/>
      <c r="M1481" s="475"/>
      <c r="N1481" s="475"/>
      <c r="O1481" s="475"/>
      <c r="P1481" s="475"/>
      <c r="Q1481" s="475"/>
      <c r="R1481" s="475"/>
      <c r="S1481" s="475"/>
      <c r="T1481" s="475"/>
      <c r="U1481" s="475"/>
      <c r="V1481" s="475"/>
      <c r="W1481" s="475"/>
      <c r="X1481" s="475"/>
      <c r="Y1481" s="475"/>
      <c r="Z1481" s="475"/>
      <c r="AA1481" s="475"/>
      <c r="AB1481" s="475"/>
      <c r="AC1481" s="475"/>
      <c r="AD1481" s="475"/>
      <c r="AE1481" s="475"/>
      <c r="AF1481" s="475"/>
    </row>
    <row r="1482" spans="2:32">
      <c r="B1482" s="471"/>
      <c r="C1482" s="475"/>
      <c r="D1482" s="475"/>
      <c r="E1482" s="475"/>
      <c r="F1482" s="474"/>
      <c r="G1482" s="475"/>
      <c r="H1482" s="474"/>
      <c r="I1482" s="474"/>
      <c r="J1482" s="475"/>
      <c r="K1482" s="475"/>
      <c r="L1482" s="475"/>
      <c r="M1482" s="475"/>
      <c r="N1482" s="475"/>
      <c r="O1482" s="475"/>
      <c r="P1482" s="475"/>
      <c r="Q1482" s="475"/>
      <c r="R1482" s="475"/>
      <c r="S1482" s="475"/>
      <c r="T1482" s="475"/>
      <c r="U1482" s="475"/>
      <c r="V1482" s="475"/>
      <c r="W1482" s="475"/>
      <c r="X1482" s="475"/>
      <c r="Y1482" s="475"/>
      <c r="Z1482" s="475"/>
      <c r="AA1482" s="475"/>
      <c r="AB1482" s="475"/>
      <c r="AC1482" s="475"/>
      <c r="AD1482" s="475"/>
      <c r="AE1482" s="475"/>
      <c r="AF1482" s="475"/>
    </row>
    <row r="1483" spans="2:32">
      <c r="B1483" s="471"/>
      <c r="C1483" s="475"/>
      <c r="D1483" s="475"/>
      <c r="E1483" s="475"/>
      <c r="F1483" s="474"/>
      <c r="G1483" s="475"/>
      <c r="H1483" s="474"/>
      <c r="I1483" s="474"/>
      <c r="J1483" s="475"/>
      <c r="K1483" s="475"/>
      <c r="L1483" s="475"/>
      <c r="M1483" s="475"/>
      <c r="N1483" s="475"/>
      <c r="O1483" s="475"/>
      <c r="P1483" s="475"/>
      <c r="Q1483" s="475"/>
      <c r="R1483" s="475"/>
      <c r="S1483" s="475"/>
      <c r="T1483" s="475"/>
      <c r="U1483" s="475"/>
      <c r="V1483" s="475"/>
      <c r="W1483" s="475"/>
      <c r="X1483" s="475"/>
      <c r="Y1483" s="475"/>
      <c r="Z1483" s="475"/>
      <c r="AA1483" s="475"/>
      <c r="AB1483" s="475"/>
      <c r="AC1483" s="475"/>
      <c r="AD1483" s="475"/>
      <c r="AE1483" s="475"/>
      <c r="AF1483" s="475"/>
    </row>
    <row r="1484" spans="2:32">
      <c r="B1484" s="471"/>
      <c r="C1484" s="475"/>
      <c r="D1484" s="475"/>
      <c r="E1484" s="475"/>
      <c r="F1484" s="474"/>
      <c r="G1484" s="475"/>
      <c r="H1484" s="474"/>
      <c r="I1484" s="474"/>
      <c r="J1484" s="475"/>
      <c r="K1484" s="475"/>
      <c r="L1484" s="475"/>
      <c r="M1484" s="475"/>
      <c r="N1484" s="475"/>
      <c r="O1484" s="475"/>
      <c r="P1484" s="475"/>
      <c r="Q1484" s="475"/>
      <c r="R1484" s="475"/>
      <c r="S1484" s="475"/>
      <c r="T1484" s="475"/>
      <c r="U1484" s="475"/>
      <c r="V1484" s="475"/>
      <c r="W1484" s="475"/>
      <c r="X1484" s="475"/>
      <c r="Y1484" s="475"/>
      <c r="Z1484" s="475"/>
      <c r="AA1484" s="475"/>
      <c r="AB1484" s="475"/>
      <c r="AC1484" s="475"/>
      <c r="AD1484" s="475"/>
      <c r="AE1484" s="475"/>
      <c r="AF1484" s="475"/>
    </row>
    <row r="1485" spans="2:32">
      <c r="B1485" s="471"/>
      <c r="C1485" s="475"/>
      <c r="D1485" s="475"/>
      <c r="E1485" s="475"/>
      <c r="F1485" s="474"/>
      <c r="G1485" s="475"/>
      <c r="H1485" s="474"/>
      <c r="I1485" s="474"/>
      <c r="J1485" s="475"/>
      <c r="K1485" s="475"/>
      <c r="L1485" s="475"/>
      <c r="M1485" s="475"/>
      <c r="N1485" s="475"/>
      <c r="O1485" s="475"/>
      <c r="P1485" s="475"/>
      <c r="Q1485" s="475"/>
      <c r="R1485" s="475"/>
      <c r="S1485" s="475"/>
      <c r="T1485" s="475"/>
      <c r="U1485" s="475"/>
      <c r="V1485" s="475"/>
      <c r="W1485" s="475"/>
      <c r="X1485" s="475"/>
      <c r="Y1485" s="475"/>
      <c r="Z1485" s="475"/>
      <c r="AA1485" s="475"/>
      <c r="AB1485" s="475"/>
      <c r="AC1485" s="475"/>
      <c r="AD1485" s="475"/>
      <c r="AE1485" s="475"/>
      <c r="AF1485" s="475"/>
    </row>
    <row r="1486" spans="2:32">
      <c r="B1486" s="471"/>
      <c r="C1486" s="475"/>
      <c r="D1486" s="475"/>
      <c r="E1486" s="475"/>
      <c r="F1486" s="474"/>
      <c r="G1486" s="475"/>
      <c r="H1486" s="474"/>
      <c r="I1486" s="474"/>
      <c r="J1486" s="475"/>
      <c r="K1486" s="475"/>
      <c r="L1486" s="475"/>
      <c r="M1486" s="475"/>
      <c r="N1486" s="475"/>
      <c r="O1486" s="475"/>
      <c r="P1486" s="475"/>
      <c r="Q1486" s="475"/>
      <c r="R1486" s="475"/>
      <c r="S1486" s="475"/>
      <c r="T1486" s="475"/>
      <c r="U1486" s="475"/>
      <c r="V1486" s="475"/>
      <c r="W1486" s="475"/>
      <c r="X1486" s="475"/>
      <c r="Y1486" s="475"/>
      <c r="Z1486" s="475"/>
      <c r="AA1486" s="475"/>
      <c r="AB1486" s="475"/>
      <c r="AC1486" s="475"/>
      <c r="AD1486" s="475"/>
      <c r="AE1486" s="475"/>
      <c r="AF1486" s="475"/>
    </row>
    <row r="1487" spans="2:32">
      <c r="B1487" s="471"/>
      <c r="C1487" s="475"/>
      <c r="D1487" s="475"/>
      <c r="E1487" s="475"/>
      <c r="F1487" s="474"/>
      <c r="G1487" s="475"/>
      <c r="H1487" s="474"/>
      <c r="I1487" s="474"/>
      <c r="J1487" s="475"/>
      <c r="K1487" s="475"/>
      <c r="L1487" s="475"/>
      <c r="M1487" s="475"/>
      <c r="N1487" s="475"/>
      <c r="O1487" s="475"/>
      <c r="P1487" s="475"/>
      <c r="Q1487" s="475"/>
      <c r="R1487" s="475"/>
      <c r="S1487" s="475"/>
      <c r="T1487" s="475"/>
      <c r="U1487" s="475"/>
      <c r="V1487" s="475"/>
      <c r="W1487" s="475"/>
      <c r="X1487" s="475"/>
      <c r="Y1487" s="475"/>
      <c r="Z1487" s="475"/>
      <c r="AA1487" s="475"/>
      <c r="AB1487" s="475"/>
      <c r="AC1487" s="475"/>
      <c r="AD1487" s="475"/>
      <c r="AE1487" s="475"/>
      <c r="AF1487" s="475"/>
    </row>
    <row r="1488" spans="2:32">
      <c r="B1488" s="471"/>
      <c r="C1488" s="475"/>
      <c r="D1488" s="475"/>
      <c r="E1488" s="475"/>
      <c r="F1488" s="474"/>
      <c r="G1488" s="475"/>
      <c r="H1488" s="474"/>
      <c r="I1488" s="474"/>
      <c r="J1488" s="475"/>
      <c r="K1488" s="475"/>
      <c r="L1488" s="475"/>
      <c r="M1488" s="475"/>
      <c r="N1488" s="475"/>
      <c r="O1488" s="475"/>
      <c r="P1488" s="475"/>
      <c r="Q1488" s="475"/>
      <c r="R1488" s="475"/>
      <c r="S1488" s="475"/>
      <c r="T1488" s="475"/>
      <c r="U1488" s="475"/>
      <c r="V1488" s="475"/>
      <c r="W1488" s="475"/>
      <c r="X1488" s="475"/>
      <c r="Y1488" s="475"/>
      <c r="Z1488" s="475"/>
      <c r="AA1488" s="475"/>
      <c r="AB1488" s="475"/>
      <c r="AC1488" s="475"/>
      <c r="AD1488" s="475"/>
      <c r="AE1488" s="475"/>
      <c r="AF1488" s="475"/>
    </row>
    <row r="1489" spans="2:32">
      <c r="B1489" s="471"/>
      <c r="C1489" s="475"/>
      <c r="D1489" s="475"/>
      <c r="E1489" s="475"/>
      <c r="F1489" s="474"/>
      <c r="G1489" s="475"/>
      <c r="H1489" s="474"/>
      <c r="I1489" s="474"/>
      <c r="J1489" s="475"/>
      <c r="K1489" s="475"/>
      <c r="L1489" s="475"/>
      <c r="M1489" s="475"/>
      <c r="N1489" s="475"/>
      <c r="O1489" s="475"/>
      <c r="P1489" s="475"/>
      <c r="Q1489" s="475"/>
      <c r="R1489" s="475"/>
      <c r="S1489" s="475"/>
      <c r="T1489" s="475"/>
      <c r="U1489" s="475"/>
      <c r="V1489" s="475"/>
      <c r="W1489" s="475"/>
      <c r="X1489" s="475"/>
      <c r="Y1489" s="475"/>
      <c r="Z1489" s="475"/>
      <c r="AA1489" s="475"/>
      <c r="AB1489" s="475"/>
      <c r="AC1489" s="475"/>
      <c r="AD1489" s="475"/>
      <c r="AE1489" s="475"/>
      <c r="AF1489" s="475"/>
    </row>
    <row r="1490" spans="2:32">
      <c r="B1490" s="471"/>
      <c r="C1490" s="475"/>
      <c r="D1490" s="475"/>
      <c r="E1490" s="475"/>
      <c r="F1490" s="474"/>
      <c r="G1490" s="475"/>
      <c r="H1490" s="474"/>
      <c r="I1490" s="474"/>
      <c r="J1490" s="475"/>
      <c r="K1490" s="475"/>
      <c r="L1490" s="475"/>
      <c r="M1490" s="475"/>
      <c r="N1490" s="475"/>
      <c r="O1490" s="475"/>
      <c r="P1490" s="475"/>
      <c r="Q1490" s="475"/>
      <c r="R1490" s="475"/>
      <c r="S1490" s="475"/>
      <c r="T1490" s="475"/>
      <c r="U1490" s="475"/>
      <c r="V1490" s="475"/>
      <c r="W1490" s="475"/>
      <c r="X1490" s="475"/>
      <c r="Y1490" s="475"/>
      <c r="Z1490" s="475"/>
      <c r="AA1490" s="475"/>
      <c r="AB1490" s="475"/>
      <c r="AC1490" s="475"/>
      <c r="AD1490" s="475"/>
      <c r="AE1490" s="475"/>
      <c r="AF1490" s="475"/>
    </row>
    <row r="1491" spans="2:32">
      <c r="B1491" s="471"/>
      <c r="C1491" s="475"/>
      <c r="D1491" s="475"/>
      <c r="E1491" s="475"/>
      <c r="F1491" s="474"/>
      <c r="G1491" s="475"/>
      <c r="H1491" s="474"/>
      <c r="I1491" s="474"/>
      <c r="J1491" s="475"/>
      <c r="K1491" s="475"/>
      <c r="L1491" s="475"/>
      <c r="M1491" s="475"/>
      <c r="N1491" s="475"/>
      <c r="O1491" s="475"/>
      <c r="P1491" s="475"/>
      <c r="Q1491" s="475"/>
      <c r="R1491" s="475"/>
      <c r="S1491" s="475"/>
      <c r="T1491" s="475"/>
      <c r="U1491" s="475"/>
      <c r="V1491" s="475"/>
      <c r="W1491" s="475"/>
      <c r="X1491" s="475"/>
      <c r="Y1491" s="475"/>
      <c r="Z1491" s="475"/>
      <c r="AA1491" s="475"/>
      <c r="AB1491" s="475"/>
      <c r="AC1491" s="475"/>
      <c r="AD1491" s="475"/>
      <c r="AE1491" s="475"/>
      <c r="AF1491" s="475"/>
    </row>
    <row r="1492" spans="2:32">
      <c r="B1492" s="471"/>
      <c r="C1492" s="475"/>
      <c r="D1492" s="475"/>
      <c r="E1492" s="475"/>
      <c r="F1492" s="474"/>
      <c r="G1492" s="475"/>
      <c r="H1492" s="474"/>
      <c r="I1492" s="474"/>
      <c r="J1492" s="475"/>
      <c r="K1492" s="475"/>
      <c r="L1492" s="475"/>
      <c r="M1492" s="475"/>
      <c r="N1492" s="475"/>
      <c r="O1492" s="475"/>
      <c r="P1492" s="475"/>
      <c r="Q1492" s="475"/>
      <c r="R1492" s="475"/>
      <c r="S1492" s="475"/>
      <c r="T1492" s="475"/>
      <c r="U1492" s="475"/>
      <c r="V1492" s="475"/>
      <c r="W1492" s="475"/>
      <c r="X1492" s="475"/>
      <c r="Y1492" s="475"/>
      <c r="Z1492" s="475"/>
      <c r="AA1492" s="475"/>
      <c r="AB1492" s="475"/>
      <c r="AC1492" s="475"/>
      <c r="AD1492" s="475"/>
      <c r="AE1492" s="475"/>
      <c r="AF1492" s="475"/>
    </row>
    <row r="1493" spans="2:32">
      <c r="B1493" s="471"/>
      <c r="C1493" s="475"/>
      <c r="D1493" s="475"/>
      <c r="E1493" s="475"/>
      <c r="F1493" s="474"/>
      <c r="G1493" s="475"/>
      <c r="H1493" s="474"/>
      <c r="I1493" s="474"/>
      <c r="J1493" s="475"/>
      <c r="K1493" s="475"/>
      <c r="L1493" s="475"/>
      <c r="M1493" s="475"/>
      <c r="N1493" s="475"/>
      <c r="O1493" s="475"/>
      <c r="P1493" s="475"/>
      <c r="Q1493" s="475"/>
      <c r="R1493" s="475"/>
      <c r="S1493" s="475"/>
      <c r="T1493" s="475"/>
      <c r="U1493" s="475"/>
      <c r="V1493" s="475"/>
      <c r="W1493" s="475"/>
      <c r="X1493" s="475"/>
      <c r="Y1493" s="475"/>
      <c r="Z1493" s="475"/>
      <c r="AA1493" s="475"/>
      <c r="AB1493" s="475"/>
      <c r="AC1493" s="475"/>
      <c r="AD1493" s="475"/>
      <c r="AE1493" s="475"/>
      <c r="AF1493" s="475"/>
    </row>
    <row r="1494" spans="2:32">
      <c r="B1494" s="471"/>
      <c r="C1494" s="475"/>
      <c r="D1494" s="475"/>
      <c r="E1494" s="475"/>
      <c r="F1494" s="474"/>
      <c r="G1494" s="475"/>
      <c r="H1494" s="474"/>
      <c r="I1494" s="474"/>
      <c r="J1494" s="475"/>
      <c r="K1494" s="475"/>
      <c r="L1494" s="475"/>
      <c r="M1494" s="475"/>
      <c r="N1494" s="475"/>
      <c r="O1494" s="475"/>
      <c r="P1494" s="475"/>
      <c r="Q1494" s="475"/>
      <c r="R1494" s="475"/>
      <c r="S1494" s="475"/>
      <c r="T1494" s="475"/>
      <c r="U1494" s="475"/>
      <c r="V1494" s="475"/>
      <c r="W1494" s="475"/>
      <c r="X1494" s="475"/>
      <c r="Y1494" s="475"/>
      <c r="Z1494" s="475"/>
      <c r="AA1494" s="475"/>
      <c r="AB1494" s="475"/>
      <c r="AC1494" s="475"/>
      <c r="AD1494" s="475"/>
      <c r="AE1494" s="475"/>
      <c r="AF1494" s="475"/>
    </row>
    <row r="1495" spans="2:32">
      <c r="B1495" s="471"/>
      <c r="C1495" s="475"/>
      <c r="D1495" s="475"/>
      <c r="E1495" s="475"/>
      <c r="F1495" s="474"/>
      <c r="G1495" s="475"/>
      <c r="H1495" s="474"/>
      <c r="I1495" s="474"/>
      <c r="J1495" s="475"/>
      <c r="K1495" s="475"/>
      <c r="L1495" s="475"/>
      <c r="M1495" s="475"/>
      <c r="N1495" s="475"/>
      <c r="O1495" s="475"/>
      <c r="P1495" s="475"/>
      <c r="Q1495" s="475"/>
      <c r="R1495" s="475"/>
      <c r="S1495" s="475"/>
      <c r="T1495" s="475"/>
      <c r="U1495" s="475"/>
      <c r="V1495" s="475"/>
      <c r="W1495" s="475"/>
      <c r="X1495" s="475"/>
      <c r="Y1495" s="475"/>
      <c r="Z1495" s="475"/>
      <c r="AA1495" s="475"/>
      <c r="AB1495" s="475"/>
      <c r="AC1495" s="475"/>
      <c r="AD1495" s="475"/>
      <c r="AE1495" s="475"/>
      <c r="AF1495" s="475"/>
    </row>
    <row r="1496" spans="2:32">
      <c r="B1496" s="471"/>
      <c r="C1496" s="475"/>
      <c r="D1496" s="475"/>
      <c r="E1496" s="475"/>
      <c r="F1496" s="474"/>
      <c r="G1496" s="475"/>
      <c r="H1496" s="474"/>
      <c r="I1496" s="474"/>
      <c r="J1496" s="475"/>
      <c r="K1496" s="475"/>
      <c r="L1496" s="475"/>
      <c r="M1496" s="475"/>
      <c r="N1496" s="475"/>
      <c r="O1496" s="475"/>
      <c r="P1496" s="475"/>
      <c r="Q1496" s="475"/>
      <c r="R1496" s="475"/>
      <c r="S1496" s="475"/>
      <c r="T1496" s="475"/>
      <c r="U1496" s="475"/>
      <c r="V1496" s="475"/>
      <c r="W1496" s="475"/>
      <c r="X1496" s="475"/>
      <c r="Y1496" s="475"/>
      <c r="Z1496" s="475"/>
      <c r="AA1496" s="475"/>
      <c r="AB1496" s="475"/>
      <c r="AC1496" s="475"/>
      <c r="AD1496" s="475"/>
      <c r="AE1496" s="475"/>
      <c r="AF1496" s="475"/>
    </row>
    <row r="1497" spans="2:32">
      <c r="B1497" s="471"/>
      <c r="C1497" s="475"/>
      <c r="D1497" s="475"/>
      <c r="E1497" s="475"/>
      <c r="F1497" s="474"/>
      <c r="G1497" s="475"/>
      <c r="H1497" s="474"/>
      <c r="I1497" s="474"/>
      <c r="J1497" s="475"/>
      <c r="K1497" s="475"/>
      <c r="L1497" s="475"/>
      <c r="M1497" s="475"/>
      <c r="N1497" s="475"/>
      <c r="O1497" s="475"/>
      <c r="P1497" s="475"/>
      <c r="Q1497" s="475"/>
      <c r="R1497" s="475"/>
      <c r="S1497" s="475"/>
      <c r="T1497" s="475"/>
      <c r="U1497" s="475"/>
      <c r="V1497" s="475"/>
      <c r="W1497" s="475"/>
      <c r="X1497" s="475"/>
      <c r="Y1497" s="475"/>
      <c r="Z1497" s="475"/>
      <c r="AA1497" s="475"/>
      <c r="AB1497" s="475"/>
      <c r="AC1497" s="475"/>
      <c r="AD1497" s="475"/>
      <c r="AE1497" s="475"/>
      <c r="AF1497" s="475"/>
    </row>
    <row r="1498" spans="2:32">
      <c r="B1498" s="471"/>
      <c r="C1498" s="475"/>
      <c r="D1498" s="475"/>
      <c r="E1498" s="475"/>
      <c r="F1498" s="474"/>
      <c r="G1498" s="475"/>
      <c r="H1498" s="474"/>
      <c r="I1498" s="474"/>
      <c r="J1498" s="475"/>
      <c r="K1498" s="475"/>
      <c r="L1498" s="475"/>
      <c r="M1498" s="475"/>
      <c r="N1498" s="475"/>
      <c r="O1498" s="475"/>
      <c r="P1498" s="475"/>
      <c r="Q1498" s="475"/>
      <c r="R1498" s="475"/>
      <c r="S1498" s="475"/>
      <c r="T1498" s="475"/>
      <c r="U1498" s="475"/>
      <c r="V1498" s="475"/>
      <c r="W1498" s="475"/>
      <c r="X1498" s="475"/>
      <c r="Y1498" s="475"/>
      <c r="Z1498" s="475"/>
      <c r="AA1498" s="475"/>
      <c r="AB1498" s="475"/>
      <c r="AC1498" s="475"/>
      <c r="AD1498" s="475"/>
      <c r="AE1498" s="475"/>
      <c r="AF1498" s="475"/>
    </row>
    <row r="1499" spans="2:32">
      <c r="B1499" s="471"/>
      <c r="C1499" s="475"/>
      <c r="D1499" s="475"/>
      <c r="E1499" s="475"/>
      <c r="F1499" s="474"/>
      <c r="G1499" s="475"/>
      <c r="H1499" s="474"/>
      <c r="I1499" s="474"/>
      <c r="J1499" s="475"/>
      <c r="K1499" s="475"/>
      <c r="L1499" s="475"/>
      <c r="M1499" s="475"/>
      <c r="N1499" s="475"/>
      <c r="O1499" s="475"/>
      <c r="P1499" s="475"/>
      <c r="Q1499" s="475"/>
      <c r="R1499" s="475"/>
      <c r="S1499" s="475"/>
      <c r="T1499" s="475"/>
      <c r="U1499" s="475"/>
      <c r="V1499" s="475"/>
      <c r="W1499" s="475"/>
      <c r="X1499" s="475"/>
      <c r="Y1499" s="475"/>
      <c r="Z1499" s="475"/>
      <c r="AA1499" s="475"/>
      <c r="AB1499" s="475"/>
      <c r="AC1499" s="475"/>
      <c r="AD1499" s="475"/>
      <c r="AE1499" s="475"/>
      <c r="AF1499" s="475"/>
    </row>
    <row r="1500" spans="2:32">
      <c r="B1500" s="471"/>
      <c r="C1500" s="475"/>
      <c r="D1500" s="475"/>
      <c r="E1500" s="475"/>
      <c r="F1500" s="474"/>
      <c r="G1500" s="475"/>
      <c r="H1500" s="474"/>
      <c r="I1500" s="474"/>
      <c r="J1500" s="475"/>
      <c r="K1500" s="475"/>
      <c r="L1500" s="475"/>
      <c r="M1500" s="475"/>
      <c r="N1500" s="475"/>
      <c r="O1500" s="475"/>
      <c r="P1500" s="475"/>
      <c r="Q1500" s="475"/>
      <c r="R1500" s="475"/>
      <c r="S1500" s="475"/>
      <c r="T1500" s="475"/>
      <c r="U1500" s="475"/>
      <c r="V1500" s="475"/>
      <c r="W1500" s="475"/>
      <c r="X1500" s="475"/>
      <c r="Y1500" s="475"/>
      <c r="Z1500" s="475"/>
      <c r="AA1500" s="475"/>
      <c r="AB1500" s="475"/>
      <c r="AC1500" s="475"/>
      <c r="AD1500" s="475"/>
      <c r="AE1500" s="475"/>
      <c r="AF1500" s="475"/>
    </row>
    <row r="1501" spans="2:32">
      <c r="B1501" s="471"/>
      <c r="C1501" s="475"/>
      <c r="D1501" s="475"/>
      <c r="E1501" s="475"/>
      <c r="F1501" s="474"/>
      <c r="G1501" s="475"/>
      <c r="H1501" s="474"/>
      <c r="I1501" s="474"/>
      <c r="J1501" s="475"/>
      <c r="K1501" s="475"/>
      <c r="L1501" s="475"/>
      <c r="M1501" s="475"/>
      <c r="N1501" s="475"/>
      <c r="O1501" s="475"/>
      <c r="P1501" s="475"/>
      <c r="Q1501" s="475"/>
      <c r="R1501" s="475"/>
      <c r="S1501" s="475"/>
      <c r="T1501" s="475"/>
      <c r="U1501" s="475"/>
      <c r="V1501" s="475"/>
      <c r="W1501" s="475"/>
      <c r="X1501" s="475"/>
      <c r="Y1501" s="475"/>
      <c r="Z1501" s="475"/>
      <c r="AA1501" s="475"/>
      <c r="AB1501" s="475"/>
      <c r="AC1501" s="475"/>
      <c r="AD1501" s="475"/>
      <c r="AE1501" s="475"/>
      <c r="AF1501" s="475"/>
    </row>
    <row r="1502" spans="2:32">
      <c r="B1502" s="471"/>
      <c r="C1502" s="475"/>
      <c r="D1502" s="475"/>
      <c r="E1502" s="475"/>
      <c r="F1502" s="474"/>
      <c r="G1502" s="475"/>
      <c r="H1502" s="474"/>
      <c r="I1502" s="474"/>
      <c r="J1502" s="475"/>
      <c r="K1502" s="475"/>
      <c r="L1502" s="475"/>
      <c r="M1502" s="475"/>
      <c r="N1502" s="475"/>
      <c r="O1502" s="475"/>
      <c r="P1502" s="475"/>
      <c r="Q1502" s="475"/>
      <c r="R1502" s="475"/>
      <c r="S1502" s="475"/>
      <c r="T1502" s="475"/>
      <c r="U1502" s="475"/>
      <c r="V1502" s="475"/>
      <c r="W1502" s="475"/>
      <c r="X1502" s="475"/>
      <c r="Y1502" s="475"/>
      <c r="Z1502" s="475"/>
      <c r="AA1502" s="475"/>
      <c r="AB1502" s="475"/>
      <c r="AC1502" s="475"/>
      <c r="AD1502" s="475"/>
      <c r="AE1502" s="475"/>
      <c r="AF1502" s="475"/>
    </row>
    <row r="1503" spans="2:32">
      <c r="B1503" s="471"/>
      <c r="C1503" s="475"/>
      <c r="D1503" s="475"/>
      <c r="E1503" s="475"/>
      <c r="F1503" s="474"/>
      <c r="G1503" s="475"/>
      <c r="H1503" s="474"/>
      <c r="I1503" s="474"/>
      <c r="J1503" s="475"/>
      <c r="K1503" s="475"/>
      <c r="L1503" s="475"/>
      <c r="M1503" s="475"/>
      <c r="N1503" s="475"/>
      <c r="O1503" s="475"/>
      <c r="P1503" s="475"/>
      <c r="Q1503" s="475"/>
      <c r="R1503" s="475"/>
      <c r="S1503" s="475"/>
      <c r="T1503" s="475"/>
      <c r="U1503" s="475"/>
      <c r="V1503" s="475"/>
      <c r="W1503" s="475"/>
      <c r="X1503" s="475"/>
      <c r="Y1503" s="475"/>
      <c r="Z1503" s="475"/>
      <c r="AA1503" s="475"/>
      <c r="AB1503" s="475"/>
      <c r="AC1503" s="475"/>
      <c r="AD1503" s="475"/>
      <c r="AE1503" s="475"/>
      <c r="AF1503" s="475"/>
    </row>
    <row r="1504" spans="2:32">
      <c r="B1504" s="471"/>
      <c r="C1504" s="475"/>
      <c r="D1504" s="475"/>
      <c r="E1504" s="475"/>
      <c r="F1504" s="474"/>
      <c r="G1504" s="475"/>
      <c r="H1504" s="474"/>
      <c r="I1504" s="474"/>
      <c r="J1504" s="475"/>
      <c r="K1504" s="475"/>
      <c r="L1504" s="475"/>
      <c r="M1504" s="475"/>
      <c r="N1504" s="475"/>
      <c r="O1504" s="475"/>
      <c r="P1504" s="475"/>
      <c r="Q1504" s="475"/>
      <c r="R1504" s="475"/>
      <c r="S1504" s="475"/>
      <c r="T1504" s="475"/>
      <c r="U1504" s="475"/>
      <c r="V1504" s="475"/>
      <c r="W1504" s="475"/>
      <c r="X1504" s="475"/>
      <c r="Y1504" s="475"/>
      <c r="Z1504" s="475"/>
      <c r="AA1504" s="475"/>
      <c r="AB1504" s="475"/>
      <c r="AC1504" s="475"/>
      <c r="AD1504" s="475"/>
      <c r="AE1504" s="475"/>
      <c r="AF1504" s="475"/>
    </row>
    <row r="1505" spans="2:32">
      <c r="B1505" s="471"/>
      <c r="C1505" s="475"/>
      <c r="D1505" s="475"/>
      <c r="E1505" s="475"/>
      <c r="F1505" s="474"/>
      <c r="G1505" s="475"/>
      <c r="H1505" s="474"/>
      <c r="I1505" s="474"/>
      <c r="J1505" s="475"/>
      <c r="K1505" s="475"/>
      <c r="L1505" s="475"/>
      <c r="M1505" s="475"/>
      <c r="N1505" s="475"/>
      <c r="O1505" s="475"/>
      <c r="P1505" s="475"/>
      <c r="Q1505" s="475"/>
      <c r="R1505" s="475"/>
      <c r="S1505" s="475"/>
      <c r="T1505" s="475"/>
      <c r="U1505" s="475"/>
      <c r="V1505" s="475"/>
      <c r="W1505" s="475"/>
      <c r="X1505" s="475"/>
      <c r="Y1505" s="475"/>
      <c r="Z1505" s="475"/>
      <c r="AA1505" s="475"/>
      <c r="AB1505" s="475"/>
      <c r="AC1505" s="475"/>
      <c r="AD1505" s="475"/>
      <c r="AE1505" s="475"/>
      <c r="AF1505" s="475"/>
    </row>
    <row r="1506" spans="2:32">
      <c r="B1506" s="471"/>
      <c r="C1506" s="475"/>
      <c r="D1506" s="475"/>
      <c r="E1506" s="475"/>
      <c r="F1506" s="474"/>
      <c r="G1506" s="475"/>
      <c r="H1506" s="474"/>
      <c r="I1506" s="474"/>
      <c r="J1506" s="475"/>
      <c r="K1506" s="475"/>
      <c r="L1506" s="475"/>
      <c r="M1506" s="475"/>
      <c r="N1506" s="475"/>
      <c r="O1506" s="475"/>
      <c r="P1506" s="475"/>
      <c r="Q1506" s="475"/>
      <c r="R1506" s="475"/>
      <c r="S1506" s="475"/>
      <c r="T1506" s="475"/>
      <c r="U1506" s="475"/>
      <c r="V1506" s="475"/>
      <c r="W1506" s="475"/>
      <c r="X1506" s="475"/>
      <c r="Y1506" s="475"/>
      <c r="Z1506" s="475"/>
      <c r="AA1506" s="475"/>
      <c r="AB1506" s="475"/>
      <c r="AC1506" s="475"/>
      <c r="AD1506" s="475"/>
      <c r="AE1506" s="475"/>
      <c r="AF1506" s="475"/>
    </row>
    <row r="1507" spans="2:32">
      <c r="B1507" s="471"/>
      <c r="C1507" s="475"/>
      <c r="D1507" s="475"/>
      <c r="E1507" s="475"/>
      <c r="F1507" s="474"/>
      <c r="G1507" s="475"/>
      <c r="H1507" s="474"/>
      <c r="I1507" s="474"/>
      <c r="J1507" s="475"/>
      <c r="K1507" s="475"/>
      <c r="L1507" s="475"/>
      <c r="M1507" s="475"/>
      <c r="N1507" s="475"/>
      <c r="O1507" s="475"/>
      <c r="P1507" s="475"/>
      <c r="Q1507" s="475"/>
      <c r="R1507" s="475"/>
      <c r="S1507" s="475"/>
      <c r="T1507" s="475"/>
      <c r="U1507" s="475"/>
      <c r="V1507" s="475"/>
      <c r="W1507" s="475"/>
      <c r="X1507" s="475"/>
      <c r="Y1507" s="475"/>
      <c r="Z1507" s="475"/>
      <c r="AA1507" s="475"/>
      <c r="AB1507" s="475"/>
      <c r="AC1507" s="475"/>
      <c r="AD1507" s="475"/>
      <c r="AE1507" s="475"/>
      <c r="AF1507" s="475"/>
    </row>
    <row r="1508" spans="2:32">
      <c r="B1508" s="471"/>
      <c r="C1508" s="475"/>
      <c r="D1508" s="475"/>
      <c r="E1508" s="475"/>
      <c r="F1508" s="474"/>
      <c r="G1508" s="475"/>
      <c r="H1508" s="474"/>
      <c r="I1508" s="474"/>
      <c r="J1508" s="475"/>
      <c r="K1508" s="475"/>
      <c r="L1508" s="475"/>
      <c r="M1508" s="475"/>
      <c r="N1508" s="475"/>
      <c r="O1508" s="475"/>
      <c r="P1508" s="475"/>
      <c r="Q1508" s="475"/>
      <c r="R1508" s="475"/>
      <c r="S1508" s="475"/>
      <c r="T1508" s="475"/>
      <c r="U1508" s="475"/>
      <c r="V1508" s="475"/>
      <c r="W1508" s="475"/>
      <c r="X1508" s="475"/>
      <c r="Y1508" s="475"/>
      <c r="Z1508" s="475"/>
      <c r="AA1508" s="475"/>
      <c r="AB1508" s="475"/>
      <c r="AC1508" s="475"/>
      <c r="AD1508" s="475"/>
      <c r="AE1508" s="475"/>
      <c r="AF1508" s="475"/>
    </row>
    <row r="1509" spans="2:32">
      <c r="B1509" s="471"/>
      <c r="C1509" s="475"/>
      <c r="D1509" s="475"/>
      <c r="E1509" s="475"/>
      <c r="F1509" s="474"/>
      <c r="G1509" s="475"/>
      <c r="H1509" s="474"/>
      <c r="I1509" s="474"/>
      <c r="J1509" s="475"/>
      <c r="K1509" s="475"/>
      <c r="L1509" s="475"/>
      <c r="M1509" s="475"/>
      <c r="N1509" s="475"/>
      <c r="O1509" s="475"/>
      <c r="P1509" s="475"/>
      <c r="Q1509" s="475"/>
      <c r="R1509" s="475"/>
      <c r="S1509" s="475"/>
      <c r="T1509" s="475"/>
      <c r="U1509" s="475"/>
      <c r="V1509" s="475"/>
      <c r="W1509" s="475"/>
      <c r="X1509" s="475"/>
      <c r="Y1509" s="475"/>
      <c r="Z1509" s="475"/>
      <c r="AA1509" s="475"/>
      <c r="AB1509" s="475"/>
      <c r="AC1509" s="475"/>
      <c r="AD1509" s="475"/>
      <c r="AE1509" s="475"/>
      <c r="AF1509" s="475"/>
    </row>
    <row r="1510" spans="2:32">
      <c r="B1510" s="471"/>
      <c r="C1510" s="475"/>
      <c r="D1510" s="475"/>
      <c r="E1510" s="475"/>
      <c r="F1510" s="474"/>
      <c r="G1510" s="475"/>
      <c r="H1510" s="474"/>
      <c r="I1510" s="474"/>
      <c r="J1510" s="475"/>
      <c r="K1510" s="475"/>
      <c r="L1510" s="475"/>
      <c r="M1510" s="475"/>
      <c r="N1510" s="475"/>
      <c r="O1510" s="475"/>
      <c r="P1510" s="475"/>
      <c r="Q1510" s="475"/>
      <c r="R1510" s="475"/>
      <c r="S1510" s="475"/>
      <c r="T1510" s="475"/>
      <c r="U1510" s="475"/>
      <c r="V1510" s="475"/>
      <c r="W1510" s="475"/>
      <c r="X1510" s="475"/>
      <c r="Y1510" s="475"/>
      <c r="Z1510" s="475"/>
      <c r="AA1510" s="475"/>
      <c r="AB1510" s="475"/>
      <c r="AC1510" s="475"/>
      <c r="AD1510" s="475"/>
      <c r="AE1510" s="475"/>
      <c r="AF1510" s="475"/>
    </row>
    <row r="1511" spans="2:32">
      <c r="B1511" s="471"/>
      <c r="C1511" s="475"/>
      <c r="D1511" s="475"/>
      <c r="E1511" s="475"/>
      <c r="F1511" s="474"/>
      <c r="G1511" s="475"/>
      <c r="H1511" s="474"/>
      <c r="I1511" s="474"/>
      <c r="J1511" s="475"/>
      <c r="K1511" s="475"/>
      <c r="L1511" s="475"/>
      <c r="M1511" s="475"/>
      <c r="N1511" s="475"/>
      <c r="O1511" s="475"/>
      <c r="P1511" s="475"/>
      <c r="Q1511" s="475"/>
      <c r="R1511" s="475"/>
      <c r="S1511" s="475"/>
      <c r="T1511" s="475"/>
      <c r="U1511" s="475"/>
      <c r="V1511" s="475"/>
      <c r="W1511" s="475"/>
      <c r="X1511" s="475"/>
      <c r="Y1511" s="475"/>
      <c r="Z1511" s="475"/>
      <c r="AA1511" s="475"/>
      <c r="AB1511" s="475"/>
      <c r="AC1511" s="475"/>
      <c r="AD1511" s="475"/>
      <c r="AE1511" s="475"/>
      <c r="AF1511" s="475"/>
    </row>
    <row r="1512" spans="2:32">
      <c r="B1512" s="471"/>
      <c r="C1512" s="475"/>
      <c r="D1512" s="475"/>
      <c r="E1512" s="475"/>
      <c r="F1512" s="474"/>
      <c r="G1512" s="475"/>
      <c r="H1512" s="474"/>
      <c r="I1512" s="474"/>
      <c r="J1512" s="475"/>
      <c r="K1512" s="475"/>
      <c r="L1512" s="475"/>
      <c r="M1512" s="475"/>
      <c r="N1512" s="475"/>
      <c r="O1512" s="475"/>
      <c r="P1512" s="475"/>
      <c r="Q1512" s="475"/>
      <c r="R1512" s="475"/>
      <c r="S1512" s="475"/>
      <c r="T1512" s="475"/>
      <c r="U1512" s="475"/>
      <c r="V1512" s="475"/>
      <c r="W1512" s="475"/>
      <c r="X1512" s="475"/>
      <c r="Y1512" s="475"/>
      <c r="Z1512" s="475"/>
      <c r="AA1512" s="475"/>
      <c r="AB1512" s="475"/>
      <c r="AC1512" s="475"/>
      <c r="AD1512" s="475"/>
      <c r="AE1512" s="475"/>
      <c r="AF1512" s="475"/>
    </row>
    <row r="1513" spans="2:32">
      <c r="B1513" s="471"/>
      <c r="C1513" s="475"/>
      <c r="D1513" s="475"/>
      <c r="E1513" s="475"/>
      <c r="F1513" s="474"/>
      <c r="G1513" s="475"/>
      <c r="H1513" s="474"/>
      <c r="I1513" s="474"/>
      <c r="J1513" s="475"/>
      <c r="K1513" s="475"/>
      <c r="L1513" s="475"/>
      <c r="M1513" s="475"/>
      <c r="N1513" s="475"/>
      <c r="O1513" s="475"/>
      <c r="P1513" s="475"/>
      <c r="Q1513" s="475"/>
      <c r="R1513" s="475"/>
      <c r="S1513" s="475"/>
      <c r="T1513" s="475"/>
      <c r="U1513" s="475"/>
      <c r="V1513" s="475"/>
      <c r="W1513" s="475"/>
      <c r="X1513" s="475"/>
      <c r="Y1513" s="475"/>
      <c r="Z1513" s="475"/>
      <c r="AA1513" s="475"/>
      <c r="AB1513" s="475"/>
      <c r="AC1513" s="475"/>
      <c r="AD1513" s="475"/>
      <c r="AE1513" s="475"/>
      <c r="AF1513" s="475"/>
    </row>
    <row r="1514" spans="2:32">
      <c r="B1514" s="471"/>
      <c r="C1514" s="475"/>
      <c r="D1514" s="475"/>
      <c r="E1514" s="475"/>
      <c r="F1514" s="474"/>
      <c r="G1514" s="475"/>
      <c r="H1514" s="474"/>
      <c r="I1514" s="474"/>
      <c r="J1514" s="475"/>
      <c r="K1514" s="475"/>
      <c r="L1514" s="475"/>
      <c r="M1514" s="475"/>
      <c r="N1514" s="475"/>
      <c r="O1514" s="475"/>
      <c r="P1514" s="475"/>
      <c r="Q1514" s="475"/>
      <c r="R1514" s="475"/>
      <c r="S1514" s="475"/>
      <c r="T1514" s="475"/>
      <c r="U1514" s="475"/>
      <c r="V1514" s="475"/>
      <c r="W1514" s="475"/>
      <c r="X1514" s="475"/>
      <c r="Y1514" s="475"/>
      <c r="Z1514" s="475"/>
      <c r="AA1514" s="475"/>
      <c r="AB1514" s="475"/>
      <c r="AC1514" s="475"/>
      <c r="AD1514" s="475"/>
      <c r="AE1514" s="475"/>
      <c r="AF1514" s="475"/>
    </row>
    <row r="1515" spans="2:32">
      <c r="B1515" s="471"/>
      <c r="C1515" s="475"/>
      <c r="D1515" s="475"/>
      <c r="E1515" s="475"/>
      <c r="F1515" s="474"/>
      <c r="G1515" s="475"/>
      <c r="H1515" s="474"/>
      <c r="I1515" s="474"/>
      <c r="J1515" s="475"/>
      <c r="K1515" s="475"/>
      <c r="L1515" s="475"/>
      <c r="M1515" s="475"/>
      <c r="N1515" s="475"/>
      <c r="O1515" s="475"/>
      <c r="P1515" s="475"/>
      <c r="Q1515" s="475"/>
      <c r="R1515" s="475"/>
      <c r="S1515" s="475"/>
      <c r="T1515" s="475"/>
      <c r="U1515" s="475"/>
      <c r="V1515" s="475"/>
      <c r="W1515" s="475"/>
      <c r="X1515" s="475"/>
      <c r="Y1515" s="475"/>
      <c r="Z1515" s="475"/>
      <c r="AA1515" s="475"/>
      <c r="AB1515" s="475"/>
      <c r="AC1515" s="475"/>
      <c r="AD1515" s="475"/>
      <c r="AE1515" s="475"/>
      <c r="AF1515" s="475"/>
    </row>
    <row r="1516" spans="2:32">
      <c r="B1516" s="471"/>
      <c r="C1516" s="475"/>
      <c r="D1516" s="475"/>
      <c r="E1516" s="475"/>
      <c r="F1516" s="474"/>
      <c r="G1516" s="475"/>
      <c r="H1516" s="474"/>
      <c r="I1516" s="474"/>
      <c r="J1516" s="475"/>
      <c r="K1516" s="475"/>
      <c r="L1516" s="475"/>
      <c r="M1516" s="475"/>
      <c r="N1516" s="475"/>
      <c r="O1516" s="475"/>
      <c r="P1516" s="475"/>
      <c r="Q1516" s="475"/>
      <c r="R1516" s="475"/>
      <c r="S1516" s="475"/>
      <c r="T1516" s="475"/>
      <c r="U1516" s="475"/>
      <c r="V1516" s="475"/>
      <c r="W1516" s="475"/>
      <c r="X1516" s="475"/>
      <c r="Y1516" s="475"/>
      <c r="Z1516" s="475"/>
      <c r="AA1516" s="475"/>
      <c r="AB1516" s="475"/>
      <c r="AC1516" s="475"/>
      <c r="AD1516" s="475"/>
      <c r="AE1516" s="475"/>
      <c r="AF1516" s="475"/>
    </row>
    <row r="1517" spans="2:32">
      <c r="B1517" s="471"/>
      <c r="C1517" s="475"/>
      <c r="D1517" s="475"/>
      <c r="E1517" s="475"/>
      <c r="F1517" s="474"/>
      <c r="G1517" s="475"/>
      <c r="H1517" s="474"/>
      <c r="I1517" s="474"/>
      <c r="J1517" s="475"/>
      <c r="K1517" s="475"/>
      <c r="L1517" s="475"/>
      <c r="M1517" s="475"/>
      <c r="N1517" s="475"/>
      <c r="O1517" s="475"/>
      <c r="P1517" s="475"/>
      <c r="Q1517" s="475"/>
      <c r="R1517" s="475"/>
      <c r="S1517" s="475"/>
      <c r="T1517" s="475"/>
      <c r="U1517" s="475"/>
      <c r="V1517" s="475"/>
      <c r="W1517" s="475"/>
      <c r="X1517" s="475"/>
      <c r="Y1517" s="475"/>
      <c r="Z1517" s="475"/>
      <c r="AA1517" s="475"/>
      <c r="AB1517" s="475"/>
      <c r="AC1517" s="475"/>
      <c r="AD1517" s="475"/>
      <c r="AE1517" s="475"/>
      <c r="AF1517" s="475"/>
    </row>
    <row r="1518" spans="2:32">
      <c r="B1518" s="471"/>
      <c r="C1518" s="475"/>
      <c r="D1518" s="475"/>
      <c r="E1518" s="475"/>
      <c r="F1518" s="474"/>
      <c r="G1518" s="475"/>
      <c r="H1518" s="474"/>
      <c r="I1518" s="474"/>
      <c r="J1518" s="475"/>
      <c r="K1518" s="475"/>
      <c r="L1518" s="475"/>
      <c r="M1518" s="475"/>
      <c r="N1518" s="475"/>
      <c r="O1518" s="475"/>
      <c r="P1518" s="475"/>
      <c r="Q1518" s="475"/>
      <c r="R1518" s="475"/>
      <c r="S1518" s="475"/>
      <c r="T1518" s="475"/>
      <c r="U1518" s="475"/>
      <c r="V1518" s="475"/>
      <c r="W1518" s="475"/>
      <c r="X1518" s="475"/>
      <c r="Y1518" s="475"/>
      <c r="Z1518" s="475"/>
      <c r="AA1518" s="475"/>
      <c r="AB1518" s="475"/>
      <c r="AC1518" s="475"/>
      <c r="AD1518" s="475"/>
      <c r="AE1518" s="475"/>
      <c r="AF1518" s="475"/>
    </row>
    <row r="1519" spans="2:32">
      <c r="B1519" s="471"/>
      <c r="C1519" s="475"/>
      <c r="D1519" s="475"/>
      <c r="E1519" s="475"/>
      <c r="F1519" s="474"/>
      <c r="G1519" s="475"/>
      <c r="H1519" s="474"/>
      <c r="I1519" s="474"/>
      <c r="J1519" s="475"/>
      <c r="K1519" s="475"/>
      <c r="L1519" s="475"/>
      <c r="M1519" s="475"/>
      <c r="N1519" s="475"/>
      <c r="O1519" s="475"/>
      <c r="P1519" s="475"/>
      <c r="Q1519" s="475"/>
      <c r="R1519" s="475"/>
      <c r="S1519" s="475"/>
      <c r="T1519" s="475"/>
      <c r="U1519" s="475"/>
      <c r="V1519" s="475"/>
      <c r="W1519" s="475"/>
      <c r="X1519" s="475"/>
      <c r="Y1519" s="475"/>
      <c r="Z1519" s="475"/>
      <c r="AA1519" s="475"/>
      <c r="AB1519" s="475"/>
      <c r="AC1519" s="475"/>
      <c r="AD1519" s="475"/>
      <c r="AE1519" s="475"/>
      <c r="AF1519" s="475"/>
    </row>
    <row r="1520" spans="2:32">
      <c r="B1520" s="471"/>
      <c r="C1520" s="475"/>
      <c r="D1520" s="475"/>
      <c r="E1520" s="475"/>
      <c r="F1520" s="474"/>
      <c r="G1520" s="475"/>
      <c r="H1520" s="474"/>
      <c r="I1520" s="474"/>
      <c r="J1520" s="475"/>
      <c r="K1520" s="475"/>
      <c r="L1520" s="475"/>
      <c r="M1520" s="475"/>
      <c r="N1520" s="475"/>
      <c r="O1520" s="475"/>
      <c r="P1520" s="475"/>
      <c r="Q1520" s="475"/>
      <c r="R1520" s="475"/>
      <c r="S1520" s="475"/>
      <c r="T1520" s="475"/>
      <c r="U1520" s="475"/>
      <c r="V1520" s="475"/>
      <c r="W1520" s="475"/>
      <c r="X1520" s="475"/>
      <c r="Y1520" s="475"/>
      <c r="Z1520" s="475"/>
      <c r="AA1520" s="475"/>
      <c r="AB1520" s="475"/>
      <c r="AC1520" s="475"/>
      <c r="AD1520" s="475"/>
      <c r="AE1520" s="475"/>
      <c r="AF1520" s="475"/>
    </row>
    <row r="1521" spans="2:32">
      <c r="B1521" s="471"/>
      <c r="C1521" s="475"/>
      <c r="D1521" s="475"/>
      <c r="E1521" s="475"/>
      <c r="F1521" s="474"/>
      <c r="G1521" s="475"/>
      <c r="H1521" s="474"/>
      <c r="I1521" s="474"/>
      <c r="J1521" s="475"/>
      <c r="K1521" s="475"/>
      <c r="L1521" s="475"/>
      <c r="M1521" s="475"/>
      <c r="N1521" s="475"/>
      <c r="O1521" s="475"/>
      <c r="P1521" s="475"/>
      <c r="Q1521" s="475"/>
      <c r="R1521" s="475"/>
      <c r="S1521" s="475"/>
      <c r="T1521" s="475"/>
      <c r="U1521" s="475"/>
      <c r="V1521" s="475"/>
      <c r="W1521" s="475"/>
      <c r="X1521" s="475"/>
      <c r="Y1521" s="475"/>
      <c r="Z1521" s="475"/>
      <c r="AA1521" s="475"/>
      <c r="AB1521" s="475"/>
      <c r="AC1521" s="475"/>
      <c r="AD1521" s="475"/>
      <c r="AE1521" s="475"/>
      <c r="AF1521" s="475"/>
    </row>
    <row r="1522" spans="2:32">
      <c r="B1522" s="471"/>
      <c r="C1522" s="475"/>
      <c r="D1522" s="475"/>
      <c r="E1522" s="475"/>
      <c r="F1522" s="474"/>
      <c r="G1522" s="475"/>
      <c r="H1522" s="474"/>
      <c r="I1522" s="474"/>
      <c r="J1522" s="475"/>
      <c r="K1522" s="475"/>
      <c r="L1522" s="475"/>
      <c r="M1522" s="475"/>
      <c r="N1522" s="475"/>
      <c r="O1522" s="475"/>
      <c r="P1522" s="475"/>
      <c r="Q1522" s="475"/>
      <c r="R1522" s="475"/>
      <c r="S1522" s="475"/>
      <c r="T1522" s="475"/>
      <c r="U1522" s="475"/>
      <c r="V1522" s="475"/>
      <c r="W1522" s="475"/>
      <c r="X1522" s="475"/>
      <c r="Y1522" s="475"/>
      <c r="Z1522" s="475"/>
      <c r="AA1522" s="475"/>
      <c r="AB1522" s="475"/>
      <c r="AC1522" s="475"/>
      <c r="AD1522" s="475"/>
      <c r="AE1522" s="475"/>
      <c r="AF1522" s="475"/>
    </row>
    <row r="1523" spans="2:32">
      <c r="B1523" s="471"/>
      <c r="C1523" s="475"/>
      <c r="D1523" s="475"/>
      <c r="E1523" s="475"/>
      <c r="F1523" s="474"/>
      <c r="G1523" s="475"/>
      <c r="H1523" s="474"/>
      <c r="I1523" s="474"/>
      <c r="J1523" s="475"/>
      <c r="K1523" s="475"/>
      <c r="L1523" s="475"/>
      <c r="M1523" s="475"/>
      <c r="N1523" s="475"/>
      <c r="O1523" s="475"/>
      <c r="P1523" s="475"/>
      <c r="Q1523" s="475"/>
      <c r="R1523" s="475"/>
      <c r="S1523" s="475"/>
      <c r="T1523" s="475"/>
      <c r="U1523" s="475"/>
      <c r="V1523" s="475"/>
      <c r="W1523" s="475"/>
      <c r="X1523" s="475"/>
      <c r="Y1523" s="475"/>
      <c r="Z1523" s="475"/>
      <c r="AA1523" s="475"/>
      <c r="AB1523" s="475"/>
      <c r="AC1523" s="475"/>
      <c r="AD1523" s="475"/>
      <c r="AE1523" s="475"/>
      <c r="AF1523" s="475"/>
    </row>
    <row r="1524" spans="2:32">
      <c r="B1524" s="471"/>
      <c r="C1524" s="475"/>
      <c r="D1524" s="475"/>
      <c r="E1524" s="475"/>
      <c r="F1524" s="474"/>
      <c r="G1524" s="475"/>
      <c r="H1524" s="474"/>
      <c r="I1524" s="474"/>
      <c r="J1524" s="475"/>
      <c r="K1524" s="475"/>
      <c r="L1524" s="475"/>
      <c r="M1524" s="475"/>
      <c r="N1524" s="475"/>
      <c r="O1524" s="475"/>
      <c r="P1524" s="475"/>
      <c r="Q1524" s="475"/>
      <c r="R1524" s="475"/>
      <c r="S1524" s="475"/>
      <c r="T1524" s="475"/>
      <c r="U1524" s="475"/>
      <c r="V1524" s="475"/>
      <c r="W1524" s="475"/>
      <c r="X1524" s="475"/>
      <c r="Y1524" s="475"/>
      <c r="Z1524" s="475"/>
      <c r="AA1524" s="475"/>
      <c r="AB1524" s="475"/>
      <c r="AC1524" s="475"/>
      <c r="AD1524" s="475"/>
      <c r="AE1524" s="475"/>
      <c r="AF1524" s="475"/>
    </row>
    <row r="1525" spans="2:32">
      <c r="B1525" s="471"/>
      <c r="C1525" s="475"/>
      <c r="D1525" s="475"/>
      <c r="E1525" s="475"/>
      <c r="F1525" s="474"/>
      <c r="G1525" s="475"/>
      <c r="H1525" s="474"/>
      <c r="I1525" s="474"/>
      <c r="J1525" s="475"/>
      <c r="K1525" s="475"/>
      <c r="L1525" s="475"/>
      <c r="M1525" s="475"/>
      <c r="N1525" s="475"/>
      <c r="O1525" s="475"/>
      <c r="P1525" s="475"/>
      <c r="Q1525" s="475"/>
      <c r="R1525" s="475"/>
      <c r="S1525" s="475"/>
      <c r="T1525" s="475"/>
      <c r="U1525" s="475"/>
      <c r="V1525" s="475"/>
      <c r="W1525" s="475"/>
      <c r="X1525" s="475"/>
      <c r="Y1525" s="475"/>
      <c r="Z1525" s="475"/>
      <c r="AA1525" s="475"/>
      <c r="AB1525" s="475"/>
      <c r="AC1525" s="475"/>
      <c r="AD1525" s="475"/>
      <c r="AE1525" s="475"/>
      <c r="AF1525" s="475"/>
    </row>
    <row r="1526" spans="2:32">
      <c r="B1526" s="471"/>
      <c r="C1526" s="475"/>
      <c r="D1526" s="475"/>
      <c r="E1526" s="475"/>
      <c r="F1526" s="474"/>
      <c r="G1526" s="475"/>
      <c r="H1526" s="474"/>
      <c r="I1526" s="474"/>
      <c r="J1526" s="475"/>
      <c r="K1526" s="475"/>
      <c r="L1526" s="475"/>
      <c r="M1526" s="475"/>
      <c r="N1526" s="475"/>
      <c r="O1526" s="475"/>
      <c r="P1526" s="475"/>
      <c r="Q1526" s="475"/>
      <c r="R1526" s="475"/>
      <c r="S1526" s="475"/>
      <c r="T1526" s="475"/>
      <c r="U1526" s="475"/>
      <c r="V1526" s="475"/>
      <c r="W1526" s="475"/>
      <c r="X1526" s="475"/>
      <c r="Y1526" s="475"/>
      <c r="Z1526" s="475"/>
      <c r="AA1526" s="475"/>
      <c r="AB1526" s="475"/>
      <c r="AC1526" s="475"/>
      <c r="AD1526" s="475"/>
      <c r="AE1526" s="475"/>
      <c r="AF1526" s="475"/>
    </row>
    <row r="1527" spans="2:32">
      <c r="B1527" s="471"/>
      <c r="C1527" s="475"/>
      <c r="D1527" s="475"/>
      <c r="E1527" s="475"/>
      <c r="F1527" s="474"/>
      <c r="G1527" s="475"/>
      <c r="H1527" s="474"/>
      <c r="I1527" s="474"/>
      <c r="J1527" s="475"/>
      <c r="K1527" s="475"/>
      <c r="L1527" s="475"/>
      <c r="M1527" s="475"/>
      <c r="N1527" s="475"/>
      <c r="O1527" s="475"/>
      <c r="P1527" s="475"/>
      <c r="Q1527" s="475"/>
      <c r="R1527" s="475"/>
      <c r="S1527" s="475"/>
      <c r="T1527" s="475"/>
      <c r="U1527" s="475"/>
      <c r="V1527" s="475"/>
      <c r="W1527" s="475"/>
      <c r="X1527" s="475"/>
      <c r="Y1527" s="475"/>
      <c r="Z1527" s="475"/>
      <c r="AA1527" s="475"/>
      <c r="AB1527" s="475"/>
      <c r="AC1527" s="475"/>
      <c r="AD1527" s="475"/>
      <c r="AE1527" s="475"/>
      <c r="AF1527" s="475"/>
    </row>
    <row r="1528" spans="2:32">
      <c r="B1528" s="471"/>
      <c r="C1528" s="475"/>
      <c r="D1528" s="475"/>
      <c r="E1528" s="475"/>
      <c r="F1528" s="474"/>
      <c r="G1528" s="475"/>
      <c r="H1528" s="474"/>
      <c r="I1528" s="474"/>
      <c r="J1528" s="475"/>
      <c r="K1528" s="475"/>
      <c r="L1528" s="475"/>
      <c r="M1528" s="475"/>
      <c r="N1528" s="475"/>
      <c r="O1528" s="475"/>
      <c r="P1528" s="475"/>
      <c r="Q1528" s="475"/>
      <c r="R1528" s="475"/>
      <c r="S1528" s="475"/>
      <c r="T1528" s="475"/>
      <c r="U1528" s="475"/>
      <c r="V1528" s="475"/>
      <c r="W1528" s="475"/>
      <c r="X1528" s="475"/>
      <c r="Y1528" s="475"/>
      <c r="Z1528" s="475"/>
      <c r="AA1528" s="475"/>
      <c r="AB1528" s="475"/>
      <c r="AC1528" s="475"/>
      <c r="AD1528" s="475"/>
      <c r="AE1528" s="475"/>
      <c r="AF1528" s="475"/>
    </row>
    <row r="1529" spans="2:32">
      <c r="B1529" s="471"/>
      <c r="C1529" s="475"/>
      <c r="D1529" s="475"/>
      <c r="E1529" s="475"/>
      <c r="F1529" s="474"/>
      <c r="G1529" s="475"/>
      <c r="H1529" s="474"/>
      <c r="I1529" s="474"/>
      <c r="J1529" s="475"/>
      <c r="K1529" s="475"/>
      <c r="L1529" s="475"/>
      <c r="M1529" s="475"/>
      <c r="N1529" s="475"/>
      <c r="O1529" s="475"/>
      <c r="P1529" s="475"/>
      <c r="Q1529" s="475"/>
      <c r="R1529" s="475"/>
      <c r="S1529" s="475"/>
      <c r="T1529" s="475"/>
      <c r="U1529" s="475"/>
      <c r="V1529" s="475"/>
      <c r="W1529" s="475"/>
      <c r="X1529" s="475"/>
      <c r="Y1529" s="475"/>
      <c r="Z1529" s="475"/>
      <c r="AA1529" s="475"/>
      <c r="AB1529" s="475"/>
      <c r="AC1529" s="475"/>
      <c r="AD1529" s="475"/>
      <c r="AE1529" s="475"/>
      <c r="AF1529" s="475"/>
    </row>
    <row r="1530" spans="2:32">
      <c r="B1530" s="471"/>
      <c r="C1530" s="475"/>
      <c r="D1530" s="475"/>
      <c r="E1530" s="475"/>
      <c r="F1530" s="474"/>
      <c r="G1530" s="475"/>
      <c r="H1530" s="474"/>
      <c r="I1530" s="474"/>
      <c r="J1530" s="475"/>
      <c r="K1530" s="475"/>
      <c r="L1530" s="475"/>
      <c r="M1530" s="475"/>
      <c r="N1530" s="475"/>
      <c r="O1530" s="475"/>
      <c r="P1530" s="475"/>
      <c r="Q1530" s="475"/>
      <c r="R1530" s="475"/>
      <c r="S1530" s="475"/>
      <c r="T1530" s="475"/>
      <c r="U1530" s="475"/>
      <c r="V1530" s="475"/>
      <c r="W1530" s="475"/>
      <c r="X1530" s="475"/>
      <c r="Y1530" s="475"/>
      <c r="Z1530" s="475"/>
      <c r="AA1530" s="475"/>
      <c r="AB1530" s="475"/>
      <c r="AC1530" s="475"/>
      <c r="AD1530" s="475"/>
      <c r="AE1530" s="475"/>
      <c r="AF1530" s="475"/>
    </row>
    <row r="1531" spans="2:32">
      <c r="B1531" s="471"/>
      <c r="C1531" s="475"/>
      <c r="D1531" s="475"/>
      <c r="E1531" s="475"/>
      <c r="F1531" s="474"/>
      <c r="G1531" s="475"/>
      <c r="H1531" s="474"/>
      <c r="I1531" s="474"/>
      <c r="J1531" s="475"/>
      <c r="K1531" s="475"/>
      <c r="L1531" s="475"/>
      <c r="M1531" s="475"/>
      <c r="N1531" s="475"/>
      <c r="O1531" s="475"/>
      <c r="P1531" s="475"/>
      <c r="Q1531" s="475"/>
      <c r="R1531" s="475"/>
      <c r="S1531" s="475"/>
      <c r="T1531" s="475"/>
      <c r="U1531" s="475"/>
      <c r="V1531" s="475"/>
      <c r="W1531" s="475"/>
      <c r="X1531" s="475"/>
      <c r="Y1531" s="475"/>
      <c r="Z1531" s="475"/>
      <c r="AA1531" s="475"/>
      <c r="AB1531" s="475"/>
      <c r="AC1531" s="475"/>
      <c r="AD1531" s="475"/>
      <c r="AE1531" s="475"/>
      <c r="AF1531" s="475"/>
    </row>
    <row r="1532" spans="2:32">
      <c r="B1532" s="471"/>
      <c r="C1532" s="475"/>
      <c r="D1532" s="475"/>
      <c r="E1532" s="475"/>
      <c r="F1532" s="474"/>
      <c r="G1532" s="475"/>
      <c r="H1532" s="474"/>
      <c r="I1532" s="474"/>
      <c r="J1532" s="475"/>
      <c r="K1532" s="475"/>
      <c r="L1532" s="475"/>
      <c r="M1532" s="475"/>
      <c r="N1532" s="475"/>
      <c r="O1532" s="475"/>
      <c r="P1532" s="475"/>
      <c r="Q1532" s="475"/>
      <c r="R1532" s="475"/>
      <c r="S1532" s="475"/>
      <c r="T1532" s="475"/>
      <c r="U1532" s="475"/>
      <c r="V1532" s="475"/>
      <c r="W1532" s="475"/>
      <c r="X1532" s="475"/>
      <c r="Y1532" s="475"/>
      <c r="Z1532" s="475"/>
      <c r="AA1532" s="475"/>
      <c r="AB1532" s="475"/>
      <c r="AC1532" s="475"/>
      <c r="AD1532" s="475"/>
      <c r="AE1532" s="475"/>
      <c r="AF1532" s="475"/>
    </row>
    <row r="1533" spans="2:32">
      <c r="B1533" s="471"/>
      <c r="C1533" s="475"/>
      <c r="D1533" s="475"/>
      <c r="E1533" s="475"/>
      <c r="F1533" s="474"/>
      <c r="G1533" s="475"/>
      <c r="H1533" s="474"/>
      <c r="I1533" s="474"/>
      <c r="J1533" s="475"/>
      <c r="K1533" s="475"/>
      <c r="L1533" s="475"/>
      <c r="M1533" s="475"/>
      <c r="N1533" s="475"/>
      <c r="O1533" s="475"/>
      <c r="P1533" s="475"/>
      <c r="Q1533" s="475"/>
      <c r="R1533" s="475"/>
      <c r="S1533" s="475"/>
      <c r="T1533" s="475"/>
      <c r="U1533" s="475"/>
      <c r="V1533" s="475"/>
      <c r="W1533" s="475"/>
      <c r="X1533" s="475"/>
      <c r="Y1533" s="475"/>
      <c r="Z1533" s="475"/>
      <c r="AA1533" s="475"/>
      <c r="AB1533" s="475"/>
      <c r="AC1533" s="475"/>
      <c r="AD1533" s="475"/>
      <c r="AE1533" s="475"/>
      <c r="AF1533" s="475"/>
    </row>
    <row r="1534" spans="2:32">
      <c r="B1534" s="471"/>
      <c r="C1534" s="475"/>
      <c r="D1534" s="475"/>
      <c r="E1534" s="475"/>
      <c r="F1534" s="474"/>
      <c r="G1534" s="475"/>
      <c r="H1534" s="474"/>
      <c r="I1534" s="474"/>
      <c r="J1534" s="475"/>
      <c r="K1534" s="475"/>
      <c r="L1534" s="475"/>
      <c r="M1534" s="475"/>
      <c r="N1534" s="475"/>
      <c r="O1534" s="475"/>
      <c r="P1534" s="475"/>
      <c r="Q1534" s="475"/>
      <c r="R1534" s="475"/>
      <c r="S1534" s="475"/>
      <c r="T1534" s="475"/>
      <c r="U1534" s="475"/>
      <c r="V1534" s="475"/>
      <c r="W1534" s="475"/>
      <c r="X1534" s="475"/>
      <c r="Y1534" s="475"/>
      <c r="Z1534" s="475"/>
      <c r="AA1534" s="475"/>
      <c r="AB1534" s="475"/>
      <c r="AC1534" s="475"/>
      <c r="AD1534" s="475"/>
      <c r="AE1534" s="475"/>
      <c r="AF1534" s="475"/>
    </row>
    <row r="1535" spans="2:32">
      <c r="B1535" s="471"/>
      <c r="C1535" s="475"/>
      <c r="D1535" s="475"/>
      <c r="E1535" s="475"/>
      <c r="F1535" s="474"/>
      <c r="G1535" s="475"/>
      <c r="H1535" s="474"/>
      <c r="I1535" s="474"/>
      <c r="J1535" s="475"/>
      <c r="K1535" s="475"/>
      <c r="L1535" s="475"/>
      <c r="M1535" s="475"/>
      <c r="N1535" s="475"/>
      <c r="O1535" s="475"/>
      <c r="P1535" s="475"/>
      <c r="Q1535" s="475"/>
      <c r="R1535" s="475"/>
      <c r="S1535" s="475"/>
      <c r="T1535" s="475"/>
      <c r="U1535" s="475"/>
      <c r="V1535" s="475"/>
      <c r="W1535" s="475"/>
      <c r="X1535" s="475"/>
      <c r="Y1535" s="475"/>
      <c r="Z1535" s="475"/>
      <c r="AA1535" s="475"/>
      <c r="AB1535" s="475"/>
      <c r="AC1535" s="475"/>
      <c r="AD1535" s="475"/>
      <c r="AE1535" s="475"/>
      <c r="AF1535" s="475"/>
    </row>
    <row r="1536" spans="2:32">
      <c r="B1536" s="471"/>
      <c r="C1536" s="475"/>
      <c r="D1536" s="475"/>
      <c r="E1536" s="475"/>
      <c r="F1536" s="474"/>
      <c r="G1536" s="475"/>
      <c r="H1536" s="474"/>
      <c r="I1536" s="474"/>
      <c r="J1536" s="475"/>
      <c r="K1536" s="475"/>
      <c r="L1536" s="475"/>
      <c r="M1536" s="475"/>
      <c r="N1536" s="475"/>
      <c r="O1536" s="475"/>
      <c r="P1536" s="475"/>
      <c r="Q1536" s="475"/>
      <c r="R1536" s="475"/>
      <c r="S1536" s="475"/>
      <c r="T1536" s="475"/>
      <c r="U1536" s="475"/>
      <c r="V1536" s="475"/>
      <c r="W1536" s="475"/>
      <c r="X1536" s="475"/>
      <c r="Y1536" s="475"/>
      <c r="Z1536" s="475"/>
      <c r="AA1536" s="475"/>
      <c r="AB1536" s="475"/>
      <c r="AC1536" s="475"/>
      <c r="AD1536" s="475"/>
      <c r="AE1536" s="475"/>
      <c r="AF1536" s="475"/>
    </row>
    <row r="1537" spans="2:32">
      <c r="B1537" s="471"/>
      <c r="C1537" s="475"/>
      <c r="D1537" s="475"/>
      <c r="E1537" s="475"/>
      <c r="F1537" s="474"/>
      <c r="G1537" s="475"/>
      <c r="H1537" s="474"/>
      <c r="I1537" s="474"/>
      <c r="J1537" s="475"/>
      <c r="K1537" s="475"/>
      <c r="L1537" s="475"/>
      <c r="M1537" s="475"/>
      <c r="N1537" s="475"/>
      <c r="O1537" s="475"/>
      <c r="P1537" s="475"/>
      <c r="Q1537" s="475"/>
      <c r="R1537" s="475"/>
      <c r="S1537" s="475"/>
      <c r="T1537" s="475"/>
      <c r="U1537" s="475"/>
      <c r="V1537" s="475"/>
      <c r="W1537" s="475"/>
      <c r="X1537" s="475"/>
      <c r="Y1537" s="475"/>
      <c r="Z1537" s="475"/>
      <c r="AA1537" s="475"/>
      <c r="AB1537" s="475"/>
      <c r="AC1537" s="475"/>
      <c r="AD1537" s="475"/>
      <c r="AE1537" s="475"/>
      <c r="AF1537" s="475"/>
    </row>
    <row r="1538" spans="2:32">
      <c r="B1538" s="471"/>
      <c r="C1538" s="475"/>
      <c r="D1538" s="475"/>
      <c r="E1538" s="475"/>
      <c r="F1538" s="474"/>
      <c r="G1538" s="475"/>
      <c r="H1538" s="474"/>
      <c r="I1538" s="474"/>
      <c r="J1538" s="475"/>
      <c r="K1538" s="475"/>
      <c r="L1538" s="475"/>
      <c r="M1538" s="475"/>
      <c r="N1538" s="475"/>
      <c r="O1538" s="475"/>
      <c r="P1538" s="475"/>
      <c r="Q1538" s="475"/>
      <c r="R1538" s="475"/>
      <c r="S1538" s="475"/>
      <c r="T1538" s="475"/>
      <c r="U1538" s="475"/>
      <c r="V1538" s="475"/>
      <c r="W1538" s="475"/>
      <c r="X1538" s="475"/>
      <c r="Y1538" s="475"/>
      <c r="Z1538" s="475"/>
      <c r="AA1538" s="475"/>
      <c r="AB1538" s="475"/>
      <c r="AC1538" s="475"/>
      <c r="AD1538" s="475"/>
      <c r="AE1538" s="475"/>
      <c r="AF1538" s="475"/>
    </row>
    <row r="1539" spans="2:32">
      <c r="B1539" s="471"/>
      <c r="C1539" s="475"/>
      <c r="D1539" s="475"/>
      <c r="E1539" s="475"/>
      <c r="F1539" s="474"/>
      <c r="G1539" s="475"/>
      <c r="H1539" s="474"/>
      <c r="I1539" s="474"/>
      <c r="J1539" s="475"/>
      <c r="K1539" s="475"/>
      <c r="L1539" s="475"/>
      <c r="M1539" s="475"/>
      <c r="N1539" s="475"/>
      <c r="O1539" s="475"/>
      <c r="P1539" s="475"/>
      <c r="Q1539" s="475"/>
      <c r="R1539" s="475"/>
      <c r="S1539" s="475"/>
      <c r="T1539" s="475"/>
      <c r="U1539" s="475"/>
      <c r="V1539" s="475"/>
      <c r="W1539" s="475"/>
      <c r="X1539" s="475"/>
      <c r="Y1539" s="475"/>
      <c r="Z1539" s="475"/>
      <c r="AA1539" s="475"/>
      <c r="AB1539" s="475"/>
      <c r="AC1539" s="475"/>
      <c r="AD1539" s="475"/>
      <c r="AE1539" s="475"/>
      <c r="AF1539" s="475"/>
    </row>
    <row r="1540" spans="2:32">
      <c r="B1540" s="471"/>
      <c r="C1540" s="475"/>
      <c r="D1540" s="475"/>
      <c r="E1540" s="475"/>
      <c r="F1540" s="474"/>
      <c r="G1540" s="475"/>
      <c r="H1540" s="474"/>
      <c r="I1540" s="474"/>
      <c r="J1540" s="475"/>
      <c r="K1540" s="475"/>
      <c r="L1540" s="475"/>
      <c r="M1540" s="475"/>
      <c r="N1540" s="475"/>
      <c r="O1540" s="475"/>
      <c r="P1540" s="475"/>
      <c r="Q1540" s="475"/>
      <c r="R1540" s="475"/>
      <c r="S1540" s="475"/>
      <c r="T1540" s="475"/>
      <c r="U1540" s="475"/>
      <c r="V1540" s="475"/>
      <c r="W1540" s="475"/>
      <c r="X1540" s="475"/>
      <c r="Y1540" s="475"/>
      <c r="Z1540" s="475"/>
      <c r="AA1540" s="475"/>
      <c r="AB1540" s="475"/>
      <c r="AC1540" s="475"/>
      <c r="AD1540" s="475"/>
      <c r="AE1540" s="475"/>
      <c r="AF1540" s="475"/>
    </row>
    <row r="1541" spans="2:32">
      <c r="B1541" s="471"/>
      <c r="C1541" s="475"/>
      <c r="D1541" s="475"/>
      <c r="E1541" s="475"/>
      <c r="F1541" s="474"/>
      <c r="G1541" s="475"/>
      <c r="H1541" s="474"/>
      <c r="I1541" s="474"/>
      <c r="J1541" s="475"/>
      <c r="K1541" s="475"/>
      <c r="L1541" s="475"/>
      <c r="M1541" s="475"/>
      <c r="N1541" s="475"/>
      <c r="O1541" s="475"/>
      <c r="P1541" s="475"/>
      <c r="Q1541" s="475"/>
      <c r="R1541" s="475"/>
      <c r="S1541" s="475"/>
      <c r="T1541" s="475"/>
      <c r="U1541" s="475"/>
      <c r="V1541" s="475"/>
      <c r="W1541" s="475"/>
      <c r="X1541" s="475"/>
      <c r="Y1541" s="475"/>
      <c r="Z1541" s="475"/>
      <c r="AA1541" s="475"/>
      <c r="AB1541" s="475"/>
      <c r="AC1541" s="475"/>
      <c r="AD1541" s="475"/>
      <c r="AE1541" s="475"/>
      <c r="AF1541" s="475"/>
    </row>
    <row r="1542" spans="2:32">
      <c r="B1542" s="471"/>
      <c r="C1542" s="475"/>
      <c r="D1542" s="475"/>
      <c r="E1542" s="475"/>
      <c r="F1542" s="474"/>
      <c r="G1542" s="475"/>
      <c r="H1542" s="474"/>
      <c r="I1542" s="474"/>
      <c r="J1542" s="475"/>
      <c r="K1542" s="475"/>
      <c r="L1542" s="475"/>
      <c r="M1542" s="475"/>
      <c r="N1542" s="475"/>
      <c r="O1542" s="475"/>
      <c r="P1542" s="475"/>
      <c r="Q1542" s="475"/>
      <c r="R1542" s="475"/>
      <c r="S1542" s="475"/>
      <c r="T1542" s="475"/>
      <c r="U1542" s="475"/>
      <c r="V1542" s="475"/>
      <c r="W1542" s="475"/>
      <c r="X1542" s="475"/>
      <c r="Y1542" s="475"/>
      <c r="Z1542" s="475"/>
      <c r="AA1542" s="475"/>
      <c r="AB1542" s="475"/>
      <c r="AC1542" s="475"/>
      <c r="AD1542" s="475"/>
      <c r="AE1542" s="475"/>
      <c r="AF1542" s="475"/>
    </row>
    <row r="1543" spans="2:32">
      <c r="B1543" s="471"/>
      <c r="C1543" s="475"/>
      <c r="D1543" s="475"/>
      <c r="E1543" s="475"/>
      <c r="F1543" s="474"/>
      <c r="G1543" s="475"/>
      <c r="H1543" s="474"/>
      <c r="I1543" s="474"/>
      <c r="J1543" s="475"/>
      <c r="K1543" s="475"/>
      <c r="L1543" s="475"/>
      <c r="M1543" s="475"/>
      <c r="N1543" s="475"/>
      <c r="O1543" s="475"/>
      <c r="P1543" s="475"/>
      <c r="Q1543" s="475"/>
      <c r="R1543" s="475"/>
      <c r="S1543" s="475"/>
      <c r="T1543" s="475"/>
      <c r="U1543" s="475"/>
      <c r="V1543" s="475"/>
      <c r="W1543" s="475"/>
      <c r="X1543" s="475"/>
      <c r="Y1543" s="475"/>
      <c r="Z1543" s="475"/>
      <c r="AA1543" s="475"/>
      <c r="AB1543" s="475"/>
      <c r="AC1543" s="475"/>
      <c r="AD1543" s="475"/>
      <c r="AE1543" s="475"/>
      <c r="AF1543" s="475"/>
    </row>
    <row r="1544" spans="2:32">
      <c r="B1544" s="471"/>
      <c r="C1544" s="475"/>
      <c r="D1544" s="475"/>
      <c r="E1544" s="475"/>
      <c r="F1544" s="474"/>
      <c r="G1544" s="475"/>
      <c r="H1544" s="474"/>
      <c r="I1544" s="474"/>
      <c r="J1544" s="475"/>
      <c r="K1544" s="475"/>
      <c r="L1544" s="475"/>
      <c r="M1544" s="475"/>
      <c r="N1544" s="475"/>
      <c r="O1544" s="475"/>
      <c r="P1544" s="475"/>
      <c r="Q1544" s="475"/>
      <c r="R1544" s="475"/>
      <c r="S1544" s="475"/>
      <c r="T1544" s="475"/>
      <c r="U1544" s="475"/>
      <c r="V1544" s="475"/>
      <c r="W1544" s="475"/>
      <c r="X1544" s="475"/>
      <c r="Y1544" s="475"/>
      <c r="Z1544" s="475"/>
      <c r="AA1544" s="475"/>
      <c r="AB1544" s="475"/>
      <c r="AC1544" s="475"/>
      <c r="AD1544" s="475"/>
      <c r="AE1544" s="475"/>
      <c r="AF1544" s="475"/>
    </row>
    <row r="1545" spans="2:32">
      <c r="B1545" s="471"/>
      <c r="C1545" s="475"/>
      <c r="D1545" s="475"/>
      <c r="E1545" s="475"/>
      <c r="F1545" s="474"/>
      <c r="G1545" s="475"/>
      <c r="H1545" s="474"/>
      <c r="I1545" s="474"/>
      <c r="J1545" s="475"/>
      <c r="K1545" s="475"/>
      <c r="L1545" s="475"/>
      <c r="M1545" s="475"/>
      <c r="N1545" s="475"/>
      <c r="O1545" s="475"/>
      <c r="P1545" s="475"/>
      <c r="Q1545" s="475"/>
      <c r="R1545" s="475"/>
      <c r="S1545" s="475"/>
      <c r="T1545" s="475"/>
      <c r="U1545" s="475"/>
      <c r="V1545" s="475"/>
      <c r="W1545" s="475"/>
      <c r="X1545" s="475"/>
      <c r="Y1545" s="475"/>
      <c r="Z1545" s="475"/>
      <c r="AA1545" s="475"/>
      <c r="AB1545" s="475"/>
      <c r="AC1545" s="475"/>
      <c r="AD1545" s="475"/>
      <c r="AE1545" s="475"/>
      <c r="AF1545" s="475"/>
    </row>
    <row r="1546" spans="2:32">
      <c r="B1546" s="471"/>
      <c r="C1546" s="475"/>
      <c r="D1546" s="475"/>
      <c r="E1546" s="475"/>
      <c r="F1546" s="474"/>
      <c r="G1546" s="475"/>
      <c r="H1546" s="474"/>
      <c r="I1546" s="474"/>
      <c r="J1546" s="475"/>
      <c r="K1546" s="475"/>
      <c r="L1546" s="475"/>
      <c r="M1546" s="475"/>
      <c r="N1546" s="475"/>
      <c r="O1546" s="475"/>
      <c r="P1546" s="475"/>
      <c r="Q1546" s="475"/>
      <c r="R1546" s="475"/>
      <c r="S1546" s="475"/>
      <c r="T1546" s="475"/>
      <c r="U1546" s="475"/>
      <c r="V1546" s="475"/>
      <c r="W1546" s="475"/>
      <c r="X1546" s="475"/>
      <c r="Y1546" s="475"/>
      <c r="Z1546" s="475"/>
      <c r="AA1546" s="475"/>
      <c r="AB1546" s="475"/>
      <c r="AC1546" s="475"/>
      <c r="AD1546" s="475"/>
      <c r="AE1546" s="475"/>
      <c r="AF1546" s="475"/>
    </row>
    <row r="1547" spans="2:32">
      <c r="B1547" s="471"/>
      <c r="C1547" s="475"/>
      <c r="D1547" s="475"/>
      <c r="E1547" s="475"/>
      <c r="F1547" s="474"/>
      <c r="G1547" s="475"/>
      <c r="H1547" s="474"/>
      <c r="I1547" s="474"/>
      <c r="J1547" s="475"/>
      <c r="K1547" s="475"/>
      <c r="L1547" s="475"/>
      <c r="M1547" s="475"/>
      <c r="N1547" s="475"/>
      <c r="O1547" s="475"/>
      <c r="P1547" s="475"/>
      <c r="Q1547" s="475"/>
      <c r="R1547" s="475"/>
      <c r="S1547" s="475"/>
      <c r="T1547" s="475"/>
      <c r="U1547" s="475"/>
      <c r="V1547" s="475"/>
      <c r="W1547" s="475"/>
      <c r="X1547" s="475"/>
      <c r="Y1547" s="475"/>
      <c r="Z1547" s="475"/>
      <c r="AA1547" s="475"/>
      <c r="AB1547" s="475"/>
      <c r="AC1547" s="475"/>
      <c r="AD1547" s="475"/>
      <c r="AE1547" s="475"/>
      <c r="AF1547" s="475"/>
    </row>
    <row r="1548" spans="2:32">
      <c r="B1548" s="471"/>
      <c r="C1548" s="475"/>
      <c r="D1548" s="475"/>
      <c r="E1548" s="475"/>
      <c r="F1548" s="474"/>
      <c r="G1548" s="475"/>
      <c r="H1548" s="474"/>
      <c r="I1548" s="474"/>
      <c r="J1548" s="475"/>
      <c r="K1548" s="475"/>
      <c r="L1548" s="475"/>
      <c r="M1548" s="475"/>
      <c r="N1548" s="475"/>
      <c r="O1548" s="475"/>
      <c r="P1548" s="475"/>
      <c r="Q1548" s="475"/>
      <c r="R1548" s="475"/>
      <c r="S1548" s="475"/>
      <c r="T1548" s="475"/>
      <c r="U1548" s="475"/>
      <c r="V1548" s="475"/>
      <c r="W1548" s="475"/>
      <c r="X1548" s="475"/>
      <c r="Y1548" s="475"/>
      <c r="Z1548" s="475"/>
      <c r="AA1548" s="475"/>
      <c r="AB1548" s="475"/>
      <c r="AC1548" s="475"/>
      <c r="AD1548" s="475"/>
      <c r="AE1548" s="475"/>
      <c r="AF1548" s="475"/>
    </row>
    <row r="1549" spans="2:32">
      <c r="B1549" s="471"/>
      <c r="C1549" s="475"/>
      <c r="D1549" s="475"/>
      <c r="E1549" s="475"/>
      <c r="F1549" s="474"/>
      <c r="G1549" s="475"/>
      <c r="H1549" s="474"/>
      <c r="I1549" s="474"/>
      <c r="J1549" s="475"/>
      <c r="K1549" s="475"/>
      <c r="L1549" s="475"/>
      <c r="M1549" s="475"/>
      <c r="N1549" s="475"/>
      <c r="O1549" s="475"/>
      <c r="P1549" s="475"/>
      <c r="Q1549" s="475"/>
      <c r="R1549" s="475"/>
      <c r="S1549" s="475"/>
      <c r="T1549" s="475"/>
      <c r="U1549" s="475"/>
      <c r="V1549" s="475"/>
      <c r="W1549" s="475"/>
      <c r="X1549" s="475"/>
      <c r="Y1549" s="475"/>
      <c r="Z1549" s="475"/>
      <c r="AA1549" s="475"/>
      <c r="AB1549" s="475"/>
      <c r="AC1549" s="475"/>
      <c r="AD1549" s="475"/>
      <c r="AE1549" s="475"/>
      <c r="AF1549" s="475"/>
    </row>
    <row r="1550" spans="2:32">
      <c r="B1550" s="471"/>
      <c r="C1550" s="475"/>
      <c r="D1550" s="475"/>
      <c r="E1550" s="475"/>
      <c r="F1550" s="474"/>
      <c r="G1550" s="475"/>
      <c r="H1550" s="474"/>
      <c r="I1550" s="474"/>
      <c r="J1550" s="475"/>
      <c r="K1550" s="475"/>
      <c r="L1550" s="475"/>
      <c r="M1550" s="475"/>
      <c r="N1550" s="475"/>
      <c r="O1550" s="475"/>
      <c r="P1550" s="475"/>
      <c r="Q1550" s="475"/>
      <c r="R1550" s="475"/>
      <c r="S1550" s="475"/>
      <c r="T1550" s="475"/>
      <c r="U1550" s="475"/>
      <c r="V1550" s="475"/>
      <c r="W1550" s="475"/>
      <c r="X1550" s="475"/>
      <c r="Y1550" s="475"/>
      <c r="Z1550" s="475"/>
      <c r="AA1550" s="475"/>
      <c r="AB1550" s="475"/>
      <c r="AC1550" s="475"/>
      <c r="AD1550" s="475"/>
      <c r="AE1550" s="475"/>
      <c r="AF1550" s="475"/>
    </row>
    <row r="1551" spans="2:32">
      <c r="B1551" s="471"/>
      <c r="C1551" s="475"/>
      <c r="D1551" s="475"/>
      <c r="E1551" s="475"/>
      <c r="F1551" s="474"/>
      <c r="G1551" s="475"/>
      <c r="H1551" s="474"/>
      <c r="I1551" s="474"/>
      <c r="J1551" s="475"/>
      <c r="K1551" s="475"/>
      <c r="L1551" s="475"/>
      <c r="M1551" s="475"/>
      <c r="N1551" s="475"/>
      <c r="O1551" s="475"/>
      <c r="P1551" s="475"/>
      <c r="Q1551" s="475"/>
      <c r="R1551" s="475"/>
      <c r="S1551" s="475"/>
      <c r="T1551" s="475"/>
      <c r="U1551" s="475"/>
      <c r="V1551" s="475"/>
      <c r="W1551" s="475"/>
      <c r="X1551" s="475"/>
      <c r="Y1551" s="475"/>
      <c r="Z1551" s="475"/>
      <c r="AA1551" s="475"/>
      <c r="AB1551" s="475"/>
      <c r="AC1551" s="475"/>
      <c r="AD1551" s="475"/>
      <c r="AE1551" s="475"/>
      <c r="AF1551" s="475"/>
    </row>
    <row r="1552" spans="2:32">
      <c r="B1552" s="471"/>
      <c r="C1552" s="475"/>
      <c r="D1552" s="475"/>
      <c r="E1552" s="475"/>
      <c r="F1552" s="474"/>
      <c r="G1552" s="475"/>
      <c r="H1552" s="474"/>
      <c r="I1552" s="474"/>
      <c r="J1552" s="475"/>
      <c r="K1552" s="475"/>
      <c r="L1552" s="475"/>
      <c r="M1552" s="475"/>
      <c r="N1552" s="475"/>
      <c r="O1552" s="475"/>
      <c r="P1552" s="475"/>
      <c r="Q1552" s="475"/>
      <c r="R1552" s="475"/>
      <c r="S1552" s="475"/>
      <c r="T1552" s="475"/>
      <c r="U1552" s="475"/>
      <c r="V1552" s="475"/>
      <c r="W1552" s="475"/>
      <c r="X1552" s="475"/>
      <c r="Y1552" s="475"/>
      <c r="Z1552" s="475"/>
      <c r="AA1552" s="475"/>
      <c r="AB1552" s="475"/>
      <c r="AC1552" s="475"/>
      <c r="AD1552" s="475"/>
      <c r="AE1552" s="475"/>
      <c r="AF1552" s="475"/>
    </row>
    <row r="1553" spans="2:32">
      <c r="B1553" s="471"/>
      <c r="C1553" s="475"/>
      <c r="D1553" s="475"/>
      <c r="E1553" s="475"/>
      <c r="F1553" s="474"/>
      <c r="G1553" s="475"/>
      <c r="H1553" s="474"/>
      <c r="I1553" s="474"/>
      <c r="J1553" s="475"/>
      <c r="K1553" s="475"/>
      <c r="L1553" s="475"/>
      <c r="M1553" s="475"/>
      <c r="N1553" s="475"/>
      <c r="O1553" s="475"/>
      <c r="P1553" s="475"/>
      <c r="Q1553" s="475"/>
      <c r="R1553" s="475"/>
      <c r="S1553" s="475"/>
      <c r="T1553" s="475"/>
      <c r="U1553" s="475"/>
      <c r="V1553" s="475"/>
      <c r="W1553" s="475"/>
      <c r="X1553" s="475"/>
      <c r="Y1553" s="475"/>
      <c r="Z1553" s="475"/>
      <c r="AA1553" s="475"/>
      <c r="AB1553" s="475"/>
      <c r="AC1553" s="475"/>
      <c r="AD1553" s="475"/>
      <c r="AE1553" s="475"/>
      <c r="AF1553" s="475"/>
    </row>
    <row r="1554" spans="2:32">
      <c r="B1554" s="471"/>
      <c r="C1554" s="475"/>
      <c r="D1554" s="475"/>
      <c r="E1554" s="475"/>
      <c r="F1554" s="474"/>
      <c r="G1554" s="475"/>
      <c r="H1554" s="474"/>
      <c r="I1554" s="474"/>
      <c r="J1554" s="475"/>
      <c r="K1554" s="475"/>
      <c r="L1554" s="475"/>
      <c r="M1554" s="475"/>
      <c r="N1554" s="475"/>
      <c r="O1554" s="475"/>
      <c r="P1554" s="475"/>
      <c r="Q1554" s="475"/>
      <c r="R1554" s="475"/>
      <c r="S1554" s="475"/>
      <c r="T1554" s="475"/>
      <c r="U1554" s="475"/>
      <c r="V1554" s="475"/>
      <c r="W1554" s="475"/>
      <c r="X1554" s="475"/>
      <c r="Y1554" s="475"/>
      <c r="Z1554" s="475"/>
      <c r="AA1554" s="475"/>
      <c r="AB1554" s="475"/>
      <c r="AC1554" s="475"/>
      <c r="AD1554" s="475"/>
      <c r="AE1554" s="475"/>
      <c r="AF1554" s="475"/>
    </row>
    <row r="1555" spans="2:32">
      <c r="B1555" s="471"/>
      <c r="C1555" s="475"/>
      <c r="D1555" s="475"/>
      <c r="E1555" s="475"/>
      <c r="F1555" s="474"/>
      <c r="G1555" s="475"/>
      <c r="H1555" s="474"/>
      <c r="I1555" s="474"/>
      <c r="J1555" s="475"/>
      <c r="K1555" s="475"/>
      <c r="L1555" s="475"/>
      <c r="M1555" s="475"/>
      <c r="N1555" s="475"/>
      <c r="O1555" s="475"/>
      <c r="P1555" s="475"/>
      <c r="Q1555" s="475"/>
      <c r="R1555" s="475"/>
      <c r="S1555" s="475"/>
      <c r="T1555" s="475"/>
      <c r="U1555" s="475"/>
      <c r="V1555" s="475"/>
      <c r="W1555" s="475"/>
      <c r="X1555" s="475"/>
      <c r="Y1555" s="475"/>
      <c r="Z1555" s="475"/>
      <c r="AA1555" s="475"/>
      <c r="AB1555" s="475"/>
      <c r="AC1555" s="475"/>
      <c r="AD1555" s="475"/>
      <c r="AE1555" s="475"/>
      <c r="AF1555" s="475"/>
    </row>
    <row r="1556" spans="2:32">
      <c r="B1556" s="471"/>
      <c r="C1556" s="475"/>
      <c r="D1556" s="475"/>
      <c r="E1556" s="475"/>
      <c r="F1556" s="474"/>
      <c r="G1556" s="475"/>
      <c r="H1556" s="474"/>
      <c r="I1556" s="474"/>
      <c r="J1556" s="475"/>
      <c r="K1556" s="475"/>
      <c r="L1556" s="475"/>
      <c r="M1556" s="475"/>
      <c r="N1556" s="475"/>
      <c r="O1556" s="475"/>
      <c r="P1556" s="475"/>
      <c r="Q1556" s="475"/>
      <c r="R1556" s="475"/>
      <c r="S1556" s="475"/>
      <c r="T1556" s="475"/>
      <c r="U1556" s="475"/>
      <c r="V1556" s="475"/>
      <c r="W1556" s="475"/>
      <c r="X1556" s="475"/>
      <c r="Y1556" s="475"/>
      <c r="Z1556" s="475"/>
      <c r="AA1556" s="475"/>
      <c r="AB1556" s="475"/>
      <c r="AC1556" s="475"/>
      <c r="AD1556" s="475"/>
      <c r="AE1556" s="475"/>
      <c r="AF1556" s="475"/>
    </row>
    <row r="1557" spans="2:32">
      <c r="B1557" s="471"/>
      <c r="C1557" s="475"/>
      <c r="D1557" s="475"/>
      <c r="E1557" s="475"/>
      <c r="F1557" s="474"/>
      <c r="G1557" s="475"/>
      <c r="H1557" s="474"/>
      <c r="I1557" s="474"/>
      <c r="J1557" s="475"/>
      <c r="K1557" s="475"/>
      <c r="L1557" s="475"/>
      <c r="M1557" s="475"/>
      <c r="N1557" s="475"/>
      <c r="O1557" s="475"/>
      <c r="P1557" s="475"/>
      <c r="Q1557" s="475"/>
      <c r="R1557" s="475"/>
      <c r="S1557" s="475"/>
      <c r="T1557" s="475"/>
      <c r="U1557" s="475"/>
      <c r="V1557" s="475"/>
      <c r="W1557" s="475"/>
      <c r="X1557" s="475"/>
      <c r="Y1557" s="475"/>
      <c r="Z1557" s="475"/>
      <c r="AA1557" s="475"/>
      <c r="AB1557" s="475"/>
      <c r="AC1557" s="475"/>
      <c r="AD1557" s="475"/>
      <c r="AE1557" s="475"/>
      <c r="AF1557" s="475"/>
    </row>
    <row r="1558" spans="2:32">
      <c r="B1558" s="471"/>
      <c r="C1558" s="475"/>
      <c r="D1558" s="475"/>
      <c r="E1558" s="475"/>
      <c r="F1558" s="474"/>
      <c r="G1558" s="475"/>
      <c r="H1558" s="474"/>
      <c r="I1558" s="474"/>
      <c r="J1558" s="475"/>
      <c r="K1558" s="475"/>
      <c r="L1558" s="475"/>
      <c r="M1558" s="475"/>
      <c r="N1558" s="475"/>
      <c r="O1558" s="475"/>
      <c r="P1558" s="475"/>
      <c r="Q1558" s="475"/>
      <c r="R1558" s="475"/>
      <c r="S1558" s="475"/>
      <c r="T1558" s="475"/>
      <c r="U1558" s="475"/>
      <c r="V1558" s="475"/>
      <c r="W1558" s="475"/>
      <c r="X1558" s="475"/>
      <c r="Y1558" s="475"/>
      <c r="Z1558" s="475"/>
      <c r="AA1558" s="475"/>
      <c r="AB1558" s="475"/>
      <c r="AC1558" s="475"/>
      <c r="AD1558" s="475"/>
      <c r="AE1558" s="475"/>
      <c r="AF1558" s="475"/>
    </row>
    <row r="1559" spans="2:32">
      <c r="B1559" s="471"/>
      <c r="C1559" s="475"/>
      <c r="D1559" s="475"/>
      <c r="E1559" s="475"/>
      <c r="F1559" s="474"/>
      <c r="G1559" s="475"/>
      <c r="H1559" s="474"/>
      <c r="I1559" s="474"/>
      <c r="J1559" s="475"/>
      <c r="K1559" s="475"/>
      <c r="L1559" s="475"/>
      <c r="M1559" s="475"/>
      <c r="N1559" s="475"/>
      <c r="O1559" s="475"/>
      <c r="P1559" s="475"/>
      <c r="Q1559" s="475"/>
      <c r="R1559" s="475"/>
      <c r="S1559" s="475"/>
      <c r="T1559" s="475"/>
      <c r="U1559" s="475"/>
      <c r="V1559" s="475"/>
      <c r="W1559" s="475"/>
      <c r="X1559" s="475"/>
      <c r="Y1559" s="475"/>
      <c r="Z1559" s="475"/>
      <c r="AA1559" s="475"/>
      <c r="AB1559" s="475"/>
      <c r="AC1559" s="475"/>
      <c r="AD1559" s="475"/>
      <c r="AE1559" s="475"/>
      <c r="AF1559" s="475"/>
    </row>
    <row r="1560" spans="2:32">
      <c r="B1560" s="471"/>
      <c r="C1560" s="475"/>
      <c r="D1560" s="475"/>
      <c r="E1560" s="475"/>
      <c r="F1560" s="474"/>
      <c r="G1560" s="475"/>
      <c r="H1560" s="474"/>
      <c r="I1560" s="474"/>
      <c r="J1560" s="475"/>
      <c r="K1560" s="475"/>
      <c r="L1560" s="475"/>
      <c r="M1560" s="475"/>
      <c r="N1560" s="475"/>
      <c r="O1560" s="475"/>
      <c r="P1560" s="475"/>
      <c r="Q1560" s="475"/>
      <c r="R1560" s="475"/>
      <c r="S1560" s="475"/>
      <c r="T1560" s="475"/>
      <c r="U1560" s="475"/>
      <c r="V1560" s="475"/>
      <c r="W1560" s="475"/>
      <c r="X1560" s="475"/>
      <c r="Y1560" s="475"/>
      <c r="Z1560" s="475"/>
      <c r="AA1560" s="475"/>
      <c r="AB1560" s="475"/>
      <c r="AC1560" s="475"/>
      <c r="AD1560" s="475"/>
      <c r="AE1560" s="475"/>
      <c r="AF1560" s="475"/>
    </row>
    <row r="1561" spans="2:32">
      <c r="B1561" s="471"/>
      <c r="C1561" s="475"/>
      <c r="D1561" s="475"/>
      <c r="E1561" s="475"/>
      <c r="F1561" s="474"/>
      <c r="G1561" s="475"/>
      <c r="H1561" s="474"/>
      <c r="I1561" s="474"/>
      <c r="J1561" s="475"/>
      <c r="K1561" s="475"/>
      <c r="L1561" s="475"/>
      <c r="M1561" s="475"/>
      <c r="N1561" s="475"/>
      <c r="O1561" s="475"/>
      <c r="P1561" s="475"/>
      <c r="Q1561" s="475"/>
      <c r="R1561" s="475"/>
      <c r="S1561" s="475"/>
      <c r="T1561" s="475"/>
      <c r="U1561" s="475"/>
      <c r="V1561" s="475"/>
      <c r="W1561" s="475"/>
      <c r="X1561" s="475"/>
      <c r="Y1561" s="475"/>
      <c r="Z1561" s="475"/>
      <c r="AA1561" s="475"/>
      <c r="AB1561" s="475"/>
      <c r="AC1561" s="475"/>
      <c r="AD1561" s="475"/>
      <c r="AE1561" s="475"/>
      <c r="AF1561" s="475"/>
    </row>
    <row r="1562" spans="2:32">
      <c r="B1562" s="471"/>
      <c r="C1562" s="475"/>
      <c r="D1562" s="475"/>
      <c r="E1562" s="475"/>
      <c r="F1562" s="474"/>
      <c r="G1562" s="475"/>
      <c r="H1562" s="474"/>
      <c r="I1562" s="474"/>
      <c r="J1562" s="475"/>
      <c r="K1562" s="475"/>
      <c r="L1562" s="475"/>
      <c r="M1562" s="475"/>
      <c r="N1562" s="475"/>
      <c r="O1562" s="475"/>
      <c r="P1562" s="475"/>
      <c r="Q1562" s="475"/>
      <c r="R1562" s="475"/>
      <c r="S1562" s="475"/>
      <c r="T1562" s="475"/>
      <c r="U1562" s="475"/>
      <c r="V1562" s="475"/>
      <c r="W1562" s="475"/>
      <c r="X1562" s="475"/>
      <c r="Y1562" s="475"/>
      <c r="Z1562" s="475"/>
      <c r="AA1562" s="475"/>
      <c r="AB1562" s="475"/>
      <c r="AC1562" s="475"/>
      <c r="AD1562" s="475"/>
      <c r="AE1562" s="475"/>
      <c r="AF1562" s="475"/>
    </row>
    <row r="1563" spans="2:32">
      <c r="B1563" s="471"/>
      <c r="C1563" s="475"/>
      <c r="D1563" s="475"/>
      <c r="E1563" s="475"/>
      <c r="F1563" s="474"/>
      <c r="G1563" s="475"/>
      <c r="H1563" s="474"/>
      <c r="I1563" s="474"/>
      <c r="J1563" s="475"/>
      <c r="K1563" s="475"/>
      <c r="L1563" s="475"/>
      <c r="M1563" s="475"/>
      <c r="N1563" s="475"/>
      <c r="O1563" s="475"/>
      <c r="P1563" s="475"/>
      <c r="Q1563" s="475"/>
      <c r="R1563" s="475"/>
      <c r="S1563" s="475"/>
      <c r="T1563" s="475"/>
      <c r="U1563" s="475"/>
      <c r="V1563" s="475"/>
      <c r="W1563" s="475"/>
      <c r="X1563" s="475"/>
      <c r="Y1563" s="475"/>
      <c r="Z1563" s="475"/>
      <c r="AA1563" s="475"/>
      <c r="AB1563" s="475"/>
      <c r="AC1563" s="475"/>
      <c r="AD1563" s="475"/>
      <c r="AE1563" s="475"/>
      <c r="AF1563" s="475"/>
    </row>
    <row r="1564" spans="2:32">
      <c r="B1564" s="471"/>
      <c r="C1564" s="475"/>
      <c r="D1564" s="475"/>
      <c r="E1564" s="475"/>
      <c r="F1564" s="474"/>
      <c r="G1564" s="475"/>
      <c r="H1564" s="474"/>
      <c r="I1564" s="474"/>
      <c r="J1564" s="475"/>
      <c r="K1564" s="475"/>
      <c r="L1564" s="475"/>
      <c r="M1564" s="475"/>
      <c r="N1564" s="475"/>
      <c r="O1564" s="475"/>
      <c r="P1564" s="475"/>
      <c r="Q1564" s="475"/>
      <c r="R1564" s="475"/>
      <c r="S1564" s="475"/>
      <c r="T1564" s="475"/>
      <c r="U1564" s="475"/>
      <c r="V1564" s="475"/>
      <c r="W1564" s="475"/>
      <c r="X1564" s="475"/>
      <c r="Y1564" s="475"/>
      <c r="Z1564" s="475"/>
      <c r="AA1564" s="475"/>
      <c r="AB1564" s="475"/>
      <c r="AC1564" s="475"/>
      <c r="AD1564" s="475"/>
      <c r="AE1564" s="475"/>
      <c r="AF1564" s="475"/>
    </row>
    <row r="1565" spans="2:32">
      <c r="B1565" s="471"/>
      <c r="C1565" s="475"/>
      <c r="D1565" s="475"/>
      <c r="E1565" s="475"/>
      <c r="F1565" s="474"/>
      <c r="G1565" s="475"/>
      <c r="H1565" s="474"/>
      <c r="I1565" s="474"/>
      <c r="J1565" s="475"/>
      <c r="K1565" s="475"/>
      <c r="L1565" s="475"/>
      <c r="M1565" s="475"/>
      <c r="N1565" s="475"/>
      <c r="O1565" s="475"/>
      <c r="P1565" s="475"/>
      <c r="Q1565" s="475"/>
      <c r="R1565" s="475"/>
      <c r="S1565" s="475"/>
      <c r="T1565" s="475"/>
      <c r="U1565" s="475"/>
      <c r="V1565" s="475"/>
      <c r="W1565" s="475"/>
      <c r="X1565" s="475"/>
      <c r="Y1565" s="475"/>
      <c r="Z1565" s="475"/>
      <c r="AA1565" s="475"/>
      <c r="AB1565" s="475"/>
      <c r="AC1565" s="475"/>
      <c r="AD1565" s="475"/>
      <c r="AE1565" s="475"/>
      <c r="AF1565" s="475"/>
    </row>
    <row r="1566" spans="2:32">
      <c r="B1566" s="471"/>
      <c r="C1566" s="475"/>
      <c r="D1566" s="475"/>
      <c r="E1566" s="475"/>
      <c r="F1566" s="474"/>
      <c r="G1566" s="475"/>
      <c r="H1566" s="474"/>
      <c r="I1566" s="474"/>
      <c r="J1566" s="475"/>
      <c r="K1566" s="475"/>
      <c r="L1566" s="475"/>
      <c r="M1566" s="475"/>
      <c r="N1566" s="475"/>
      <c r="O1566" s="475"/>
      <c r="P1566" s="475"/>
      <c r="Q1566" s="475"/>
      <c r="R1566" s="475"/>
      <c r="S1566" s="475"/>
      <c r="T1566" s="475"/>
      <c r="U1566" s="475"/>
      <c r="V1566" s="475"/>
      <c r="W1566" s="475"/>
      <c r="X1566" s="475"/>
      <c r="Y1566" s="475"/>
      <c r="Z1566" s="475"/>
      <c r="AA1566" s="475"/>
      <c r="AB1566" s="475"/>
      <c r="AC1566" s="475"/>
      <c r="AD1566" s="475"/>
      <c r="AE1566" s="475"/>
      <c r="AF1566" s="475"/>
    </row>
    <row r="1567" spans="2:32">
      <c r="B1567" s="471"/>
      <c r="C1567" s="475"/>
      <c r="D1567" s="475"/>
      <c r="E1567" s="475"/>
      <c r="F1567" s="474"/>
      <c r="G1567" s="475"/>
      <c r="H1567" s="474"/>
      <c r="I1567" s="474"/>
      <c r="J1567" s="475"/>
      <c r="K1567" s="475"/>
      <c r="L1567" s="475"/>
      <c r="M1567" s="475"/>
      <c r="N1567" s="475"/>
      <c r="O1567" s="475"/>
      <c r="P1567" s="475"/>
      <c r="Q1567" s="475"/>
      <c r="R1567" s="475"/>
      <c r="S1567" s="475"/>
      <c r="T1567" s="475"/>
      <c r="U1567" s="475"/>
      <c r="V1567" s="475"/>
      <c r="W1567" s="475"/>
      <c r="X1567" s="475"/>
      <c r="Y1567" s="475"/>
      <c r="Z1567" s="475"/>
      <c r="AA1567" s="475"/>
      <c r="AB1567" s="475"/>
      <c r="AC1567" s="475"/>
      <c r="AD1567" s="475"/>
      <c r="AE1567" s="475"/>
      <c r="AF1567" s="475"/>
    </row>
    <row r="1568" spans="2:32">
      <c r="B1568" s="471"/>
      <c r="C1568" s="475"/>
      <c r="D1568" s="475"/>
      <c r="E1568" s="475"/>
      <c r="F1568" s="474"/>
      <c r="G1568" s="475"/>
      <c r="H1568" s="474"/>
      <c r="I1568" s="474"/>
      <c r="J1568" s="475"/>
      <c r="K1568" s="475"/>
      <c r="L1568" s="475"/>
      <c r="M1568" s="475"/>
      <c r="N1568" s="475"/>
      <c r="O1568" s="475"/>
      <c r="P1568" s="475"/>
      <c r="Q1568" s="475"/>
      <c r="R1568" s="475"/>
      <c r="S1568" s="475"/>
      <c r="T1568" s="475"/>
      <c r="U1568" s="475"/>
      <c r="V1568" s="475"/>
      <c r="W1568" s="475"/>
      <c r="X1568" s="475"/>
      <c r="Y1568" s="475"/>
      <c r="Z1568" s="475"/>
      <c r="AA1568" s="475"/>
      <c r="AB1568" s="475"/>
      <c r="AC1568" s="475"/>
      <c r="AD1568" s="475"/>
      <c r="AE1568" s="475"/>
      <c r="AF1568" s="475"/>
    </row>
    <row r="1569" spans="2:32">
      <c r="B1569" s="471"/>
      <c r="C1569" s="475"/>
      <c r="D1569" s="475"/>
      <c r="E1569" s="475"/>
      <c r="F1569" s="474"/>
      <c r="G1569" s="475"/>
      <c r="H1569" s="474"/>
      <c r="I1569" s="474"/>
      <c r="J1569" s="475"/>
      <c r="K1569" s="475"/>
      <c r="L1569" s="475"/>
      <c r="M1569" s="475"/>
      <c r="N1569" s="475"/>
      <c r="O1569" s="475"/>
      <c r="P1569" s="475"/>
      <c r="Q1569" s="475"/>
      <c r="R1569" s="475"/>
      <c r="S1569" s="475"/>
      <c r="T1569" s="475"/>
      <c r="U1569" s="475"/>
      <c r="V1569" s="475"/>
      <c r="W1569" s="475"/>
      <c r="X1569" s="475"/>
      <c r="Y1569" s="475"/>
      <c r="Z1569" s="475"/>
      <c r="AA1569" s="475"/>
      <c r="AB1569" s="475"/>
      <c r="AC1569" s="475"/>
      <c r="AD1569" s="475"/>
      <c r="AE1569" s="475"/>
      <c r="AF1569" s="475"/>
    </row>
    <row r="1570" spans="2:32">
      <c r="B1570" s="471"/>
      <c r="C1570" s="475"/>
      <c r="D1570" s="475"/>
      <c r="E1570" s="475"/>
      <c r="F1570" s="474"/>
      <c r="G1570" s="475"/>
      <c r="H1570" s="474"/>
      <c r="I1570" s="474"/>
      <c r="J1570" s="475"/>
      <c r="K1570" s="475"/>
      <c r="L1570" s="475"/>
      <c r="M1570" s="475"/>
      <c r="N1570" s="475"/>
      <c r="O1570" s="475"/>
      <c r="P1570" s="475"/>
      <c r="Q1570" s="475"/>
      <c r="R1570" s="475"/>
      <c r="S1570" s="475"/>
      <c r="T1570" s="475"/>
      <c r="U1570" s="475"/>
      <c r="V1570" s="475"/>
      <c r="W1570" s="475"/>
      <c r="X1570" s="475"/>
      <c r="Y1570" s="475"/>
      <c r="Z1570" s="475"/>
      <c r="AA1570" s="475"/>
      <c r="AB1570" s="475"/>
      <c r="AC1570" s="475"/>
      <c r="AD1570" s="475"/>
      <c r="AE1570" s="475"/>
      <c r="AF1570" s="475"/>
    </row>
    <row r="1571" spans="2:32">
      <c r="B1571" s="471"/>
      <c r="C1571" s="475"/>
      <c r="D1571" s="475"/>
      <c r="E1571" s="475"/>
      <c r="F1571" s="474"/>
      <c r="G1571" s="475"/>
      <c r="H1571" s="474"/>
      <c r="I1571" s="474"/>
      <c r="J1571" s="475"/>
      <c r="K1571" s="475"/>
      <c r="L1571" s="475"/>
      <c r="M1571" s="475"/>
      <c r="N1571" s="475"/>
      <c r="O1571" s="475"/>
      <c r="P1571" s="475"/>
      <c r="Q1571" s="475"/>
      <c r="R1571" s="475"/>
      <c r="S1571" s="475"/>
      <c r="T1571" s="475"/>
      <c r="U1571" s="475"/>
      <c r="V1571" s="475"/>
      <c r="W1571" s="475"/>
      <c r="X1571" s="475"/>
      <c r="Y1571" s="475"/>
      <c r="Z1571" s="475"/>
      <c r="AA1571" s="475"/>
      <c r="AB1571" s="475"/>
      <c r="AC1571" s="475"/>
      <c r="AD1571" s="475"/>
      <c r="AE1571" s="475"/>
      <c r="AF1571" s="475"/>
    </row>
    <row r="1572" spans="2:32">
      <c r="B1572" s="471"/>
      <c r="C1572" s="475"/>
      <c r="D1572" s="475"/>
      <c r="E1572" s="475"/>
      <c r="F1572" s="474"/>
      <c r="G1572" s="475"/>
      <c r="H1572" s="474"/>
      <c r="I1572" s="474"/>
      <c r="J1572" s="475"/>
      <c r="K1572" s="475"/>
      <c r="L1572" s="475"/>
      <c r="M1572" s="475"/>
      <c r="N1572" s="475"/>
      <c r="O1572" s="475"/>
      <c r="P1572" s="475"/>
      <c r="Q1572" s="475"/>
      <c r="R1572" s="475"/>
      <c r="S1572" s="475"/>
      <c r="T1572" s="475"/>
      <c r="U1572" s="475"/>
      <c r="V1572" s="475"/>
      <c r="W1572" s="475"/>
      <c r="X1572" s="475"/>
      <c r="Y1572" s="475"/>
      <c r="Z1572" s="475"/>
      <c r="AA1572" s="475"/>
      <c r="AB1572" s="475"/>
      <c r="AC1572" s="475"/>
      <c r="AD1572" s="475"/>
      <c r="AE1572" s="475"/>
      <c r="AF1572" s="475"/>
    </row>
    <row r="1573" spans="2:32">
      <c r="B1573" s="471"/>
      <c r="C1573" s="475"/>
      <c r="D1573" s="475"/>
      <c r="E1573" s="475"/>
      <c r="F1573" s="474"/>
      <c r="G1573" s="475"/>
      <c r="H1573" s="474"/>
      <c r="I1573" s="474"/>
      <c r="J1573" s="475"/>
      <c r="K1573" s="475"/>
      <c r="L1573" s="475"/>
      <c r="M1573" s="475"/>
      <c r="N1573" s="475"/>
      <c r="O1573" s="475"/>
      <c r="P1573" s="475"/>
      <c r="Q1573" s="475"/>
      <c r="R1573" s="475"/>
      <c r="S1573" s="475"/>
      <c r="T1573" s="475"/>
      <c r="U1573" s="475"/>
      <c r="V1573" s="475"/>
      <c r="W1573" s="475"/>
      <c r="X1573" s="475"/>
      <c r="Y1573" s="475"/>
      <c r="Z1573" s="475"/>
      <c r="AA1573" s="475"/>
      <c r="AB1573" s="475"/>
      <c r="AC1573" s="475"/>
      <c r="AD1573" s="475"/>
      <c r="AE1573" s="475"/>
      <c r="AF1573" s="475"/>
    </row>
    <row r="1574" spans="2:32">
      <c r="B1574" s="471"/>
      <c r="C1574" s="475"/>
      <c r="D1574" s="475"/>
      <c r="E1574" s="475"/>
      <c r="F1574" s="474"/>
      <c r="G1574" s="475"/>
      <c r="H1574" s="474"/>
      <c r="I1574" s="474"/>
      <c r="J1574" s="475"/>
      <c r="K1574" s="475"/>
      <c r="L1574" s="475"/>
      <c r="M1574" s="475"/>
      <c r="N1574" s="475"/>
      <c r="O1574" s="475"/>
      <c r="P1574" s="475"/>
      <c r="Q1574" s="475"/>
      <c r="R1574" s="475"/>
      <c r="S1574" s="475"/>
      <c r="T1574" s="475"/>
      <c r="U1574" s="475"/>
      <c r="V1574" s="475"/>
      <c r="W1574" s="475"/>
      <c r="X1574" s="475"/>
      <c r="Y1574" s="475"/>
      <c r="Z1574" s="475"/>
      <c r="AA1574" s="475"/>
      <c r="AB1574" s="475"/>
      <c r="AC1574" s="475"/>
      <c r="AD1574" s="475"/>
      <c r="AE1574" s="475"/>
      <c r="AF1574" s="475"/>
    </row>
    <row r="1575" spans="2:32">
      <c r="B1575" s="471"/>
      <c r="C1575" s="475"/>
      <c r="D1575" s="475"/>
      <c r="E1575" s="475"/>
      <c r="F1575" s="474"/>
      <c r="G1575" s="475"/>
      <c r="H1575" s="474"/>
      <c r="I1575" s="474"/>
      <c r="J1575" s="475"/>
      <c r="K1575" s="475"/>
      <c r="L1575" s="475"/>
      <c r="M1575" s="475"/>
      <c r="N1575" s="475"/>
      <c r="O1575" s="475"/>
      <c r="P1575" s="475"/>
      <c r="Q1575" s="475"/>
      <c r="R1575" s="475"/>
      <c r="S1575" s="475"/>
      <c r="T1575" s="475"/>
      <c r="U1575" s="475"/>
      <c r="V1575" s="475"/>
      <c r="W1575" s="475"/>
      <c r="X1575" s="475"/>
      <c r="Y1575" s="475"/>
      <c r="Z1575" s="475"/>
      <c r="AA1575" s="475"/>
      <c r="AB1575" s="475"/>
      <c r="AC1575" s="475"/>
      <c r="AD1575" s="475"/>
      <c r="AE1575" s="475"/>
      <c r="AF1575" s="475"/>
    </row>
    <row r="1576" spans="2:32">
      <c r="B1576" s="471"/>
      <c r="C1576" s="475"/>
      <c r="D1576" s="475"/>
      <c r="E1576" s="475"/>
      <c r="F1576" s="474"/>
      <c r="G1576" s="475"/>
      <c r="H1576" s="474"/>
      <c r="I1576" s="474"/>
      <c r="J1576" s="475"/>
      <c r="K1576" s="475"/>
      <c r="L1576" s="475"/>
      <c r="M1576" s="475"/>
      <c r="N1576" s="475"/>
      <c r="O1576" s="475"/>
      <c r="P1576" s="475"/>
      <c r="Q1576" s="475"/>
      <c r="R1576" s="475"/>
      <c r="S1576" s="475"/>
      <c r="T1576" s="475"/>
      <c r="U1576" s="475"/>
      <c r="V1576" s="475"/>
      <c r="W1576" s="475"/>
      <c r="X1576" s="475"/>
      <c r="Y1576" s="475"/>
      <c r="Z1576" s="475"/>
      <c r="AA1576" s="475"/>
      <c r="AB1576" s="475"/>
      <c r="AC1576" s="475"/>
      <c r="AD1576" s="475"/>
      <c r="AE1576" s="475"/>
      <c r="AF1576" s="475"/>
    </row>
    <row r="1577" spans="2:32">
      <c r="B1577" s="471"/>
      <c r="C1577" s="475"/>
      <c r="D1577" s="475"/>
      <c r="E1577" s="475"/>
      <c r="F1577" s="474"/>
      <c r="G1577" s="475"/>
      <c r="H1577" s="474"/>
      <c r="I1577" s="474"/>
      <c r="J1577" s="475"/>
      <c r="K1577" s="475"/>
      <c r="L1577" s="475"/>
      <c r="M1577" s="475"/>
      <c r="N1577" s="475"/>
      <c r="O1577" s="475"/>
      <c r="P1577" s="475"/>
      <c r="Q1577" s="475"/>
      <c r="R1577" s="475"/>
      <c r="S1577" s="475"/>
      <c r="T1577" s="475"/>
      <c r="U1577" s="475"/>
      <c r="V1577" s="475"/>
      <c r="W1577" s="475"/>
      <c r="X1577" s="475"/>
      <c r="Y1577" s="475"/>
      <c r="Z1577" s="475"/>
      <c r="AA1577" s="475"/>
      <c r="AB1577" s="475"/>
      <c r="AC1577" s="475"/>
      <c r="AD1577" s="475"/>
      <c r="AE1577" s="475"/>
      <c r="AF1577" s="475"/>
    </row>
    <row r="1578" spans="2:32">
      <c r="B1578" s="471"/>
      <c r="C1578" s="475"/>
      <c r="D1578" s="475"/>
      <c r="E1578" s="475"/>
      <c r="F1578" s="474"/>
      <c r="G1578" s="475"/>
      <c r="H1578" s="474"/>
      <c r="I1578" s="474"/>
      <c r="J1578" s="475"/>
      <c r="K1578" s="475"/>
      <c r="L1578" s="475"/>
      <c r="M1578" s="475"/>
      <c r="N1578" s="475"/>
      <c r="O1578" s="475"/>
      <c r="P1578" s="475"/>
      <c r="Q1578" s="475"/>
      <c r="R1578" s="475"/>
      <c r="S1578" s="475"/>
      <c r="T1578" s="475"/>
      <c r="U1578" s="475"/>
      <c r="V1578" s="475"/>
      <c r="W1578" s="475"/>
      <c r="X1578" s="475"/>
      <c r="Y1578" s="475"/>
      <c r="Z1578" s="475"/>
      <c r="AA1578" s="475"/>
      <c r="AB1578" s="475"/>
      <c r="AC1578" s="475"/>
      <c r="AD1578" s="475"/>
      <c r="AE1578" s="475"/>
      <c r="AF1578" s="475"/>
    </row>
    <row r="1579" spans="2:32">
      <c r="B1579" s="471"/>
      <c r="C1579" s="475"/>
      <c r="D1579" s="475"/>
      <c r="E1579" s="475"/>
      <c r="F1579" s="474"/>
      <c r="G1579" s="475"/>
      <c r="H1579" s="474"/>
      <c r="I1579" s="474"/>
      <c r="J1579" s="475"/>
      <c r="K1579" s="475"/>
      <c r="L1579" s="475"/>
      <c r="M1579" s="475"/>
      <c r="N1579" s="475"/>
      <c r="O1579" s="475"/>
      <c r="P1579" s="475"/>
      <c r="Q1579" s="475"/>
      <c r="R1579" s="475"/>
      <c r="S1579" s="475"/>
      <c r="T1579" s="475"/>
      <c r="U1579" s="475"/>
      <c r="V1579" s="475"/>
      <c r="W1579" s="475"/>
      <c r="X1579" s="475"/>
      <c r="Y1579" s="475"/>
      <c r="Z1579" s="475"/>
      <c r="AA1579" s="475"/>
      <c r="AB1579" s="475"/>
      <c r="AC1579" s="475"/>
      <c r="AD1579" s="475"/>
      <c r="AE1579" s="475"/>
      <c r="AF1579" s="475"/>
    </row>
    <row r="1580" spans="2:32">
      <c r="B1580" s="471"/>
      <c r="C1580" s="475"/>
      <c r="D1580" s="475"/>
      <c r="E1580" s="475"/>
      <c r="F1580" s="474"/>
      <c r="G1580" s="475"/>
      <c r="H1580" s="474"/>
      <c r="I1580" s="474"/>
      <c r="J1580" s="475"/>
      <c r="K1580" s="475"/>
      <c r="L1580" s="475"/>
      <c r="M1580" s="475"/>
      <c r="N1580" s="475"/>
      <c r="O1580" s="475"/>
      <c r="P1580" s="475"/>
      <c r="Q1580" s="475"/>
      <c r="R1580" s="475"/>
      <c r="S1580" s="475"/>
      <c r="T1580" s="475"/>
      <c r="U1580" s="475"/>
      <c r="V1580" s="475"/>
      <c r="W1580" s="475"/>
      <c r="X1580" s="475"/>
      <c r="Y1580" s="475"/>
      <c r="Z1580" s="475"/>
      <c r="AA1580" s="475"/>
      <c r="AB1580" s="475"/>
      <c r="AC1580" s="475"/>
      <c r="AD1580" s="475"/>
      <c r="AE1580" s="475"/>
      <c r="AF1580" s="475"/>
    </row>
    <row r="1581" spans="2:32">
      <c r="B1581" s="471"/>
      <c r="C1581" s="475"/>
      <c r="D1581" s="475"/>
      <c r="E1581" s="475"/>
      <c r="F1581" s="474"/>
      <c r="G1581" s="475"/>
      <c r="H1581" s="474"/>
      <c r="I1581" s="474"/>
      <c r="J1581" s="475"/>
      <c r="K1581" s="475"/>
      <c r="L1581" s="475"/>
      <c r="M1581" s="475"/>
      <c r="N1581" s="475"/>
      <c r="O1581" s="475"/>
      <c r="P1581" s="475"/>
      <c r="Q1581" s="475"/>
      <c r="R1581" s="475"/>
      <c r="S1581" s="475"/>
      <c r="T1581" s="475"/>
      <c r="U1581" s="475"/>
      <c r="V1581" s="475"/>
      <c r="W1581" s="475"/>
      <c r="X1581" s="475"/>
      <c r="Y1581" s="475"/>
      <c r="Z1581" s="475"/>
      <c r="AA1581" s="475"/>
      <c r="AB1581" s="475"/>
      <c r="AC1581" s="475"/>
      <c r="AD1581" s="475"/>
      <c r="AE1581" s="475"/>
      <c r="AF1581" s="475"/>
    </row>
    <row r="1582" spans="2:32">
      <c r="B1582" s="471"/>
      <c r="C1582" s="475"/>
      <c r="D1582" s="475"/>
      <c r="E1582" s="475"/>
      <c r="F1582" s="474"/>
      <c r="G1582" s="475"/>
      <c r="H1582" s="474"/>
      <c r="I1582" s="474"/>
      <c r="J1582" s="475"/>
      <c r="K1582" s="475"/>
      <c r="L1582" s="475"/>
      <c r="M1582" s="475"/>
      <c r="N1582" s="475"/>
      <c r="O1582" s="475"/>
      <c r="P1582" s="475"/>
      <c r="Q1582" s="475"/>
      <c r="R1582" s="475"/>
      <c r="S1582" s="475"/>
      <c r="T1582" s="475"/>
      <c r="U1582" s="475"/>
      <c r="V1582" s="475"/>
      <c r="W1582" s="475"/>
      <c r="X1582" s="475"/>
      <c r="Y1582" s="475"/>
      <c r="Z1582" s="475"/>
      <c r="AA1582" s="475"/>
      <c r="AB1582" s="475"/>
      <c r="AC1582" s="475"/>
      <c r="AD1582" s="475"/>
      <c r="AE1582" s="475"/>
      <c r="AF1582" s="475"/>
    </row>
    <row r="1583" spans="2:32">
      <c r="B1583" s="471"/>
      <c r="C1583" s="475"/>
      <c r="D1583" s="475"/>
      <c r="E1583" s="475"/>
      <c r="F1583" s="474"/>
      <c r="G1583" s="475"/>
      <c r="H1583" s="474"/>
      <c r="I1583" s="474"/>
      <c r="J1583" s="475"/>
      <c r="K1583" s="475"/>
      <c r="L1583" s="475"/>
      <c r="M1583" s="475"/>
      <c r="N1583" s="475"/>
      <c r="O1583" s="475"/>
      <c r="P1583" s="475"/>
      <c r="Q1583" s="475"/>
      <c r="R1583" s="475"/>
      <c r="S1583" s="475"/>
      <c r="T1583" s="475"/>
      <c r="U1583" s="475"/>
      <c r="V1583" s="475"/>
      <c r="W1583" s="475"/>
      <c r="X1583" s="475"/>
      <c r="Y1583" s="475"/>
      <c r="Z1583" s="475"/>
      <c r="AA1583" s="475"/>
      <c r="AB1583" s="475"/>
      <c r="AC1583" s="475"/>
      <c r="AD1583" s="475"/>
      <c r="AE1583" s="475"/>
      <c r="AF1583" s="475"/>
    </row>
    <row r="1584" spans="2:32">
      <c r="B1584" s="471"/>
      <c r="C1584" s="475"/>
      <c r="D1584" s="475"/>
      <c r="E1584" s="475"/>
      <c r="F1584" s="474"/>
      <c r="G1584" s="475"/>
      <c r="H1584" s="474"/>
      <c r="I1584" s="474"/>
      <c r="J1584" s="475"/>
      <c r="K1584" s="475"/>
      <c r="L1584" s="475"/>
      <c r="M1584" s="475"/>
      <c r="N1584" s="475"/>
      <c r="O1584" s="475"/>
      <c r="P1584" s="475"/>
      <c r="Q1584" s="475"/>
      <c r="R1584" s="475"/>
      <c r="S1584" s="475"/>
      <c r="T1584" s="475"/>
      <c r="U1584" s="475"/>
      <c r="V1584" s="475"/>
      <c r="W1584" s="475"/>
      <c r="X1584" s="475"/>
      <c r="Y1584" s="475"/>
      <c r="Z1584" s="475"/>
      <c r="AA1584" s="475"/>
      <c r="AB1584" s="475"/>
      <c r="AC1584" s="475"/>
      <c r="AD1584" s="475"/>
      <c r="AE1584" s="475"/>
      <c r="AF1584" s="475"/>
    </row>
    <row r="1585" spans="2:32">
      <c r="B1585" s="471"/>
      <c r="C1585" s="475"/>
      <c r="D1585" s="475"/>
      <c r="E1585" s="475"/>
      <c r="F1585" s="474"/>
      <c r="G1585" s="475"/>
      <c r="H1585" s="474"/>
      <c r="I1585" s="474"/>
      <c r="J1585" s="475"/>
      <c r="K1585" s="475"/>
      <c r="L1585" s="475"/>
      <c r="M1585" s="475"/>
      <c r="N1585" s="475"/>
      <c r="O1585" s="475"/>
      <c r="P1585" s="475"/>
      <c r="Q1585" s="475"/>
      <c r="R1585" s="475"/>
      <c r="S1585" s="475"/>
      <c r="T1585" s="475"/>
      <c r="U1585" s="475"/>
      <c r="V1585" s="475"/>
      <c r="W1585" s="475"/>
      <c r="X1585" s="475"/>
      <c r="Y1585" s="475"/>
      <c r="Z1585" s="475"/>
      <c r="AA1585" s="475"/>
      <c r="AB1585" s="475"/>
      <c r="AC1585" s="475"/>
      <c r="AD1585" s="475"/>
      <c r="AE1585" s="475"/>
      <c r="AF1585" s="475"/>
    </row>
    <row r="1586" spans="2:32">
      <c r="B1586" s="471"/>
      <c r="C1586" s="475"/>
      <c r="D1586" s="475"/>
      <c r="E1586" s="475"/>
      <c r="F1586" s="474"/>
      <c r="G1586" s="475"/>
      <c r="H1586" s="474"/>
      <c r="I1586" s="474"/>
      <c r="J1586" s="475"/>
      <c r="K1586" s="475"/>
      <c r="L1586" s="475"/>
      <c r="M1586" s="475"/>
      <c r="N1586" s="475"/>
      <c r="O1586" s="475"/>
      <c r="P1586" s="475"/>
      <c r="Q1586" s="475"/>
      <c r="R1586" s="475"/>
      <c r="S1586" s="475"/>
      <c r="T1586" s="475"/>
      <c r="U1586" s="475"/>
      <c r="V1586" s="475"/>
      <c r="W1586" s="475"/>
      <c r="X1586" s="475"/>
      <c r="Y1586" s="475"/>
      <c r="Z1586" s="475"/>
      <c r="AA1586" s="475"/>
      <c r="AB1586" s="475"/>
      <c r="AC1586" s="475"/>
      <c r="AD1586" s="475"/>
      <c r="AE1586" s="475"/>
      <c r="AF1586" s="475"/>
    </row>
    <row r="1587" spans="2:32">
      <c r="B1587" s="471"/>
      <c r="C1587" s="475"/>
      <c r="D1587" s="475"/>
      <c r="E1587" s="475"/>
      <c r="F1587" s="474"/>
      <c r="G1587" s="475"/>
      <c r="H1587" s="474"/>
      <c r="I1587" s="474"/>
      <c r="J1587" s="475"/>
      <c r="K1587" s="475"/>
      <c r="L1587" s="475"/>
      <c r="M1587" s="475"/>
      <c r="N1587" s="475"/>
      <c r="O1587" s="475"/>
      <c r="P1587" s="475"/>
      <c r="Q1587" s="475"/>
      <c r="R1587" s="475"/>
      <c r="S1587" s="475"/>
      <c r="T1587" s="475"/>
      <c r="U1587" s="475"/>
      <c r="V1587" s="475"/>
      <c r="W1587" s="475"/>
      <c r="X1587" s="475"/>
      <c r="Y1587" s="475"/>
      <c r="Z1587" s="475"/>
      <c r="AA1587" s="475"/>
      <c r="AB1587" s="475"/>
      <c r="AC1587" s="475"/>
      <c r="AD1587" s="475"/>
      <c r="AE1587" s="475"/>
      <c r="AF1587" s="475"/>
    </row>
    <row r="1588" spans="2:32">
      <c r="B1588" s="471"/>
      <c r="C1588" s="475"/>
      <c r="D1588" s="475"/>
      <c r="E1588" s="475"/>
      <c r="F1588" s="474"/>
      <c r="G1588" s="475"/>
      <c r="H1588" s="474"/>
      <c r="I1588" s="474"/>
      <c r="J1588" s="475"/>
      <c r="K1588" s="475"/>
      <c r="L1588" s="475"/>
      <c r="M1588" s="475"/>
      <c r="N1588" s="475"/>
      <c r="O1588" s="475"/>
      <c r="P1588" s="475"/>
      <c r="Q1588" s="475"/>
      <c r="R1588" s="475"/>
      <c r="S1588" s="475"/>
      <c r="T1588" s="475"/>
      <c r="U1588" s="475"/>
      <c r="V1588" s="475"/>
      <c r="W1588" s="475"/>
      <c r="X1588" s="475"/>
      <c r="Y1588" s="475"/>
      <c r="Z1588" s="475"/>
      <c r="AA1588" s="475"/>
      <c r="AB1588" s="475"/>
      <c r="AC1588" s="475"/>
      <c r="AD1588" s="475"/>
      <c r="AE1588" s="475"/>
      <c r="AF1588" s="475"/>
    </row>
    <row r="1589" spans="2:32">
      <c r="B1589" s="471"/>
      <c r="C1589" s="475"/>
      <c r="D1589" s="475"/>
      <c r="E1589" s="475"/>
      <c r="F1589" s="474"/>
      <c r="G1589" s="475"/>
      <c r="H1589" s="474"/>
      <c r="I1589" s="474"/>
      <c r="J1589" s="475"/>
      <c r="K1589" s="475"/>
      <c r="L1589" s="475"/>
      <c r="M1589" s="475"/>
      <c r="N1589" s="475"/>
      <c r="O1589" s="475"/>
      <c r="P1589" s="475"/>
      <c r="Q1589" s="475"/>
      <c r="R1589" s="475"/>
      <c r="S1589" s="475"/>
      <c r="T1589" s="475"/>
      <c r="U1589" s="475"/>
      <c r="V1589" s="475"/>
      <c r="W1589" s="475"/>
      <c r="X1589" s="475"/>
      <c r="Y1589" s="475"/>
      <c r="Z1589" s="475"/>
      <c r="AA1589" s="475"/>
      <c r="AB1589" s="475"/>
      <c r="AC1589" s="475"/>
      <c r="AD1589" s="475"/>
      <c r="AE1589" s="475"/>
      <c r="AF1589" s="475"/>
    </row>
    <row r="1590" spans="2:32">
      <c r="B1590" s="471"/>
      <c r="C1590" s="475"/>
      <c r="D1590" s="475"/>
      <c r="E1590" s="475"/>
      <c r="F1590" s="474"/>
      <c r="G1590" s="475"/>
      <c r="H1590" s="474"/>
      <c r="I1590" s="474"/>
      <c r="J1590" s="475"/>
      <c r="K1590" s="475"/>
      <c r="L1590" s="475"/>
      <c r="M1590" s="475"/>
      <c r="N1590" s="475"/>
      <c r="O1590" s="475"/>
      <c r="P1590" s="475"/>
      <c r="Q1590" s="475"/>
      <c r="R1590" s="475"/>
      <c r="S1590" s="475"/>
      <c r="T1590" s="475"/>
      <c r="U1590" s="475"/>
      <c r="V1590" s="475"/>
      <c r="W1590" s="475"/>
      <c r="X1590" s="475"/>
      <c r="Y1590" s="475"/>
      <c r="Z1590" s="475"/>
      <c r="AA1590" s="475"/>
      <c r="AB1590" s="475"/>
      <c r="AC1590" s="475"/>
      <c r="AD1590" s="475"/>
      <c r="AE1590" s="475"/>
      <c r="AF1590" s="475"/>
    </row>
    <row r="1591" spans="2:32">
      <c r="B1591" s="471"/>
      <c r="C1591" s="475"/>
      <c r="D1591" s="475"/>
      <c r="E1591" s="475"/>
      <c r="F1591" s="474"/>
      <c r="G1591" s="475"/>
      <c r="H1591" s="474"/>
      <c r="I1591" s="474"/>
      <c r="J1591" s="475"/>
      <c r="K1591" s="475"/>
      <c r="L1591" s="475"/>
      <c r="M1591" s="475"/>
      <c r="N1591" s="475"/>
      <c r="O1591" s="475"/>
      <c r="P1591" s="475"/>
      <c r="Q1591" s="475"/>
      <c r="R1591" s="475"/>
      <c r="S1591" s="475"/>
      <c r="T1591" s="475"/>
      <c r="U1591" s="475"/>
      <c r="V1591" s="475"/>
      <c r="W1591" s="475"/>
      <c r="X1591" s="475"/>
      <c r="Y1591" s="475"/>
      <c r="Z1591" s="475"/>
      <c r="AA1591" s="475"/>
      <c r="AB1591" s="475"/>
      <c r="AC1591" s="475"/>
      <c r="AD1591" s="475"/>
      <c r="AE1591" s="475"/>
      <c r="AF1591" s="475"/>
    </row>
    <row r="1592" spans="2:32">
      <c r="B1592" s="471"/>
      <c r="C1592" s="475"/>
      <c r="D1592" s="475"/>
      <c r="E1592" s="475"/>
      <c r="F1592" s="474"/>
      <c r="G1592" s="475"/>
      <c r="H1592" s="474"/>
      <c r="I1592" s="474"/>
      <c r="J1592" s="475"/>
      <c r="K1592" s="475"/>
      <c r="L1592" s="475"/>
      <c r="M1592" s="475"/>
      <c r="N1592" s="475"/>
      <c r="O1592" s="475"/>
      <c r="P1592" s="475"/>
      <c r="Q1592" s="475"/>
      <c r="R1592" s="475"/>
      <c r="S1592" s="475"/>
      <c r="T1592" s="475"/>
      <c r="U1592" s="475"/>
      <c r="V1592" s="475"/>
      <c r="W1592" s="475"/>
      <c r="X1592" s="475"/>
      <c r="Y1592" s="475"/>
      <c r="Z1592" s="475"/>
      <c r="AA1592" s="475"/>
      <c r="AB1592" s="475"/>
      <c r="AC1592" s="475"/>
      <c r="AD1592" s="475"/>
      <c r="AE1592" s="475"/>
      <c r="AF1592" s="475"/>
    </row>
    <row r="1593" spans="2:32">
      <c r="B1593" s="471"/>
      <c r="C1593" s="475"/>
      <c r="D1593" s="475"/>
      <c r="E1593" s="475"/>
      <c r="F1593" s="474"/>
      <c r="G1593" s="475"/>
      <c r="H1593" s="474"/>
      <c r="I1593" s="474"/>
      <c r="J1593" s="475"/>
      <c r="K1593" s="475"/>
      <c r="L1593" s="475"/>
      <c r="M1593" s="475"/>
      <c r="N1593" s="475"/>
      <c r="O1593" s="475"/>
      <c r="P1593" s="475"/>
      <c r="Q1593" s="475"/>
      <c r="R1593" s="475"/>
      <c r="S1593" s="475"/>
      <c r="T1593" s="475"/>
      <c r="U1593" s="475"/>
      <c r="V1593" s="475"/>
      <c r="W1593" s="475"/>
      <c r="X1593" s="475"/>
      <c r="Y1593" s="475"/>
      <c r="Z1593" s="475"/>
      <c r="AA1593" s="475"/>
      <c r="AB1593" s="475"/>
      <c r="AC1593" s="475"/>
      <c r="AD1593" s="475"/>
      <c r="AE1593" s="475"/>
      <c r="AF1593" s="475"/>
    </row>
    <row r="1594" spans="2:32">
      <c r="B1594" s="471"/>
      <c r="C1594" s="475"/>
      <c r="D1594" s="475"/>
      <c r="E1594" s="475"/>
      <c r="F1594" s="474"/>
      <c r="G1594" s="475"/>
      <c r="H1594" s="474"/>
      <c r="I1594" s="474"/>
      <c r="J1594" s="475"/>
      <c r="K1594" s="475"/>
      <c r="L1594" s="475"/>
      <c r="M1594" s="475"/>
      <c r="N1594" s="475"/>
      <c r="O1594" s="475"/>
      <c r="P1594" s="475"/>
      <c r="Q1594" s="475"/>
      <c r="R1594" s="475"/>
      <c r="S1594" s="475"/>
      <c r="T1594" s="475"/>
      <c r="U1594" s="475"/>
      <c r="V1594" s="475"/>
      <c r="W1594" s="475"/>
      <c r="X1594" s="475"/>
      <c r="Y1594" s="475"/>
      <c r="Z1594" s="475"/>
      <c r="AA1594" s="475"/>
      <c r="AB1594" s="475"/>
      <c r="AC1594" s="475"/>
      <c r="AD1594" s="475"/>
      <c r="AE1594" s="475"/>
      <c r="AF1594" s="475"/>
    </row>
    <row r="1595" spans="2:32">
      <c r="B1595" s="471"/>
      <c r="C1595" s="475"/>
      <c r="D1595" s="475"/>
      <c r="E1595" s="475"/>
      <c r="F1595" s="474"/>
      <c r="G1595" s="475"/>
      <c r="H1595" s="474"/>
      <c r="I1595" s="474"/>
      <c r="J1595" s="475"/>
      <c r="K1595" s="475"/>
      <c r="L1595" s="475"/>
      <c r="M1595" s="475"/>
      <c r="N1595" s="475"/>
      <c r="O1595" s="475"/>
      <c r="P1595" s="475"/>
      <c r="Q1595" s="475"/>
      <c r="R1595" s="475"/>
      <c r="S1595" s="475"/>
      <c r="T1595" s="475"/>
      <c r="U1595" s="475"/>
      <c r="V1595" s="475"/>
      <c r="W1595" s="475"/>
      <c r="X1595" s="475"/>
      <c r="Y1595" s="475"/>
      <c r="Z1595" s="475"/>
      <c r="AA1595" s="475"/>
      <c r="AB1595" s="475"/>
      <c r="AC1595" s="475"/>
      <c r="AD1595" s="475"/>
      <c r="AE1595" s="475"/>
      <c r="AF1595" s="475"/>
    </row>
    <row r="1596" spans="2:32">
      <c r="B1596" s="471"/>
      <c r="C1596" s="475"/>
      <c r="D1596" s="475"/>
      <c r="E1596" s="475"/>
      <c r="F1596" s="474"/>
      <c r="G1596" s="475"/>
      <c r="H1596" s="474"/>
      <c r="I1596" s="474"/>
      <c r="J1596" s="475"/>
      <c r="K1596" s="475"/>
      <c r="L1596" s="475"/>
      <c r="M1596" s="475"/>
      <c r="N1596" s="475"/>
      <c r="O1596" s="475"/>
      <c r="P1596" s="475"/>
      <c r="Q1596" s="475"/>
      <c r="R1596" s="475"/>
      <c r="S1596" s="475"/>
      <c r="T1596" s="475"/>
      <c r="U1596" s="475"/>
      <c r="V1596" s="475"/>
      <c r="W1596" s="475"/>
      <c r="X1596" s="475"/>
      <c r="Y1596" s="475"/>
      <c r="Z1596" s="475"/>
      <c r="AA1596" s="475"/>
      <c r="AB1596" s="475"/>
      <c r="AC1596" s="475"/>
      <c r="AD1596" s="475"/>
      <c r="AE1596" s="475"/>
      <c r="AF1596" s="475"/>
    </row>
    <row r="1597" spans="2:32">
      <c r="B1597" s="471"/>
      <c r="C1597" s="475"/>
      <c r="D1597" s="475"/>
      <c r="E1597" s="475"/>
      <c r="F1597" s="474"/>
      <c r="G1597" s="475"/>
      <c r="H1597" s="474"/>
      <c r="I1597" s="474"/>
      <c r="J1597" s="475"/>
      <c r="K1597" s="475"/>
      <c r="L1597" s="475"/>
      <c r="M1597" s="475"/>
      <c r="N1597" s="475"/>
      <c r="O1597" s="475"/>
      <c r="P1597" s="475"/>
      <c r="Q1597" s="475"/>
      <c r="R1597" s="475"/>
      <c r="S1597" s="475"/>
      <c r="T1597" s="475"/>
      <c r="U1597" s="475"/>
      <c r="V1597" s="475"/>
      <c r="W1597" s="475"/>
      <c r="X1597" s="475"/>
      <c r="Y1597" s="475"/>
      <c r="Z1597" s="475"/>
      <c r="AA1597" s="475"/>
      <c r="AB1597" s="475"/>
      <c r="AC1597" s="475"/>
      <c r="AD1597" s="475"/>
      <c r="AE1597" s="475"/>
      <c r="AF1597" s="475"/>
    </row>
    <row r="1598" spans="2:32">
      <c r="B1598" s="471"/>
      <c r="C1598" s="475"/>
      <c r="D1598" s="475"/>
      <c r="E1598" s="475"/>
      <c r="F1598" s="474"/>
      <c r="G1598" s="475"/>
      <c r="H1598" s="474"/>
      <c r="I1598" s="474"/>
      <c r="J1598" s="475"/>
      <c r="K1598" s="475"/>
      <c r="L1598" s="475"/>
      <c r="M1598" s="475"/>
      <c r="N1598" s="475"/>
      <c r="O1598" s="475"/>
      <c r="P1598" s="475"/>
      <c r="Q1598" s="475"/>
      <c r="R1598" s="475"/>
      <c r="S1598" s="475"/>
      <c r="T1598" s="475"/>
      <c r="U1598" s="475"/>
      <c r="V1598" s="475"/>
      <c r="W1598" s="475"/>
      <c r="X1598" s="475"/>
      <c r="Y1598" s="475"/>
      <c r="Z1598" s="475"/>
      <c r="AA1598" s="475"/>
      <c r="AB1598" s="475"/>
      <c r="AC1598" s="475"/>
      <c r="AD1598" s="475"/>
      <c r="AE1598" s="475"/>
      <c r="AF1598" s="475"/>
    </row>
    <row r="1599" spans="2:32">
      <c r="B1599" s="471"/>
      <c r="C1599" s="475"/>
      <c r="D1599" s="475"/>
      <c r="E1599" s="475"/>
      <c r="F1599" s="474"/>
      <c r="G1599" s="475"/>
      <c r="H1599" s="474"/>
      <c r="I1599" s="474"/>
      <c r="J1599" s="475"/>
      <c r="K1599" s="475"/>
      <c r="L1599" s="475"/>
      <c r="M1599" s="475"/>
      <c r="N1599" s="475"/>
      <c r="O1599" s="475"/>
      <c r="P1599" s="475"/>
      <c r="Q1599" s="475"/>
      <c r="R1599" s="475"/>
      <c r="S1599" s="475"/>
      <c r="T1599" s="475"/>
      <c r="U1599" s="475"/>
      <c r="V1599" s="475"/>
      <c r="W1599" s="475"/>
      <c r="X1599" s="475"/>
      <c r="Y1599" s="475"/>
      <c r="Z1599" s="475"/>
      <c r="AA1599" s="475"/>
      <c r="AB1599" s="475"/>
      <c r="AC1599" s="475"/>
      <c r="AD1599" s="475"/>
      <c r="AE1599" s="475"/>
      <c r="AF1599" s="475"/>
    </row>
    <row r="1600" spans="2:32">
      <c r="B1600" s="471"/>
      <c r="C1600" s="475"/>
      <c r="D1600" s="475"/>
      <c r="E1600" s="475"/>
      <c r="F1600" s="474"/>
      <c r="G1600" s="475"/>
      <c r="H1600" s="474"/>
      <c r="I1600" s="474"/>
      <c r="J1600" s="475"/>
      <c r="K1600" s="475"/>
      <c r="L1600" s="475"/>
      <c r="M1600" s="475"/>
      <c r="N1600" s="475"/>
      <c r="O1600" s="475"/>
      <c r="P1600" s="475"/>
      <c r="Q1600" s="475"/>
      <c r="R1600" s="475"/>
      <c r="S1600" s="475"/>
      <c r="T1600" s="475"/>
      <c r="U1600" s="475"/>
      <c r="V1600" s="475"/>
      <c r="W1600" s="475"/>
      <c r="X1600" s="475"/>
      <c r="Y1600" s="475"/>
      <c r="Z1600" s="475"/>
      <c r="AA1600" s="475"/>
      <c r="AB1600" s="475"/>
      <c r="AC1600" s="475"/>
      <c r="AD1600" s="475"/>
      <c r="AE1600" s="475"/>
      <c r="AF1600" s="475"/>
    </row>
    <row r="1601" spans="2:32">
      <c r="B1601" s="471"/>
      <c r="C1601" s="475"/>
      <c r="D1601" s="475"/>
      <c r="E1601" s="475"/>
      <c r="F1601" s="474"/>
      <c r="G1601" s="475"/>
      <c r="H1601" s="474"/>
      <c r="I1601" s="474"/>
      <c r="J1601" s="475"/>
      <c r="K1601" s="475"/>
      <c r="L1601" s="475"/>
      <c r="M1601" s="475"/>
      <c r="N1601" s="475"/>
      <c r="O1601" s="475"/>
      <c r="P1601" s="475"/>
      <c r="Q1601" s="475"/>
      <c r="R1601" s="475"/>
      <c r="S1601" s="475"/>
      <c r="T1601" s="475"/>
      <c r="U1601" s="475"/>
      <c r="V1601" s="475"/>
      <c r="W1601" s="475"/>
      <c r="X1601" s="475"/>
      <c r="Y1601" s="475"/>
      <c r="Z1601" s="475"/>
      <c r="AA1601" s="475"/>
      <c r="AB1601" s="475"/>
      <c r="AC1601" s="475"/>
      <c r="AD1601" s="475"/>
      <c r="AE1601" s="475"/>
      <c r="AF1601" s="475"/>
    </row>
    <row r="1602" spans="2:32">
      <c r="B1602" s="471"/>
      <c r="C1602" s="475"/>
      <c r="D1602" s="475"/>
      <c r="E1602" s="475"/>
      <c r="F1602" s="474"/>
      <c r="G1602" s="475"/>
      <c r="H1602" s="474"/>
      <c r="I1602" s="474"/>
      <c r="J1602" s="475"/>
      <c r="K1602" s="475"/>
      <c r="L1602" s="475"/>
      <c r="M1602" s="475"/>
      <c r="N1602" s="475"/>
      <c r="O1602" s="475"/>
      <c r="P1602" s="475"/>
      <c r="Q1602" s="475"/>
      <c r="R1602" s="475"/>
      <c r="S1602" s="475"/>
      <c r="T1602" s="475"/>
      <c r="U1602" s="475"/>
      <c r="V1602" s="475"/>
      <c r="W1602" s="475"/>
      <c r="X1602" s="475"/>
      <c r="Y1602" s="475"/>
      <c r="Z1602" s="475"/>
      <c r="AA1602" s="475"/>
      <c r="AB1602" s="475"/>
      <c r="AC1602" s="475"/>
      <c r="AD1602" s="475"/>
      <c r="AE1602" s="475"/>
      <c r="AF1602" s="475"/>
    </row>
    <row r="1603" spans="2:32">
      <c r="B1603" s="471"/>
      <c r="C1603" s="475"/>
      <c r="D1603" s="475"/>
      <c r="E1603" s="475"/>
      <c r="F1603" s="474"/>
      <c r="G1603" s="475"/>
      <c r="H1603" s="474"/>
      <c r="I1603" s="474"/>
      <c r="J1603" s="475"/>
      <c r="K1603" s="475"/>
      <c r="L1603" s="475"/>
      <c r="M1603" s="475"/>
      <c r="N1603" s="475"/>
      <c r="O1603" s="475"/>
      <c r="P1603" s="475"/>
      <c r="Q1603" s="475"/>
      <c r="R1603" s="475"/>
      <c r="S1603" s="475"/>
      <c r="T1603" s="475"/>
      <c r="U1603" s="475"/>
      <c r="V1603" s="475"/>
      <c r="W1603" s="475"/>
      <c r="X1603" s="475"/>
      <c r="Y1603" s="475"/>
      <c r="Z1603" s="475"/>
      <c r="AA1603" s="475"/>
      <c r="AB1603" s="475"/>
      <c r="AC1603" s="475"/>
      <c r="AD1603" s="475"/>
      <c r="AE1603" s="475"/>
      <c r="AF1603" s="475"/>
    </row>
    <row r="1604" spans="2:32">
      <c r="B1604" s="471"/>
      <c r="C1604" s="475"/>
      <c r="D1604" s="475"/>
      <c r="E1604" s="475"/>
      <c r="F1604" s="474"/>
      <c r="G1604" s="475"/>
      <c r="H1604" s="474"/>
      <c r="I1604" s="474"/>
      <c r="J1604" s="475"/>
      <c r="K1604" s="475"/>
      <c r="L1604" s="475"/>
      <c r="M1604" s="475"/>
      <c r="N1604" s="475"/>
      <c r="O1604" s="475"/>
      <c r="P1604" s="475"/>
      <c r="Q1604" s="475"/>
      <c r="R1604" s="475"/>
      <c r="S1604" s="475"/>
      <c r="T1604" s="475"/>
      <c r="U1604" s="475"/>
      <c r="V1604" s="475"/>
      <c r="W1604" s="475"/>
      <c r="X1604" s="475"/>
      <c r="Y1604" s="475"/>
      <c r="Z1604" s="475"/>
      <c r="AA1604" s="475"/>
      <c r="AB1604" s="475"/>
      <c r="AC1604" s="475"/>
      <c r="AD1604" s="475"/>
      <c r="AE1604" s="475"/>
      <c r="AF1604" s="475"/>
    </row>
    <row r="1605" spans="2:32">
      <c r="B1605" s="471"/>
      <c r="C1605" s="475"/>
      <c r="D1605" s="475"/>
      <c r="E1605" s="475"/>
      <c r="F1605" s="474"/>
      <c r="G1605" s="475"/>
      <c r="H1605" s="474"/>
      <c r="I1605" s="474"/>
      <c r="J1605" s="475"/>
      <c r="K1605" s="475"/>
      <c r="L1605" s="475"/>
      <c r="M1605" s="475"/>
      <c r="N1605" s="475"/>
      <c r="O1605" s="475"/>
      <c r="P1605" s="475"/>
      <c r="Q1605" s="475"/>
      <c r="R1605" s="475"/>
      <c r="S1605" s="475"/>
      <c r="T1605" s="475"/>
      <c r="U1605" s="475"/>
      <c r="V1605" s="475"/>
      <c r="W1605" s="475"/>
      <c r="X1605" s="475"/>
      <c r="Y1605" s="475"/>
      <c r="Z1605" s="475"/>
      <c r="AA1605" s="475"/>
      <c r="AB1605" s="475"/>
      <c r="AC1605" s="475"/>
      <c r="AD1605" s="475"/>
      <c r="AE1605" s="475"/>
      <c r="AF1605" s="475"/>
    </row>
    <row r="1606" spans="2:32">
      <c r="B1606" s="471"/>
      <c r="C1606" s="475"/>
      <c r="D1606" s="475"/>
      <c r="E1606" s="475"/>
      <c r="F1606" s="474"/>
      <c r="G1606" s="475"/>
      <c r="H1606" s="474"/>
      <c r="I1606" s="474"/>
      <c r="J1606" s="475"/>
      <c r="K1606" s="475"/>
      <c r="L1606" s="475"/>
      <c r="M1606" s="475"/>
      <c r="N1606" s="475"/>
      <c r="O1606" s="475"/>
      <c r="P1606" s="475"/>
      <c r="Q1606" s="475"/>
      <c r="R1606" s="475"/>
      <c r="S1606" s="475"/>
      <c r="T1606" s="475"/>
      <c r="U1606" s="475"/>
      <c r="V1606" s="475"/>
      <c r="W1606" s="475"/>
      <c r="X1606" s="475"/>
      <c r="Y1606" s="475"/>
      <c r="Z1606" s="475"/>
      <c r="AA1606" s="475"/>
      <c r="AB1606" s="475"/>
      <c r="AC1606" s="475"/>
      <c r="AD1606" s="475"/>
      <c r="AE1606" s="475"/>
      <c r="AF1606" s="475"/>
    </row>
    <row r="1607" spans="2:32">
      <c r="B1607" s="471"/>
      <c r="C1607" s="475"/>
      <c r="D1607" s="475"/>
      <c r="E1607" s="475"/>
      <c r="F1607" s="474"/>
      <c r="G1607" s="475"/>
      <c r="H1607" s="474"/>
      <c r="I1607" s="474"/>
      <c r="J1607" s="475"/>
      <c r="K1607" s="475"/>
      <c r="L1607" s="475"/>
      <c r="M1607" s="475"/>
      <c r="N1607" s="475"/>
      <c r="O1607" s="475"/>
      <c r="P1607" s="475"/>
      <c r="Q1607" s="475"/>
      <c r="R1607" s="475"/>
      <c r="S1607" s="475"/>
      <c r="T1607" s="475"/>
      <c r="U1607" s="475"/>
      <c r="V1607" s="475"/>
      <c r="W1607" s="475"/>
      <c r="X1607" s="475"/>
      <c r="Y1607" s="475"/>
      <c r="Z1607" s="475"/>
      <c r="AA1607" s="475"/>
      <c r="AB1607" s="475"/>
      <c r="AC1607" s="475"/>
      <c r="AD1607" s="475"/>
      <c r="AE1607" s="475"/>
      <c r="AF1607" s="475"/>
    </row>
    <row r="1608" spans="2:32">
      <c r="B1608" s="471"/>
      <c r="C1608" s="475"/>
      <c r="D1608" s="475"/>
      <c r="E1608" s="475"/>
      <c r="F1608" s="474"/>
      <c r="G1608" s="475"/>
      <c r="H1608" s="474"/>
      <c r="I1608" s="474"/>
      <c r="J1608" s="475"/>
      <c r="K1608" s="475"/>
      <c r="L1608" s="475"/>
      <c r="M1608" s="475"/>
      <c r="N1608" s="475"/>
      <c r="O1608" s="475"/>
      <c r="P1608" s="475"/>
      <c r="Q1608" s="475"/>
      <c r="R1608" s="475"/>
      <c r="S1608" s="475"/>
      <c r="T1608" s="475"/>
      <c r="U1608" s="475"/>
      <c r="V1608" s="475"/>
      <c r="W1608" s="475"/>
      <c r="X1608" s="475"/>
      <c r="Y1608" s="475"/>
      <c r="Z1608" s="475"/>
      <c r="AA1608" s="475"/>
      <c r="AB1608" s="475"/>
      <c r="AC1608" s="475"/>
      <c r="AD1608" s="475"/>
      <c r="AE1608" s="475"/>
      <c r="AF1608" s="475"/>
    </row>
    <row r="1609" spans="2:32">
      <c r="B1609" s="471"/>
      <c r="C1609" s="475"/>
      <c r="D1609" s="475"/>
      <c r="E1609" s="475"/>
      <c r="F1609" s="474"/>
      <c r="G1609" s="475"/>
      <c r="H1609" s="474"/>
      <c r="I1609" s="474"/>
      <c r="J1609" s="475"/>
      <c r="K1609" s="475"/>
      <c r="L1609" s="475"/>
      <c r="M1609" s="475"/>
      <c r="N1609" s="475"/>
      <c r="O1609" s="475"/>
      <c r="P1609" s="475"/>
      <c r="Q1609" s="475"/>
      <c r="R1609" s="475"/>
      <c r="S1609" s="475"/>
      <c r="T1609" s="475"/>
      <c r="U1609" s="475"/>
      <c r="V1609" s="475"/>
      <c r="W1609" s="475"/>
      <c r="X1609" s="475"/>
      <c r="Y1609" s="475"/>
      <c r="Z1609" s="475"/>
      <c r="AA1609" s="475"/>
      <c r="AB1609" s="475"/>
      <c r="AC1609" s="475"/>
      <c r="AD1609" s="475"/>
      <c r="AE1609" s="475"/>
      <c r="AF1609" s="475"/>
    </row>
    <row r="1610" spans="2:32">
      <c r="B1610" s="471"/>
      <c r="C1610" s="475"/>
      <c r="D1610" s="475"/>
      <c r="E1610" s="475"/>
      <c r="F1610" s="474"/>
      <c r="G1610" s="475"/>
      <c r="H1610" s="474"/>
      <c r="I1610" s="474"/>
      <c r="J1610" s="475"/>
      <c r="K1610" s="475"/>
      <c r="L1610" s="475"/>
      <c r="M1610" s="475"/>
      <c r="N1610" s="475"/>
      <c r="O1610" s="475"/>
      <c r="P1610" s="475"/>
      <c r="Q1610" s="475"/>
      <c r="R1610" s="475"/>
      <c r="S1610" s="475"/>
      <c r="T1610" s="475"/>
      <c r="U1610" s="475"/>
      <c r="V1610" s="475"/>
      <c r="W1610" s="475"/>
      <c r="X1610" s="475"/>
      <c r="Y1610" s="475"/>
      <c r="Z1610" s="475"/>
      <c r="AA1610" s="475"/>
      <c r="AB1610" s="475"/>
      <c r="AC1610" s="475"/>
      <c r="AD1610" s="475"/>
      <c r="AE1610" s="475"/>
      <c r="AF1610" s="475"/>
    </row>
    <row r="1611" spans="2:32">
      <c r="B1611" s="471"/>
      <c r="C1611" s="475"/>
      <c r="D1611" s="475"/>
      <c r="E1611" s="475"/>
      <c r="F1611" s="474"/>
      <c r="G1611" s="475"/>
      <c r="H1611" s="474"/>
      <c r="I1611" s="474"/>
      <c r="J1611" s="475"/>
      <c r="K1611" s="475"/>
      <c r="L1611" s="475"/>
      <c r="M1611" s="475"/>
      <c r="N1611" s="475"/>
      <c r="O1611" s="475"/>
      <c r="P1611" s="475"/>
      <c r="Q1611" s="475"/>
      <c r="R1611" s="475"/>
      <c r="S1611" s="475"/>
      <c r="T1611" s="475"/>
      <c r="U1611" s="475"/>
      <c r="V1611" s="475"/>
      <c r="W1611" s="475"/>
      <c r="X1611" s="475"/>
      <c r="Y1611" s="475"/>
      <c r="Z1611" s="475"/>
      <c r="AA1611" s="475"/>
      <c r="AB1611" s="475"/>
      <c r="AC1611" s="475"/>
      <c r="AD1611" s="475"/>
      <c r="AE1611" s="475"/>
      <c r="AF1611" s="475"/>
    </row>
    <row r="1612" spans="2:32">
      <c r="B1612" s="471"/>
      <c r="C1612" s="475"/>
      <c r="D1612" s="475"/>
      <c r="E1612" s="475"/>
      <c r="F1612" s="474"/>
      <c r="G1612" s="475"/>
      <c r="H1612" s="474"/>
      <c r="I1612" s="474"/>
      <c r="J1612" s="475"/>
      <c r="K1612" s="475"/>
      <c r="L1612" s="475"/>
      <c r="M1612" s="475"/>
      <c r="N1612" s="475"/>
      <c r="O1612" s="475"/>
      <c r="P1612" s="475"/>
      <c r="Q1612" s="475"/>
      <c r="R1612" s="475"/>
      <c r="S1612" s="475"/>
      <c r="T1612" s="475"/>
      <c r="U1612" s="475"/>
      <c r="V1612" s="475"/>
      <c r="W1612" s="475"/>
      <c r="X1612" s="475"/>
      <c r="Y1612" s="475"/>
      <c r="Z1612" s="475"/>
      <c r="AA1612" s="475"/>
      <c r="AB1612" s="475"/>
      <c r="AC1612" s="475"/>
      <c r="AD1612" s="475"/>
      <c r="AE1612" s="475"/>
      <c r="AF1612" s="475"/>
    </row>
    <row r="1613" spans="2:32">
      <c r="B1613" s="471"/>
      <c r="C1613" s="475"/>
      <c r="D1613" s="475"/>
      <c r="E1613" s="475"/>
      <c r="F1613" s="474"/>
      <c r="G1613" s="475"/>
      <c r="H1613" s="474"/>
      <c r="I1613" s="474"/>
      <c r="J1613" s="475"/>
      <c r="K1613" s="475"/>
      <c r="L1613" s="475"/>
      <c r="M1613" s="475"/>
      <c r="N1613" s="475"/>
      <c r="O1613" s="475"/>
      <c r="P1613" s="475"/>
      <c r="Q1613" s="475"/>
      <c r="R1613" s="475"/>
      <c r="S1613" s="475"/>
      <c r="T1613" s="475"/>
      <c r="U1613" s="475"/>
      <c r="V1613" s="475"/>
      <c r="W1613" s="475"/>
      <c r="X1613" s="475"/>
      <c r="Y1613" s="475"/>
      <c r="Z1613" s="475"/>
      <c r="AA1613" s="475"/>
      <c r="AB1613" s="475"/>
      <c r="AC1613" s="475"/>
      <c r="AD1613" s="475"/>
      <c r="AE1613" s="475"/>
      <c r="AF1613" s="475"/>
    </row>
    <row r="1614" spans="2:32">
      <c r="B1614" s="471"/>
      <c r="C1614" s="475"/>
      <c r="D1614" s="475"/>
      <c r="E1614" s="475"/>
      <c r="F1614" s="474"/>
      <c r="G1614" s="475"/>
      <c r="H1614" s="474"/>
      <c r="I1614" s="474"/>
      <c r="J1614" s="475"/>
      <c r="K1614" s="475"/>
      <c r="L1614" s="475"/>
      <c r="M1614" s="475"/>
      <c r="N1614" s="475"/>
      <c r="O1614" s="475"/>
      <c r="P1614" s="475"/>
      <c r="Q1614" s="475"/>
      <c r="R1614" s="475"/>
      <c r="S1614" s="475"/>
      <c r="T1614" s="475"/>
      <c r="U1614" s="475"/>
      <c r="V1614" s="475"/>
      <c r="W1614" s="475"/>
      <c r="X1614" s="475"/>
      <c r="Y1614" s="475"/>
      <c r="Z1614" s="475"/>
      <c r="AA1614" s="475"/>
      <c r="AB1614" s="475"/>
      <c r="AC1614" s="475"/>
      <c r="AD1614" s="475"/>
      <c r="AE1614" s="475"/>
      <c r="AF1614" s="475"/>
    </row>
    <row r="1615" spans="2:32">
      <c r="B1615" s="471"/>
      <c r="C1615" s="475"/>
      <c r="D1615" s="475"/>
      <c r="E1615" s="475"/>
      <c r="F1615" s="474"/>
      <c r="G1615" s="475"/>
      <c r="H1615" s="474"/>
      <c r="I1615" s="474"/>
      <c r="J1615" s="475"/>
      <c r="K1615" s="475"/>
      <c r="L1615" s="475"/>
      <c r="M1615" s="475"/>
      <c r="N1615" s="475"/>
      <c r="O1615" s="475"/>
      <c r="P1615" s="475"/>
      <c r="Q1615" s="475"/>
      <c r="R1615" s="475"/>
      <c r="S1615" s="475"/>
      <c r="T1615" s="475"/>
      <c r="U1615" s="475"/>
      <c r="V1615" s="475"/>
      <c r="W1615" s="475"/>
      <c r="X1615" s="475"/>
      <c r="Y1615" s="475"/>
      <c r="Z1615" s="475"/>
      <c r="AA1615" s="475"/>
      <c r="AB1615" s="475"/>
      <c r="AC1615" s="475"/>
      <c r="AD1615" s="475"/>
      <c r="AE1615" s="475"/>
      <c r="AF1615" s="475"/>
    </row>
    <row r="1616" spans="2:32">
      <c r="B1616" s="471"/>
      <c r="C1616" s="475"/>
      <c r="D1616" s="475"/>
      <c r="E1616" s="475"/>
      <c r="F1616" s="474"/>
      <c r="G1616" s="475"/>
      <c r="H1616" s="474"/>
      <c r="I1616" s="474"/>
      <c r="J1616" s="475"/>
      <c r="K1616" s="475"/>
      <c r="L1616" s="475"/>
      <c r="M1616" s="475"/>
      <c r="N1616" s="475"/>
      <c r="O1616" s="475"/>
      <c r="P1616" s="475"/>
      <c r="Q1616" s="475"/>
      <c r="R1616" s="475"/>
      <c r="S1616" s="475"/>
      <c r="T1616" s="475"/>
      <c r="U1616" s="475"/>
      <c r="V1616" s="475"/>
      <c r="W1616" s="475"/>
      <c r="X1616" s="475"/>
      <c r="Y1616" s="475"/>
      <c r="Z1616" s="475"/>
      <c r="AA1616" s="475"/>
      <c r="AB1616" s="475"/>
      <c r="AC1616" s="475"/>
      <c r="AD1616" s="475"/>
      <c r="AE1616" s="475"/>
      <c r="AF1616" s="475"/>
    </row>
    <row r="1617" spans="2:32">
      <c r="B1617" s="471"/>
      <c r="C1617" s="475"/>
      <c r="D1617" s="475"/>
      <c r="E1617" s="475"/>
      <c r="F1617" s="474"/>
      <c r="G1617" s="475"/>
      <c r="H1617" s="474"/>
      <c r="I1617" s="474"/>
      <c r="J1617" s="475"/>
      <c r="K1617" s="475"/>
      <c r="L1617" s="475"/>
      <c r="M1617" s="475"/>
      <c r="N1617" s="475"/>
      <c r="O1617" s="475"/>
      <c r="P1617" s="475"/>
      <c r="Q1617" s="475"/>
      <c r="R1617" s="475"/>
      <c r="S1617" s="475"/>
      <c r="T1617" s="475"/>
      <c r="U1617" s="475"/>
      <c r="V1617" s="475"/>
      <c r="W1617" s="475"/>
      <c r="X1617" s="475"/>
      <c r="Y1617" s="475"/>
      <c r="Z1617" s="475"/>
      <c r="AA1617" s="475"/>
      <c r="AB1617" s="475"/>
      <c r="AC1617" s="475"/>
      <c r="AD1617" s="475"/>
      <c r="AE1617" s="475"/>
      <c r="AF1617" s="475"/>
    </row>
    <row r="1618" spans="2:32">
      <c r="B1618" s="471"/>
      <c r="C1618" s="475"/>
      <c r="D1618" s="475"/>
      <c r="E1618" s="475"/>
      <c r="F1618" s="474"/>
      <c r="G1618" s="475"/>
      <c r="H1618" s="474"/>
      <c r="I1618" s="474"/>
      <c r="J1618" s="475"/>
      <c r="K1618" s="475"/>
      <c r="L1618" s="475"/>
      <c r="M1618" s="475"/>
      <c r="N1618" s="475"/>
      <c r="O1618" s="475"/>
      <c r="P1618" s="475"/>
      <c r="Q1618" s="475"/>
      <c r="R1618" s="475"/>
      <c r="S1618" s="475"/>
      <c r="T1618" s="475"/>
      <c r="U1618" s="475"/>
      <c r="V1618" s="475"/>
      <c r="W1618" s="475"/>
      <c r="X1618" s="475"/>
      <c r="Y1618" s="475"/>
      <c r="Z1618" s="475"/>
      <c r="AA1618" s="475"/>
      <c r="AB1618" s="475"/>
      <c r="AC1618" s="475"/>
      <c r="AD1618" s="475"/>
      <c r="AE1618" s="475"/>
      <c r="AF1618" s="475"/>
    </row>
    <row r="1619" spans="2:32">
      <c r="B1619" s="471"/>
      <c r="C1619" s="475"/>
      <c r="D1619" s="475"/>
      <c r="E1619" s="475"/>
      <c r="F1619" s="474"/>
      <c r="G1619" s="475"/>
      <c r="H1619" s="474"/>
      <c r="I1619" s="474"/>
      <c r="J1619" s="475"/>
      <c r="K1619" s="475"/>
      <c r="L1619" s="475"/>
      <c r="M1619" s="475"/>
      <c r="N1619" s="475"/>
      <c r="O1619" s="475"/>
      <c r="P1619" s="475"/>
      <c r="Q1619" s="475"/>
      <c r="R1619" s="475"/>
      <c r="S1619" s="475"/>
      <c r="T1619" s="475"/>
      <c r="U1619" s="475"/>
      <c r="V1619" s="475"/>
      <c r="W1619" s="475"/>
      <c r="X1619" s="475"/>
      <c r="Y1619" s="475"/>
      <c r="Z1619" s="475"/>
      <c r="AA1619" s="475"/>
      <c r="AB1619" s="475"/>
      <c r="AC1619" s="475"/>
      <c r="AD1619" s="475"/>
      <c r="AE1619" s="475"/>
      <c r="AF1619" s="475"/>
    </row>
    <row r="1620" spans="2:32">
      <c r="B1620" s="471"/>
      <c r="C1620" s="475"/>
      <c r="D1620" s="475"/>
      <c r="E1620" s="475"/>
      <c r="F1620" s="474"/>
      <c r="G1620" s="475"/>
      <c r="H1620" s="474"/>
      <c r="I1620" s="474"/>
      <c r="J1620" s="475"/>
      <c r="K1620" s="475"/>
      <c r="L1620" s="475"/>
      <c r="M1620" s="475"/>
      <c r="N1620" s="475"/>
      <c r="O1620" s="475"/>
      <c r="P1620" s="475"/>
      <c r="Q1620" s="475"/>
      <c r="R1620" s="475"/>
      <c r="S1620" s="475"/>
      <c r="T1620" s="475"/>
      <c r="U1620" s="475"/>
      <c r="V1620" s="475"/>
      <c r="W1620" s="475"/>
      <c r="X1620" s="475"/>
      <c r="Y1620" s="475"/>
      <c r="Z1620" s="475"/>
      <c r="AA1620" s="475"/>
      <c r="AB1620" s="475"/>
      <c r="AC1620" s="475"/>
      <c r="AD1620" s="475"/>
      <c r="AE1620" s="475"/>
      <c r="AF1620" s="475"/>
    </row>
    <row r="1621" spans="2:32">
      <c r="B1621" s="471"/>
      <c r="C1621" s="475"/>
      <c r="D1621" s="475"/>
      <c r="E1621" s="475"/>
      <c r="F1621" s="474"/>
      <c r="G1621" s="475"/>
      <c r="H1621" s="474"/>
      <c r="I1621" s="474"/>
      <c r="J1621" s="475"/>
      <c r="K1621" s="475"/>
      <c r="L1621" s="475"/>
      <c r="M1621" s="475"/>
      <c r="N1621" s="475"/>
      <c r="O1621" s="475"/>
      <c r="P1621" s="475"/>
      <c r="Q1621" s="475"/>
      <c r="R1621" s="475"/>
      <c r="S1621" s="475"/>
      <c r="T1621" s="475"/>
      <c r="U1621" s="475"/>
      <c r="V1621" s="475"/>
      <c r="W1621" s="475"/>
      <c r="X1621" s="475"/>
      <c r="Y1621" s="475"/>
      <c r="Z1621" s="475"/>
      <c r="AA1621" s="475"/>
      <c r="AB1621" s="475"/>
      <c r="AC1621" s="475"/>
      <c r="AD1621" s="475"/>
      <c r="AE1621" s="475"/>
      <c r="AF1621" s="475"/>
    </row>
    <row r="1622" spans="2:32">
      <c r="B1622" s="471"/>
      <c r="C1622" s="475"/>
      <c r="D1622" s="475"/>
      <c r="E1622" s="475"/>
      <c r="F1622" s="474"/>
      <c r="G1622" s="475"/>
      <c r="H1622" s="474"/>
      <c r="I1622" s="474"/>
      <c r="J1622" s="475"/>
      <c r="K1622" s="475"/>
      <c r="L1622" s="475"/>
      <c r="M1622" s="475"/>
      <c r="N1622" s="475"/>
      <c r="O1622" s="475"/>
      <c r="P1622" s="475"/>
      <c r="Q1622" s="475"/>
      <c r="R1622" s="475"/>
      <c r="S1622" s="475"/>
      <c r="T1622" s="475"/>
      <c r="U1622" s="475"/>
      <c r="V1622" s="475"/>
      <c r="W1622" s="475"/>
      <c r="X1622" s="475"/>
      <c r="Y1622" s="475"/>
      <c r="Z1622" s="475"/>
      <c r="AA1622" s="475"/>
      <c r="AB1622" s="475"/>
      <c r="AC1622" s="475"/>
      <c r="AD1622" s="475"/>
      <c r="AE1622" s="475"/>
      <c r="AF1622" s="475"/>
    </row>
    <row r="1623" spans="2:32">
      <c r="B1623" s="471"/>
      <c r="C1623" s="475"/>
      <c r="D1623" s="475"/>
      <c r="E1623" s="475"/>
      <c r="F1623" s="474"/>
      <c r="G1623" s="475"/>
      <c r="H1623" s="474"/>
      <c r="I1623" s="474"/>
      <c r="J1623" s="475"/>
      <c r="K1623" s="475"/>
      <c r="L1623" s="475"/>
      <c r="M1623" s="475"/>
      <c r="N1623" s="475"/>
      <c r="O1623" s="475"/>
      <c r="P1623" s="475"/>
      <c r="Q1623" s="475"/>
      <c r="R1623" s="475"/>
      <c r="S1623" s="475"/>
      <c r="T1623" s="475"/>
      <c r="U1623" s="475"/>
      <c r="V1623" s="475"/>
      <c r="W1623" s="475"/>
      <c r="X1623" s="475"/>
      <c r="Y1623" s="475"/>
      <c r="Z1623" s="475"/>
      <c r="AA1623" s="475"/>
      <c r="AB1623" s="475"/>
      <c r="AC1623" s="475"/>
      <c r="AD1623" s="475"/>
      <c r="AE1623" s="475"/>
      <c r="AF1623" s="475"/>
    </row>
    <row r="1624" spans="2:32">
      <c r="B1624" s="471"/>
      <c r="C1624" s="475"/>
      <c r="D1624" s="475"/>
      <c r="E1624" s="475"/>
      <c r="F1624" s="474"/>
      <c r="G1624" s="475"/>
      <c r="H1624" s="474"/>
      <c r="I1624" s="474"/>
      <c r="J1624" s="475"/>
      <c r="K1624" s="475"/>
      <c r="L1624" s="475"/>
      <c r="M1624" s="475"/>
      <c r="N1624" s="475"/>
      <c r="O1624" s="475"/>
      <c r="P1624" s="475"/>
      <c r="Q1624" s="475"/>
      <c r="R1624" s="475"/>
      <c r="S1624" s="475"/>
      <c r="T1624" s="475"/>
      <c r="U1624" s="475"/>
      <c r="V1624" s="475"/>
      <c r="W1624" s="475"/>
      <c r="X1624" s="475"/>
      <c r="Y1624" s="475"/>
      <c r="Z1624" s="475"/>
      <c r="AA1624" s="475"/>
      <c r="AB1624" s="475"/>
      <c r="AC1624" s="475"/>
      <c r="AD1624" s="475"/>
      <c r="AE1624" s="475"/>
      <c r="AF1624" s="475"/>
    </row>
    <row r="1625" spans="2:32">
      <c r="B1625" s="471"/>
      <c r="C1625" s="475"/>
      <c r="D1625" s="475"/>
      <c r="E1625" s="475"/>
      <c r="F1625" s="474"/>
      <c r="G1625" s="475"/>
      <c r="H1625" s="474"/>
      <c r="I1625" s="474"/>
      <c r="J1625" s="475"/>
      <c r="K1625" s="475"/>
      <c r="L1625" s="475"/>
      <c r="M1625" s="475"/>
      <c r="N1625" s="475"/>
      <c r="O1625" s="475"/>
      <c r="P1625" s="475"/>
      <c r="Q1625" s="475"/>
      <c r="R1625" s="475"/>
      <c r="S1625" s="475"/>
      <c r="T1625" s="475"/>
      <c r="U1625" s="475"/>
      <c r="V1625" s="475"/>
      <c r="W1625" s="475"/>
      <c r="X1625" s="475"/>
      <c r="Y1625" s="475"/>
      <c r="Z1625" s="475"/>
      <c r="AA1625" s="475"/>
      <c r="AB1625" s="475"/>
      <c r="AC1625" s="475"/>
      <c r="AD1625" s="475"/>
      <c r="AE1625" s="475"/>
      <c r="AF1625" s="475"/>
    </row>
    <row r="1626" spans="2:32">
      <c r="B1626" s="471"/>
      <c r="C1626" s="475"/>
      <c r="D1626" s="475"/>
      <c r="E1626" s="475"/>
      <c r="F1626" s="474"/>
      <c r="G1626" s="475"/>
      <c r="H1626" s="474"/>
      <c r="I1626" s="474"/>
      <c r="J1626" s="475"/>
      <c r="K1626" s="475"/>
      <c r="L1626" s="475"/>
      <c r="M1626" s="475"/>
      <c r="N1626" s="475"/>
      <c r="O1626" s="475"/>
      <c r="P1626" s="475"/>
      <c r="Q1626" s="475"/>
      <c r="R1626" s="475"/>
      <c r="S1626" s="475"/>
      <c r="T1626" s="475"/>
      <c r="U1626" s="475"/>
      <c r="V1626" s="475"/>
      <c r="W1626" s="475"/>
      <c r="X1626" s="475"/>
      <c r="Y1626" s="475"/>
      <c r="Z1626" s="475"/>
      <c r="AA1626" s="475"/>
      <c r="AB1626" s="475"/>
      <c r="AC1626" s="475"/>
      <c r="AD1626" s="475"/>
      <c r="AE1626" s="475"/>
      <c r="AF1626" s="475"/>
    </row>
    <row r="1627" spans="2:32">
      <c r="B1627" s="471"/>
      <c r="C1627" s="475"/>
      <c r="D1627" s="475"/>
      <c r="E1627" s="475"/>
      <c r="F1627" s="474"/>
      <c r="G1627" s="475"/>
      <c r="H1627" s="474"/>
      <c r="I1627" s="474"/>
      <c r="J1627" s="475"/>
      <c r="K1627" s="475"/>
      <c r="L1627" s="475"/>
      <c r="M1627" s="475"/>
      <c r="N1627" s="475"/>
      <c r="O1627" s="475"/>
      <c r="P1627" s="475"/>
      <c r="Q1627" s="475"/>
      <c r="R1627" s="475"/>
      <c r="S1627" s="475"/>
      <c r="T1627" s="475"/>
      <c r="U1627" s="475"/>
      <c r="V1627" s="475"/>
      <c r="W1627" s="475"/>
      <c r="X1627" s="475"/>
      <c r="Y1627" s="475"/>
      <c r="Z1627" s="475"/>
      <c r="AA1627" s="475"/>
      <c r="AB1627" s="475"/>
      <c r="AC1627" s="475"/>
      <c r="AD1627" s="475"/>
      <c r="AE1627" s="475"/>
      <c r="AF1627" s="475"/>
    </row>
    <row r="1628" spans="2:32">
      <c r="B1628" s="471"/>
      <c r="C1628" s="475"/>
      <c r="D1628" s="475"/>
      <c r="E1628" s="475"/>
      <c r="F1628" s="474"/>
      <c r="G1628" s="475"/>
      <c r="H1628" s="474"/>
      <c r="I1628" s="474"/>
      <c r="J1628" s="475"/>
      <c r="K1628" s="475"/>
      <c r="L1628" s="475"/>
      <c r="M1628" s="475"/>
      <c r="N1628" s="475"/>
      <c r="O1628" s="475"/>
      <c r="P1628" s="475"/>
      <c r="Q1628" s="475"/>
      <c r="R1628" s="475"/>
      <c r="S1628" s="475"/>
      <c r="T1628" s="475"/>
      <c r="U1628" s="475"/>
      <c r="V1628" s="475"/>
      <c r="W1628" s="475"/>
      <c r="X1628" s="475"/>
      <c r="Y1628" s="475"/>
      <c r="Z1628" s="475"/>
      <c r="AA1628" s="475"/>
      <c r="AB1628" s="475"/>
      <c r="AC1628" s="475"/>
      <c r="AD1628" s="475"/>
      <c r="AE1628" s="475"/>
      <c r="AF1628" s="475"/>
    </row>
    <row r="1629" spans="2:32">
      <c r="B1629" s="471"/>
      <c r="C1629" s="475"/>
      <c r="D1629" s="475"/>
      <c r="E1629" s="475"/>
      <c r="F1629" s="474"/>
      <c r="G1629" s="475"/>
      <c r="H1629" s="474"/>
      <c r="I1629" s="474"/>
      <c r="J1629" s="475"/>
      <c r="K1629" s="475"/>
      <c r="L1629" s="475"/>
      <c r="M1629" s="475"/>
      <c r="N1629" s="475"/>
      <c r="O1629" s="475"/>
      <c r="P1629" s="475"/>
      <c r="Q1629" s="475"/>
      <c r="R1629" s="475"/>
      <c r="S1629" s="475"/>
      <c r="T1629" s="475"/>
      <c r="U1629" s="475"/>
      <c r="V1629" s="475"/>
      <c r="W1629" s="475"/>
      <c r="X1629" s="475"/>
      <c r="Y1629" s="475"/>
      <c r="Z1629" s="475"/>
      <c r="AA1629" s="475"/>
      <c r="AB1629" s="475"/>
      <c r="AC1629" s="475"/>
      <c r="AD1629" s="475"/>
      <c r="AE1629" s="475"/>
      <c r="AF1629" s="475"/>
    </row>
    <row r="1630" spans="2:32">
      <c r="B1630" s="471"/>
      <c r="C1630" s="475"/>
      <c r="D1630" s="475"/>
      <c r="E1630" s="475"/>
      <c r="F1630" s="474"/>
      <c r="G1630" s="475"/>
      <c r="H1630" s="474"/>
      <c r="I1630" s="474"/>
      <c r="J1630" s="475"/>
      <c r="K1630" s="475"/>
      <c r="L1630" s="475"/>
      <c r="M1630" s="475"/>
      <c r="N1630" s="475"/>
      <c r="O1630" s="475"/>
      <c r="P1630" s="475"/>
      <c r="Q1630" s="475"/>
      <c r="R1630" s="475"/>
      <c r="S1630" s="475"/>
      <c r="T1630" s="475"/>
      <c r="U1630" s="475"/>
      <c r="V1630" s="475"/>
      <c r="W1630" s="475"/>
      <c r="X1630" s="475"/>
      <c r="Y1630" s="475"/>
      <c r="Z1630" s="475"/>
      <c r="AA1630" s="475"/>
      <c r="AB1630" s="475"/>
      <c r="AC1630" s="475"/>
      <c r="AD1630" s="475"/>
      <c r="AE1630" s="475"/>
      <c r="AF1630" s="475"/>
    </row>
    <row r="1631" spans="2:32">
      <c r="B1631" s="471"/>
      <c r="C1631" s="475"/>
      <c r="D1631" s="475"/>
      <c r="E1631" s="475"/>
      <c r="F1631" s="474"/>
      <c r="G1631" s="475"/>
      <c r="H1631" s="474"/>
      <c r="I1631" s="474"/>
      <c r="J1631" s="475"/>
      <c r="K1631" s="475"/>
      <c r="L1631" s="475"/>
      <c r="M1631" s="475"/>
      <c r="N1631" s="475"/>
      <c r="O1631" s="475"/>
      <c r="P1631" s="475"/>
      <c r="Q1631" s="475"/>
      <c r="R1631" s="475"/>
      <c r="S1631" s="475"/>
      <c r="T1631" s="475"/>
      <c r="U1631" s="475"/>
      <c r="V1631" s="475"/>
      <c r="W1631" s="475"/>
      <c r="X1631" s="475"/>
      <c r="Y1631" s="475"/>
      <c r="Z1631" s="475"/>
      <c r="AA1631" s="475"/>
      <c r="AB1631" s="475"/>
      <c r="AC1631" s="475"/>
      <c r="AD1631" s="475"/>
      <c r="AE1631" s="475"/>
      <c r="AF1631" s="475"/>
    </row>
    <row r="1632" spans="2:32">
      <c r="B1632" s="471"/>
      <c r="C1632" s="475"/>
      <c r="D1632" s="475"/>
      <c r="E1632" s="475"/>
      <c r="F1632" s="474"/>
      <c r="G1632" s="475"/>
      <c r="H1632" s="474"/>
      <c r="I1632" s="474"/>
      <c r="J1632" s="475"/>
      <c r="K1632" s="475"/>
      <c r="L1632" s="475"/>
      <c r="M1632" s="475"/>
      <c r="N1632" s="475"/>
      <c r="O1632" s="475"/>
      <c r="P1632" s="475"/>
      <c r="Q1632" s="475"/>
      <c r="R1632" s="475"/>
      <c r="S1632" s="475"/>
      <c r="T1632" s="475"/>
      <c r="U1632" s="475"/>
      <c r="V1632" s="475"/>
      <c r="W1632" s="475"/>
      <c r="X1632" s="475"/>
      <c r="Y1632" s="475"/>
      <c r="Z1632" s="475"/>
      <c r="AA1632" s="475"/>
      <c r="AB1632" s="475"/>
      <c r="AC1632" s="475"/>
      <c r="AD1632" s="475"/>
      <c r="AE1632" s="475"/>
      <c r="AF1632" s="475"/>
    </row>
    <row r="1633" spans="2:32">
      <c r="B1633" s="471"/>
      <c r="C1633" s="475"/>
      <c r="D1633" s="475"/>
      <c r="E1633" s="475"/>
      <c r="F1633" s="474"/>
      <c r="G1633" s="475"/>
      <c r="H1633" s="474"/>
      <c r="I1633" s="474"/>
      <c r="J1633" s="475"/>
      <c r="K1633" s="475"/>
      <c r="L1633" s="475"/>
      <c r="M1633" s="475"/>
      <c r="N1633" s="475"/>
      <c r="O1633" s="475"/>
      <c r="P1633" s="475"/>
      <c r="Q1633" s="475"/>
      <c r="R1633" s="475"/>
      <c r="S1633" s="475"/>
      <c r="T1633" s="475"/>
      <c r="U1633" s="475"/>
      <c r="V1633" s="475"/>
      <c r="W1633" s="475"/>
      <c r="X1633" s="475"/>
      <c r="Y1633" s="475"/>
      <c r="Z1633" s="475"/>
      <c r="AA1633" s="475"/>
      <c r="AB1633" s="475"/>
      <c r="AC1633" s="475"/>
      <c r="AD1633" s="475"/>
      <c r="AE1633" s="475"/>
      <c r="AF1633" s="475"/>
    </row>
    <row r="1634" spans="2:32">
      <c r="B1634" s="471"/>
      <c r="C1634" s="475"/>
      <c r="D1634" s="475"/>
      <c r="E1634" s="475"/>
      <c r="F1634" s="474"/>
      <c r="G1634" s="475"/>
      <c r="H1634" s="474"/>
      <c r="I1634" s="474"/>
      <c r="J1634" s="475"/>
      <c r="K1634" s="475"/>
      <c r="L1634" s="475"/>
      <c r="M1634" s="475"/>
      <c r="N1634" s="475"/>
      <c r="O1634" s="475"/>
      <c r="P1634" s="475"/>
      <c r="Q1634" s="475"/>
      <c r="R1634" s="475"/>
      <c r="S1634" s="475"/>
      <c r="T1634" s="475"/>
      <c r="U1634" s="475"/>
      <c r="V1634" s="475"/>
      <c r="W1634" s="475"/>
      <c r="X1634" s="475"/>
      <c r="Y1634" s="475"/>
      <c r="Z1634" s="475"/>
      <c r="AA1634" s="475"/>
      <c r="AB1634" s="475"/>
      <c r="AC1634" s="475"/>
      <c r="AD1634" s="475"/>
      <c r="AE1634" s="475"/>
      <c r="AF1634" s="475"/>
    </row>
    <row r="1635" spans="2:32">
      <c r="B1635" s="471"/>
      <c r="C1635" s="475"/>
      <c r="D1635" s="475"/>
      <c r="E1635" s="475"/>
      <c r="F1635" s="474"/>
      <c r="G1635" s="475"/>
      <c r="H1635" s="474"/>
      <c r="I1635" s="474"/>
      <c r="J1635" s="475"/>
      <c r="K1635" s="475"/>
      <c r="L1635" s="475"/>
      <c r="M1635" s="475"/>
      <c r="N1635" s="475"/>
      <c r="O1635" s="475"/>
      <c r="P1635" s="475"/>
      <c r="Q1635" s="475"/>
      <c r="R1635" s="475"/>
      <c r="S1635" s="475"/>
      <c r="T1635" s="475"/>
      <c r="U1635" s="475"/>
      <c r="V1635" s="475"/>
      <c r="W1635" s="475"/>
      <c r="X1635" s="475"/>
      <c r="Y1635" s="475"/>
      <c r="Z1635" s="475"/>
      <c r="AA1635" s="475"/>
      <c r="AB1635" s="475"/>
      <c r="AC1635" s="475"/>
      <c r="AD1635" s="475"/>
      <c r="AE1635" s="475"/>
      <c r="AF1635" s="475"/>
    </row>
    <row r="1636" spans="2:32">
      <c r="B1636" s="471"/>
      <c r="C1636" s="475"/>
      <c r="D1636" s="475"/>
      <c r="E1636" s="475"/>
      <c r="F1636" s="474"/>
      <c r="G1636" s="475"/>
      <c r="H1636" s="474"/>
      <c r="I1636" s="474"/>
      <c r="J1636" s="475"/>
      <c r="K1636" s="475"/>
      <c r="L1636" s="475"/>
      <c r="M1636" s="475"/>
      <c r="N1636" s="475"/>
      <c r="O1636" s="475"/>
      <c r="P1636" s="475"/>
      <c r="Q1636" s="475"/>
      <c r="R1636" s="475"/>
      <c r="S1636" s="475"/>
      <c r="T1636" s="475"/>
      <c r="U1636" s="475"/>
      <c r="V1636" s="475"/>
      <c r="W1636" s="475"/>
      <c r="X1636" s="475"/>
      <c r="Y1636" s="475"/>
      <c r="Z1636" s="475"/>
      <c r="AA1636" s="475"/>
      <c r="AB1636" s="475"/>
      <c r="AC1636" s="475"/>
      <c r="AD1636" s="475"/>
      <c r="AE1636" s="475"/>
      <c r="AF1636" s="475"/>
    </row>
    <row r="1637" spans="2:32">
      <c r="B1637" s="471"/>
      <c r="C1637" s="475"/>
      <c r="D1637" s="475"/>
      <c r="E1637" s="475"/>
      <c r="F1637" s="474"/>
      <c r="G1637" s="475"/>
      <c r="H1637" s="474"/>
      <c r="I1637" s="474"/>
      <c r="J1637" s="475"/>
      <c r="K1637" s="475"/>
      <c r="L1637" s="475"/>
      <c r="M1637" s="475"/>
      <c r="N1637" s="475"/>
      <c r="O1637" s="475"/>
      <c r="P1637" s="475"/>
      <c r="Q1637" s="475"/>
      <c r="R1637" s="475"/>
      <c r="S1637" s="475"/>
      <c r="T1637" s="475"/>
      <c r="U1637" s="475"/>
      <c r="V1637" s="475"/>
      <c r="W1637" s="475"/>
      <c r="X1637" s="475"/>
      <c r="Y1637" s="475"/>
      <c r="Z1637" s="475"/>
      <c r="AA1637" s="475"/>
      <c r="AB1637" s="475"/>
      <c r="AC1637" s="475"/>
      <c r="AD1637" s="475"/>
      <c r="AE1637" s="475"/>
      <c r="AF1637" s="475"/>
    </row>
    <row r="1638" spans="2:32">
      <c r="B1638" s="471"/>
      <c r="C1638" s="475"/>
      <c r="D1638" s="475"/>
      <c r="E1638" s="475"/>
      <c r="F1638" s="474"/>
      <c r="G1638" s="475"/>
      <c r="H1638" s="474"/>
      <c r="I1638" s="474"/>
      <c r="J1638" s="475"/>
      <c r="K1638" s="475"/>
      <c r="L1638" s="475"/>
      <c r="M1638" s="475"/>
      <c r="N1638" s="475"/>
      <c r="O1638" s="475"/>
      <c r="P1638" s="475"/>
      <c r="Q1638" s="475"/>
      <c r="R1638" s="475"/>
      <c r="S1638" s="475"/>
      <c r="T1638" s="475"/>
      <c r="U1638" s="475"/>
      <c r="V1638" s="475"/>
      <c r="W1638" s="475"/>
      <c r="X1638" s="475"/>
      <c r="Y1638" s="475"/>
      <c r="Z1638" s="475"/>
      <c r="AA1638" s="475"/>
      <c r="AB1638" s="475"/>
      <c r="AC1638" s="475"/>
      <c r="AD1638" s="475"/>
      <c r="AE1638" s="475"/>
      <c r="AF1638" s="475"/>
    </row>
    <row r="1639" spans="2:32">
      <c r="B1639" s="471"/>
      <c r="C1639" s="475"/>
      <c r="D1639" s="475"/>
      <c r="E1639" s="475"/>
      <c r="F1639" s="474"/>
      <c r="G1639" s="475"/>
      <c r="H1639" s="474"/>
      <c r="I1639" s="474"/>
      <c r="J1639" s="475"/>
      <c r="K1639" s="475"/>
      <c r="L1639" s="475"/>
      <c r="M1639" s="475"/>
      <c r="N1639" s="475"/>
      <c r="O1639" s="475"/>
      <c r="P1639" s="475"/>
      <c r="Q1639" s="475"/>
      <c r="R1639" s="475"/>
      <c r="S1639" s="475"/>
      <c r="T1639" s="475"/>
      <c r="U1639" s="475"/>
      <c r="V1639" s="475"/>
      <c r="W1639" s="475"/>
      <c r="X1639" s="475"/>
      <c r="Y1639" s="475"/>
      <c r="Z1639" s="475"/>
      <c r="AA1639" s="475"/>
      <c r="AB1639" s="475"/>
      <c r="AC1639" s="475"/>
      <c r="AD1639" s="475"/>
      <c r="AE1639" s="475"/>
      <c r="AF1639" s="475"/>
    </row>
    <row r="1640" spans="2:32">
      <c r="B1640" s="471"/>
      <c r="C1640" s="475"/>
      <c r="D1640" s="475"/>
      <c r="E1640" s="475"/>
      <c r="F1640" s="474"/>
      <c r="G1640" s="475"/>
      <c r="H1640" s="474"/>
      <c r="I1640" s="474"/>
      <c r="J1640" s="475"/>
      <c r="K1640" s="475"/>
      <c r="L1640" s="475"/>
      <c r="M1640" s="475"/>
      <c r="N1640" s="475"/>
      <c r="O1640" s="475"/>
      <c r="P1640" s="475"/>
      <c r="Q1640" s="475"/>
      <c r="R1640" s="475"/>
      <c r="S1640" s="475"/>
      <c r="T1640" s="475"/>
      <c r="U1640" s="475"/>
      <c r="V1640" s="475"/>
      <c r="W1640" s="475"/>
      <c r="X1640" s="475"/>
      <c r="Y1640" s="475"/>
      <c r="Z1640" s="475"/>
      <c r="AA1640" s="475"/>
      <c r="AB1640" s="475"/>
      <c r="AC1640" s="475"/>
      <c r="AD1640" s="475"/>
      <c r="AE1640" s="475"/>
      <c r="AF1640" s="475"/>
    </row>
    <row r="1641" spans="2:32">
      <c r="B1641" s="471"/>
      <c r="C1641" s="475"/>
      <c r="D1641" s="475"/>
      <c r="E1641" s="475"/>
      <c r="F1641" s="474"/>
      <c r="G1641" s="475"/>
      <c r="H1641" s="474"/>
      <c r="I1641" s="474"/>
      <c r="J1641" s="475"/>
      <c r="K1641" s="475"/>
      <c r="L1641" s="475"/>
      <c r="M1641" s="475"/>
      <c r="N1641" s="475"/>
      <c r="O1641" s="475"/>
      <c r="P1641" s="475"/>
      <c r="Q1641" s="475"/>
      <c r="R1641" s="475"/>
      <c r="S1641" s="475"/>
      <c r="T1641" s="475"/>
      <c r="U1641" s="475"/>
      <c r="V1641" s="475"/>
      <c r="W1641" s="475"/>
      <c r="X1641" s="475"/>
      <c r="Y1641" s="475"/>
      <c r="Z1641" s="475"/>
      <c r="AA1641" s="475"/>
      <c r="AB1641" s="475"/>
      <c r="AC1641" s="475"/>
      <c r="AD1641" s="475"/>
      <c r="AE1641" s="475"/>
      <c r="AF1641" s="475"/>
    </row>
    <row r="1642" spans="2:32">
      <c r="B1642" s="471"/>
      <c r="C1642" s="475"/>
      <c r="D1642" s="475"/>
      <c r="E1642" s="475"/>
      <c r="F1642" s="474"/>
      <c r="G1642" s="475"/>
      <c r="H1642" s="474"/>
      <c r="I1642" s="474"/>
      <c r="J1642" s="475"/>
      <c r="K1642" s="475"/>
      <c r="L1642" s="475"/>
      <c r="M1642" s="475"/>
      <c r="N1642" s="475"/>
      <c r="O1642" s="475"/>
      <c r="P1642" s="475"/>
      <c r="Q1642" s="475"/>
      <c r="R1642" s="475"/>
      <c r="S1642" s="475"/>
      <c r="T1642" s="475"/>
      <c r="U1642" s="475"/>
      <c r="V1642" s="475"/>
      <c r="W1642" s="475"/>
      <c r="X1642" s="475"/>
      <c r="Y1642" s="475"/>
      <c r="Z1642" s="475"/>
      <c r="AA1642" s="475"/>
      <c r="AB1642" s="475"/>
      <c r="AC1642" s="475"/>
      <c r="AD1642" s="475"/>
      <c r="AE1642" s="475"/>
      <c r="AF1642" s="475"/>
    </row>
    <row r="1643" spans="2:32">
      <c r="B1643" s="471"/>
      <c r="C1643" s="475"/>
      <c r="D1643" s="475"/>
      <c r="E1643" s="475"/>
      <c r="F1643" s="474"/>
      <c r="G1643" s="475"/>
      <c r="H1643" s="474"/>
      <c r="I1643" s="474"/>
      <c r="J1643" s="475"/>
      <c r="K1643" s="475"/>
      <c r="L1643" s="475"/>
      <c r="M1643" s="475"/>
      <c r="N1643" s="475"/>
      <c r="O1643" s="475"/>
      <c r="P1643" s="475"/>
      <c r="Q1643" s="475"/>
      <c r="R1643" s="475"/>
      <c r="S1643" s="475"/>
      <c r="T1643" s="475"/>
      <c r="U1643" s="475"/>
      <c r="V1643" s="475"/>
      <c r="W1643" s="475"/>
      <c r="X1643" s="475"/>
      <c r="Y1643" s="475"/>
      <c r="Z1643" s="475"/>
      <c r="AA1643" s="475"/>
      <c r="AB1643" s="475"/>
      <c r="AC1643" s="475"/>
      <c r="AD1643" s="475"/>
      <c r="AE1643" s="475"/>
      <c r="AF1643" s="475"/>
    </row>
    <row r="1644" spans="2:32">
      <c r="B1644" s="471"/>
      <c r="C1644" s="475"/>
      <c r="D1644" s="475"/>
      <c r="E1644" s="475"/>
      <c r="F1644" s="474"/>
      <c r="G1644" s="475"/>
      <c r="H1644" s="474"/>
      <c r="I1644" s="474"/>
      <c r="J1644" s="475"/>
      <c r="K1644" s="475"/>
      <c r="L1644" s="475"/>
      <c r="M1644" s="475"/>
      <c r="N1644" s="475"/>
      <c r="O1644" s="475"/>
      <c r="P1644" s="475"/>
      <c r="Q1644" s="475"/>
      <c r="R1644" s="475"/>
      <c r="S1644" s="475"/>
      <c r="T1644" s="475"/>
      <c r="U1644" s="475"/>
      <c r="V1644" s="475"/>
      <c r="W1644" s="475"/>
      <c r="X1644" s="475"/>
      <c r="Y1644" s="475"/>
      <c r="Z1644" s="475"/>
      <c r="AA1644" s="475"/>
      <c r="AB1644" s="475"/>
      <c r="AC1644" s="475"/>
      <c r="AD1644" s="475"/>
      <c r="AE1644" s="475"/>
      <c r="AF1644" s="475"/>
    </row>
    <row r="1645" spans="2:32">
      <c r="B1645" s="471"/>
      <c r="C1645" s="475"/>
      <c r="D1645" s="475"/>
      <c r="E1645" s="475"/>
      <c r="F1645" s="474"/>
      <c r="G1645" s="475"/>
      <c r="H1645" s="474"/>
      <c r="I1645" s="474"/>
      <c r="J1645" s="475"/>
      <c r="K1645" s="475"/>
      <c r="L1645" s="475"/>
      <c r="M1645" s="475"/>
      <c r="N1645" s="475"/>
      <c r="O1645" s="475"/>
      <c r="P1645" s="475"/>
      <c r="Q1645" s="475"/>
      <c r="R1645" s="475"/>
      <c r="S1645" s="475"/>
      <c r="T1645" s="475"/>
      <c r="U1645" s="475"/>
      <c r="V1645" s="475"/>
      <c r="W1645" s="475"/>
      <c r="X1645" s="475"/>
      <c r="Y1645" s="475"/>
      <c r="Z1645" s="475"/>
      <c r="AA1645" s="475"/>
      <c r="AB1645" s="475"/>
      <c r="AC1645" s="475"/>
      <c r="AD1645" s="475"/>
      <c r="AE1645" s="475"/>
      <c r="AF1645" s="475"/>
    </row>
  </sheetData>
  <pageMargins left="0.75" right="0.75" top="1" bottom="1" header="0.5" footer="0.5"/>
  <pageSetup scale="82" fitToHeight="4" orientation="landscape" r:id="rId1"/>
  <headerFooter alignWithMargins="0"/>
  <rowBreaks count="4" manualBreakCount="4">
    <brk id="26" max="31" man="1"/>
    <brk id="38" max="31" man="1"/>
    <brk id="48" max="16383" man="1"/>
    <brk id="73" max="16383" man="1"/>
  </rowBreaks>
  <colBreaks count="1" manualBreakCount="1">
    <brk id="27" max="104857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H472"/>
  <sheetViews>
    <sheetView showGridLines="0" zoomScale="85" zoomScaleNormal="85" workbookViewId="0">
      <selection activeCell="A10" sqref="A10:XFD10"/>
    </sheetView>
  </sheetViews>
  <sheetFormatPr defaultColWidth="13.85546875" defaultRowHeight="12.75" outlineLevelRow="1"/>
  <cols>
    <col min="1" max="1" width="7.85546875" style="1" customWidth="1"/>
    <col min="2" max="3" width="2.28515625" style="1" customWidth="1"/>
    <col min="4" max="4" width="31.42578125" style="1" customWidth="1"/>
    <col min="5" max="5" width="2.28515625" style="1" customWidth="1"/>
    <col min="6" max="6" width="2.140625" style="1" customWidth="1"/>
    <col min="7" max="7" width="8.7109375" style="59" bestFit="1" customWidth="1"/>
    <col min="8" max="8" width="1.5703125" style="1" customWidth="1"/>
    <col min="9" max="9" width="8" style="59" bestFit="1" customWidth="1"/>
    <col min="10" max="10" width="1.5703125" style="1" customWidth="1"/>
    <col min="11" max="11" width="8" style="59" bestFit="1" customWidth="1"/>
    <col min="12" max="12" width="2" style="1" customWidth="1"/>
    <col min="13" max="13" width="8.7109375" style="59" bestFit="1" customWidth="1"/>
    <col min="14" max="14" width="0.85546875" style="1" customWidth="1"/>
    <col min="15" max="15" width="8.7109375" style="59" bestFit="1" customWidth="1"/>
    <col min="16" max="16" width="1.5703125" style="1" customWidth="1"/>
    <col min="17" max="17" width="8" style="59" bestFit="1" customWidth="1"/>
    <col min="18" max="18" width="2" style="1" customWidth="1"/>
    <col min="19" max="19" width="8" style="59" bestFit="1" customWidth="1"/>
    <col min="20" max="20" width="0.85546875" style="1" customWidth="1"/>
    <col min="21" max="21" width="8" style="59" bestFit="1" customWidth="1"/>
    <col min="22" max="22" width="1.5703125" style="1" customWidth="1"/>
    <col min="23" max="23" width="8" style="59" bestFit="1" customWidth="1"/>
    <col min="24" max="24" width="2" style="1" customWidth="1"/>
    <col min="25" max="25" width="8.7109375" style="59" bestFit="1" customWidth="1"/>
    <col min="26" max="26" width="0.85546875" style="1" customWidth="1"/>
    <col min="27" max="27" width="8.7109375" style="59" bestFit="1" customWidth="1"/>
    <col min="28" max="28" width="1.5703125" style="1" customWidth="1"/>
    <col min="29" max="29" width="8.85546875" style="59" bestFit="1" customWidth="1"/>
    <col min="30" max="30" width="2" style="1" customWidth="1"/>
    <col min="31" max="31" width="10.5703125" style="59" bestFit="1" customWidth="1"/>
    <col min="32" max="32" width="4.5703125" style="1" customWidth="1"/>
    <col min="33" max="33" width="1.42578125" style="1" customWidth="1"/>
    <col min="34" max="16384" width="13.85546875" style="1"/>
  </cols>
  <sheetData>
    <row r="1" spans="1:33" s="13" customFormat="1" ht="15.75">
      <c r="A1" s="12" t="s">
        <v>218</v>
      </c>
      <c r="J1" s="14"/>
      <c r="K1" s="15"/>
      <c r="N1" s="14"/>
      <c r="O1" s="16"/>
      <c r="P1" s="14"/>
      <c r="Q1" s="15"/>
      <c r="V1" s="14"/>
      <c r="W1" s="15"/>
      <c r="AB1" s="14"/>
      <c r="AC1" s="15"/>
      <c r="AE1" s="17"/>
    </row>
    <row r="2" spans="1:33" s="13" customFormat="1" ht="15.75">
      <c r="A2" s="12" t="s">
        <v>372</v>
      </c>
      <c r="K2" s="18"/>
      <c r="N2" s="14"/>
      <c r="O2" s="18"/>
      <c r="Q2" s="18" t="s">
        <v>0</v>
      </c>
      <c r="W2" s="18" t="s">
        <v>0</v>
      </c>
      <c r="AC2" s="18" t="s">
        <v>0</v>
      </c>
    </row>
    <row r="3" spans="1:33" s="13" customFormat="1" ht="15.75">
      <c r="A3" s="152" t="s">
        <v>373</v>
      </c>
    </row>
    <row r="4" spans="1:33" s="13" customFormat="1" ht="15">
      <c r="A4" s="20"/>
      <c r="B4" s="20"/>
      <c r="C4" s="20"/>
      <c r="D4" s="20"/>
      <c r="E4" s="20"/>
      <c r="F4" s="20"/>
      <c r="G4" s="21"/>
      <c r="H4" s="22"/>
      <c r="I4" s="21"/>
      <c r="J4" s="22"/>
      <c r="K4" s="23"/>
      <c r="L4" s="22"/>
      <c r="M4" s="21"/>
      <c r="N4" s="22"/>
      <c r="O4" s="21"/>
      <c r="P4" s="22"/>
      <c r="Q4" s="23"/>
      <c r="R4" s="22"/>
      <c r="S4" s="21"/>
      <c r="T4" s="22"/>
      <c r="U4" s="21"/>
      <c r="V4" s="22"/>
      <c r="W4" s="23"/>
      <c r="X4" s="22"/>
      <c r="Y4" s="21"/>
      <c r="Z4" s="22"/>
      <c r="AA4" s="21"/>
      <c r="AB4" s="22"/>
      <c r="AC4" s="23"/>
      <c r="AD4" s="22"/>
      <c r="AE4" s="21"/>
      <c r="AF4" s="21"/>
    </row>
    <row r="5" spans="1:33" s="13" customFormat="1" ht="15.75" thickBot="1">
      <c r="A5" s="20"/>
      <c r="B5" s="20"/>
      <c r="C5" s="20"/>
      <c r="D5" s="20"/>
      <c r="E5" s="20"/>
      <c r="F5" s="20"/>
      <c r="G5" s="24">
        <v>42098</v>
      </c>
      <c r="H5" s="25"/>
      <c r="I5" s="24">
        <v>42129</v>
      </c>
      <c r="J5" s="25"/>
      <c r="K5" s="24">
        <v>42161</v>
      </c>
      <c r="L5" s="26"/>
      <c r="M5" s="24">
        <v>42192</v>
      </c>
      <c r="N5" s="25"/>
      <c r="O5" s="24">
        <v>42224</v>
      </c>
      <c r="P5" s="25"/>
      <c r="Q5" s="24">
        <v>42256</v>
      </c>
      <c r="R5" s="26"/>
      <c r="S5" s="24">
        <v>42287</v>
      </c>
      <c r="T5" s="25"/>
      <c r="U5" s="24">
        <v>42319</v>
      </c>
      <c r="V5" s="25"/>
      <c r="W5" s="24">
        <v>42350</v>
      </c>
      <c r="X5" s="26"/>
      <c r="Y5" s="24">
        <v>42370</v>
      </c>
      <c r="Z5" s="25"/>
      <c r="AA5" s="24">
        <v>42402</v>
      </c>
      <c r="AB5" s="25"/>
      <c r="AC5" s="24">
        <v>42432</v>
      </c>
      <c r="AD5" s="26"/>
      <c r="AE5" s="27" t="s">
        <v>1</v>
      </c>
      <c r="AF5" s="28"/>
    </row>
    <row r="6" spans="1:33" customFormat="1" ht="15"/>
    <row r="7" spans="1:33" s="6" customFormat="1" ht="4.5" customHeight="1">
      <c r="G7" s="7"/>
      <c r="H7" s="13"/>
      <c r="I7" s="7"/>
      <c r="J7" s="13"/>
      <c r="K7" s="7"/>
      <c r="L7" s="13"/>
      <c r="M7" s="7"/>
      <c r="N7" s="13"/>
      <c r="O7" s="7"/>
      <c r="P7" s="13"/>
      <c r="Q7" s="7"/>
      <c r="R7" s="13"/>
      <c r="S7" s="7"/>
      <c r="T7" s="13"/>
      <c r="U7" s="7"/>
      <c r="V7" s="13"/>
      <c r="W7" s="7"/>
      <c r="X7" s="13"/>
      <c r="Y7" s="7"/>
      <c r="Z7" s="13"/>
      <c r="AA7" s="7"/>
      <c r="AB7" s="13"/>
      <c r="AC7" s="7"/>
      <c r="AD7" s="13"/>
      <c r="AE7" s="7"/>
      <c r="AF7" s="29"/>
      <c r="AG7" s="13"/>
    </row>
    <row r="8" spans="1:33" s="6" customFormat="1" ht="15" outlineLevel="1">
      <c r="G8" s="7"/>
      <c r="H8" s="13"/>
      <c r="I8" s="7"/>
      <c r="J8" s="13"/>
      <c r="K8" s="7"/>
      <c r="L8" s="13"/>
      <c r="M8" s="7"/>
      <c r="N8" s="13"/>
      <c r="O8" s="7"/>
      <c r="P8" s="13"/>
      <c r="Q8" s="7"/>
      <c r="R8" s="13"/>
      <c r="S8" s="7"/>
      <c r="T8" s="13"/>
      <c r="U8" s="7"/>
      <c r="V8" s="13"/>
      <c r="W8" s="7"/>
      <c r="X8" s="13"/>
      <c r="Y8" s="7"/>
      <c r="Z8" s="13"/>
      <c r="AA8" s="7"/>
      <c r="AB8" s="13"/>
      <c r="AC8" s="7"/>
      <c r="AD8" s="13"/>
      <c r="AE8" s="7"/>
      <c r="AF8" s="30"/>
      <c r="AG8" s="13"/>
    </row>
    <row r="9" spans="1:33" outlineLevel="1">
      <c r="A9" s="4">
        <v>31000</v>
      </c>
      <c r="B9" s="4" t="s">
        <v>2</v>
      </c>
      <c r="C9" s="5"/>
      <c r="D9" s="2"/>
      <c r="E9" s="6"/>
      <c r="F9" s="7"/>
      <c r="G9" s="8">
        <v>16573.3</v>
      </c>
      <c r="H9" s="7"/>
      <c r="I9" s="8">
        <v>10991.72</v>
      </c>
      <c r="J9" s="7"/>
      <c r="K9" s="8">
        <v>8068.27</v>
      </c>
      <c r="L9" s="7"/>
      <c r="M9" s="8">
        <v>8162.8</v>
      </c>
      <c r="N9" s="7"/>
      <c r="O9" s="8">
        <v>11165.82</v>
      </c>
      <c r="P9" s="7"/>
      <c r="Q9" s="8">
        <v>11159.4</v>
      </c>
      <c r="R9" s="7"/>
      <c r="S9" s="8">
        <v>10585.3</v>
      </c>
      <c r="T9" s="7"/>
      <c r="U9" s="8">
        <v>6950.88</v>
      </c>
      <c r="V9" s="7"/>
      <c r="W9" s="8">
        <v>10001.98</v>
      </c>
      <c r="X9" s="7"/>
      <c r="Y9" s="8">
        <v>6204.99</v>
      </c>
      <c r="Z9" s="7"/>
      <c r="AA9" s="8">
        <v>9376.6</v>
      </c>
      <c r="AB9" s="7"/>
      <c r="AC9" s="8">
        <v>6739.5</v>
      </c>
      <c r="AD9" s="7"/>
      <c r="AE9" s="8">
        <f t="shared" ref="AE9:AE16" si="0">AC9+AA9+Y9+W9+U9+S9+Q9+O9+M9+K9+I9+G9</f>
        <v>115980.56000000001</v>
      </c>
      <c r="AF9" s="9"/>
      <c r="AG9" s="10"/>
    </row>
    <row r="10" spans="1:33" outlineLevel="1">
      <c r="A10" s="4">
        <v>31005</v>
      </c>
      <c r="B10" s="4" t="s">
        <v>3</v>
      </c>
      <c r="C10" s="5"/>
      <c r="D10" s="2"/>
      <c r="E10" s="6"/>
      <c r="F10" s="7"/>
      <c r="G10" s="8">
        <v>4697.8500000000004</v>
      </c>
      <c r="H10" s="7"/>
      <c r="I10" s="8">
        <v>13880.22</v>
      </c>
      <c r="J10" s="7"/>
      <c r="K10" s="8">
        <v>6714.28</v>
      </c>
      <c r="L10" s="7"/>
      <c r="M10" s="8">
        <v>7903.23</v>
      </c>
      <c r="N10" s="7"/>
      <c r="O10" s="8">
        <v>7658.12</v>
      </c>
      <c r="P10" s="7"/>
      <c r="Q10" s="8">
        <v>6885.74</v>
      </c>
      <c r="R10" s="7"/>
      <c r="S10" s="8">
        <v>8347.91</v>
      </c>
      <c r="T10" s="7"/>
      <c r="U10" s="8">
        <v>5903.41</v>
      </c>
      <c r="V10" s="7"/>
      <c r="W10" s="8">
        <v>8079.36</v>
      </c>
      <c r="X10" s="7"/>
      <c r="Y10" s="8">
        <v>5468.95</v>
      </c>
      <c r="Z10" s="7"/>
      <c r="AA10" s="8">
        <v>12291.5</v>
      </c>
      <c r="AB10" s="7"/>
      <c r="AC10" s="8">
        <v>7967.18</v>
      </c>
      <c r="AD10" s="7"/>
      <c r="AE10" s="8">
        <f t="shared" si="0"/>
        <v>95797.75</v>
      </c>
      <c r="AF10" s="9"/>
      <c r="AG10" s="10"/>
    </row>
    <row r="11" spans="1:33" outlineLevel="1">
      <c r="A11" s="4">
        <v>31010</v>
      </c>
      <c r="B11" s="4" t="s">
        <v>286</v>
      </c>
      <c r="C11" s="5"/>
      <c r="D11" s="2"/>
      <c r="E11" s="6"/>
      <c r="F11" s="7"/>
      <c r="G11" s="8">
        <v>0</v>
      </c>
      <c r="H11" s="7"/>
      <c r="I11" s="8">
        <v>0</v>
      </c>
      <c r="J11" s="7"/>
      <c r="K11" s="8">
        <v>0</v>
      </c>
      <c r="L11" s="7"/>
      <c r="M11" s="8">
        <v>0</v>
      </c>
      <c r="N11" s="7"/>
      <c r="O11" s="8">
        <v>0</v>
      </c>
      <c r="P11" s="7"/>
      <c r="Q11" s="8">
        <v>213.9</v>
      </c>
      <c r="R11" s="7"/>
      <c r="S11" s="8">
        <v>0</v>
      </c>
      <c r="T11" s="7"/>
      <c r="U11" s="8">
        <v>0</v>
      </c>
      <c r="V11" s="7"/>
      <c r="W11" s="8">
        <v>0</v>
      </c>
      <c r="X11" s="7"/>
      <c r="Y11" s="8">
        <v>0</v>
      </c>
      <c r="Z11" s="7"/>
      <c r="AA11" s="8">
        <v>0</v>
      </c>
      <c r="AB11" s="7"/>
      <c r="AC11" s="8">
        <v>0</v>
      </c>
      <c r="AD11" s="7"/>
      <c r="AE11" s="8">
        <f t="shared" si="0"/>
        <v>213.9</v>
      </c>
      <c r="AF11" s="9"/>
      <c r="AG11" s="10"/>
    </row>
    <row r="12" spans="1:33" outlineLevel="1">
      <c r="A12" s="4">
        <v>32000</v>
      </c>
      <c r="B12" s="4" t="s">
        <v>4</v>
      </c>
      <c r="C12" s="5"/>
      <c r="D12" s="2"/>
      <c r="E12" s="6"/>
      <c r="F12" s="7"/>
      <c r="G12" s="8">
        <v>24768.31</v>
      </c>
      <c r="H12" s="7"/>
      <c r="I12" s="8">
        <v>25502.55</v>
      </c>
      <c r="J12" s="7"/>
      <c r="K12" s="8">
        <v>26365.9</v>
      </c>
      <c r="L12" s="7"/>
      <c r="M12" s="8">
        <v>26126.93</v>
      </c>
      <c r="N12" s="7"/>
      <c r="O12" s="8">
        <v>26543.42</v>
      </c>
      <c r="P12" s="7"/>
      <c r="Q12" s="8">
        <v>31135.88</v>
      </c>
      <c r="R12" s="7"/>
      <c r="S12" s="8">
        <v>31305.77</v>
      </c>
      <c r="T12" s="7"/>
      <c r="U12" s="8">
        <v>30971.93</v>
      </c>
      <c r="V12" s="7"/>
      <c r="W12" s="8">
        <v>35065.54</v>
      </c>
      <c r="X12" s="7"/>
      <c r="Y12" s="8">
        <v>32549.360000000001</v>
      </c>
      <c r="Z12" s="7"/>
      <c r="AA12" s="8">
        <v>30876.29</v>
      </c>
      <c r="AB12" s="7"/>
      <c r="AC12" s="8">
        <v>30752.81</v>
      </c>
      <c r="AD12" s="7"/>
      <c r="AE12" s="8">
        <f t="shared" si="0"/>
        <v>351964.69</v>
      </c>
      <c r="AF12" s="9"/>
      <c r="AG12" s="10"/>
    </row>
    <row r="13" spans="1:33" outlineLevel="1">
      <c r="A13" s="4">
        <v>32001</v>
      </c>
      <c r="B13" s="4" t="s">
        <v>5</v>
      </c>
      <c r="C13" s="5"/>
      <c r="D13" s="2"/>
      <c r="E13" s="6"/>
      <c r="F13" s="7"/>
      <c r="G13" s="8">
        <v>2169.9499999999998</v>
      </c>
      <c r="H13" s="7"/>
      <c r="I13" s="8">
        <v>2112.1999999999998</v>
      </c>
      <c r="J13" s="7"/>
      <c r="K13" s="8">
        <v>2474.14</v>
      </c>
      <c r="L13" s="7"/>
      <c r="M13" s="8">
        <v>2632.6</v>
      </c>
      <c r="N13" s="7"/>
      <c r="O13" s="8">
        <v>2377.75</v>
      </c>
      <c r="P13" s="7"/>
      <c r="Q13" s="8">
        <v>2822.12</v>
      </c>
      <c r="R13" s="7"/>
      <c r="S13" s="8">
        <v>2250.98</v>
      </c>
      <c r="T13" s="7"/>
      <c r="U13" s="8">
        <v>2376.17</v>
      </c>
      <c r="V13" s="7"/>
      <c r="W13" s="8">
        <v>1666.86</v>
      </c>
      <c r="X13" s="7"/>
      <c r="Y13" s="8">
        <v>1118.1500000000001</v>
      </c>
      <c r="Z13" s="7"/>
      <c r="AA13" s="8">
        <v>1333.93</v>
      </c>
      <c r="AB13" s="7"/>
      <c r="AC13" s="8">
        <v>1812.43</v>
      </c>
      <c r="AD13" s="7"/>
      <c r="AE13" s="8">
        <f t="shared" si="0"/>
        <v>25147.279999999999</v>
      </c>
      <c r="AF13" s="9"/>
      <c r="AG13" s="10"/>
    </row>
    <row r="14" spans="1:33" outlineLevel="1">
      <c r="A14" s="4">
        <v>32003</v>
      </c>
      <c r="B14" s="4" t="s">
        <v>6</v>
      </c>
      <c r="C14" s="5"/>
      <c r="D14" s="2"/>
      <c r="E14" s="6"/>
      <c r="F14" s="7"/>
      <c r="G14" s="8">
        <v>44.38</v>
      </c>
      <c r="H14" s="7"/>
      <c r="I14" s="8">
        <v>49.55</v>
      </c>
      <c r="J14" s="7"/>
      <c r="K14" s="8">
        <v>6.07</v>
      </c>
      <c r="L14" s="7"/>
      <c r="M14" s="8">
        <v>1079.8399999999999</v>
      </c>
      <c r="N14" s="7"/>
      <c r="O14" s="8">
        <v>1239.8399999999999</v>
      </c>
      <c r="P14" s="7"/>
      <c r="Q14" s="8">
        <v>818.83</v>
      </c>
      <c r="R14" s="7"/>
      <c r="S14" s="8">
        <v>42.18</v>
      </c>
      <c r="T14" s="7"/>
      <c r="U14" s="8">
        <v>0</v>
      </c>
      <c r="V14" s="7"/>
      <c r="W14" s="8">
        <v>0</v>
      </c>
      <c r="X14" s="7"/>
      <c r="Y14" s="8">
        <v>0</v>
      </c>
      <c r="Z14" s="7"/>
      <c r="AA14" s="8">
        <v>0</v>
      </c>
      <c r="AB14" s="7"/>
      <c r="AC14" s="8">
        <v>0</v>
      </c>
      <c r="AD14" s="7"/>
      <c r="AE14" s="8">
        <f t="shared" si="0"/>
        <v>3280.69</v>
      </c>
      <c r="AF14" s="9"/>
      <c r="AG14" s="10"/>
    </row>
    <row r="15" spans="1:33" outlineLevel="1">
      <c r="A15" s="4">
        <v>33000</v>
      </c>
      <c r="B15" s="4" t="s">
        <v>7</v>
      </c>
      <c r="C15" s="5"/>
      <c r="D15" s="2"/>
      <c r="E15" s="6"/>
      <c r="F15" s="7"/>
      <c r="G15" s="8">
        <v>32475.65</v>
      </c>
      <c r="H15" s="7"/>
      <c r="I15" s="8">
        <v>28941.040000000001</v>
      </c>
      <c r="J15" s="7"/>
      <c r="K15" s="8">
        <v>32024.959999999999</v>
      </c>
      <c r="L15" s="7"/>
      <c r="M15" s="8">
        <v>29655.86</v>
      </c>
      <c r="N15" s="7"/>
      <c r="O15" s="8">
        <v>30784.81</v>
      </c>
      <c r="P15" s="7"/>
      <c r="Q15" s="8">
        <v>37035.480000000003</v>
      </c>
      <c r="R15" s="7"/>
      <c r="S15" s="8">
        <v>33858.9</v>
      </c>
      <c r="T15" s="7"/>
      <c r="U15" s="8">
        <v>33411.26</v>
      </c>
      <c r="V15" s="7"/>
      <c r="W15" s="8">
        <v>34876.6</v>
      </c>
      <c r="X15" s="7"/>
      <c r="Y15" s="8">
        <v>31490.59</v>
      </c>
      <c r="Z15" s="7"/>
      <c r="AA15" s="8">
        <v>31859.57</v>
      </c>
      <c r="AB15" s="7"/>
      <c r="AC15" s="8">
        <v>32072.34</v>
      </c>
      <c r="AD15" s="7"/>
      <c r="AE15" s="8">
        <f t="shared" si="0"/>
        <v>388487.06000000006</v>
      </c>
      <c r="AF15" s="9"/>
      <c r="AG15" s="10"/>
    </row>
    <row r="16" spans="1:33" outlineLevel="1">
      <c r="A16" s="4">
        <v>33001</v>
      </c>
      <c r="B16" s="4" t="s">
        <v>8</v>
      </c>
      <c r="C16" s="5"/>
      <c r="D16" s="2"/>
      <c r="E16" s="6"/>
      <c r="F16" s="7"/>
      <c r="G16" s="8">
        <v>850.72</v>
      </c>
      <c r="H16" s="7"/>
      <c r="I16" s="8">
        <v>1008.27</v>
      </c>
      <c r="J16" s="7"/>
      <c r="K16" s="8">
        <v>1062.72</v>
      </c>
      <c r="L16" s="7"/>
      <c r="M16" s="8">
        <v>1975.47</v>
      </c>
      <c r="N16" s="7"/>
      <c r="O16" s="8">
        <v>1137.32</v>
      </c>
      <c r="P16" s="7"/>
      <c r="Q16" s="8">
        <v>1256.26</v>
      </c>
      <c r="R16" s="7"/>
      <c r="S16" s="8">
        <v>1406.94</v>
      </c>
      <c r="T16" s="7"/>
      <c r="U16" s="8">
        <v>1488.51</v>
      </c>
      <c r="V16" s="7"/>
      <c r="W16" s="8">
        <v>1072.8900000000001</v>
      </c>
      <c r="X16" s="7"/>
      <c r="Y16" s="8">
        <v>1025.1400000000001</v>
      </c>
      <c r="Z16" s="7"/>
      <c r="AA16" s="8">
        <v>928.54</v>
      </c>
      <c r="AB16" s="7"/>
      <c r="AC16" s="8">
        <v>997.5</v>
      </c>
      <c r="AD16" s="7"/>
      <c r="AE16" s="8">
        <f t="shared" si="0"/>
        <v>14210.279999999999</v>
      </c>
      <c r="AF16" s="9"/>
      <c r="AG16" s="10"/>
    </row>
    <row r="17" spans="1:33" s="6" customFormat="1" ht="4.5" customHeight="1" outlineLevel="1">
      <c r="G17" s="32"/>
      <c r="H17" s="13"/>
      <c r="I17" s="32"/>
      <c r="J17" s="13"/>
      <c r="K17" s="32"/>
      <c r="L17" s="13"/>
      <c r="M17" s="32"/>
      <c r="N17" s="13"/>
      <c r="O17" s="32"/>
      <c r="P17" s="13"/>
      <c r="Q17" s="32"/>
      <c r="R17" s="13"/>
      <c r="S17" s="32"/>
      <c r="T17" s="13"/>
      <c r="U17" s="32"/>
      <c r="V17" s="13"/>
      <c r="W17" s="32"/>
      <c r="X17" s="13"/>
      <c r="Y17" s="32"/>
      <c r="Z17" s="13"/>
      <c r="AA17" s="32"/>
      <c r="AB17" s="13"/>
      <c r="AC17" s="32"/>
      <c r="AD17" s="13"/>
      <c r="AE17" s="32"/>
      <c r="AF17" s="30"/>
      <c r="AG17" s="13"/>
    </row>
    <row r="18" spans="1:33" s="6" customFormat="1" ht="15">
      <c r="C18" s="6" t="s">
        <v>9</v>
      </c>
      <c r="G18" s="33">
        <f>SUM(G8:G17)</f>
        <v>81580.160000000003</v>
      </c>
      <c r="H18" s="34"/>
      <c r="I18" s="33">
        <f>SUM(I8:I17)</f>
        <v>82485.55</v>
      </c>
      <c r="J18" s="34"/>
      <c r="K18" s="33">
        <f>SUM(K8:K17)</f>
        <v>76716.34</v>
      </c>
      <c r="L18" s="34"/>
      <c r="M18" s="33">
        <f>SUM(M8:M17)</f>
        <v>77536.73</v>
      </c>
      <c r="N18" s="34"/>
      <c r="O18" s="33">
        <f>SUM(O8:O17)</f>
        <v>80907.08</v>
      </c>
      <c r="P18" s="34"/>
      <c r="Q18" s="33">
        <f>SUM(Q8:Q17)</f>
        <v>91327.61</v>
      </c>
      <c r="R18" s="34"/>
      <c r="S18" s="33">
        <f>SUM(S8:S17)</f>
        <v>87797.98000000001</v>
      </c>
      <c r="T18" s="34"/>
      <c r="U18" s="33">
        <f>SUM(U8:U17)</f>
        <v>81102.159999999989</v>
      </c>
      <c r="V18" s="34"/>
      <c r="W18" s="33">
        <f>SUM(W8:W17)</f>
        <v>90763.23</v>
      </c>
      <c r="X18" s="34"/>
      <c r="Y18" s="33">
        <f>SUM(Y8:Y17)</f>
        <v>77857.180000000008</v>
      </c>
      <c r="Z18" s="34"/>
      <c r="AA18" s="33">
        <f>SUM(AA8:AA17)</f>
        <v>86666.43</v>
      </c>
      <c r="AB18" s="34"/>
      <c r="AC18" s="33">
        <f>SUM(AC8:AC17)</f>
        <v>80341.760000000009</v>
      </c>
      <c r="AD18" s="34"/>
      <c r="AE18" s="33">
        <f>SUM(AE8:AE17)</f>
        <v>995082.21000000008</v>
      </c>
      <c r="AF18" s="9"/>
      <c r="AG18" s="13"/>
    </row>
    <row r="19" spans="1:33" s="6" customFormat="1" ht="15" outlineLevel="1">
      <c r="G19" s="35"/>
      <c r="H19" s="34"/>
      <c r="I19" s="35"/>
      <c r="J19" s="34"/>
      <c r="K19" s="35"/>
      <c r="L19" s="34"/>
      <c r="M19" s="35"/>
      <c r="N19" s="34"/>
      <c r="O19" s="35"/>
      <c r="P19" s="34"/>
      <c r="Q19" s="35"/>
      <c r="R19" s="34"/>
      <c r="S19" s="35"/>
      <c r="T19" s="34"/>
      <c r="U19" s="35"/>
      <c r="V19" s="34"/>
      <c r="W19" s="35"/>
      <c r="X19" s="34"/>
      <c r="Y19" s="35"/>
      <c r="Z19" s="34"/>
      <c r="AA19" s="35"/>
      <c r="AB19" s="34"/>
      <c r="AC19" s="35"/>
      <c r="AD19" s="34"/>
      <c r="AE19" s="35"/>
      <c r="AF19" s="30"/>
      <c r="AG19" s="13"/>
    </row>
    <row r="20" spans="1:33" outlineLevel="1">
      <c r="A20" s="4">
        <v>35000</v>
      </c>
      <c r="B20" s="4" t="s">
        <v>10</v>
      </c>
      <c r="C20" s="5"/>
      <c r="D20" s="2"/>
      <c r="E20" s="6"/>
      <c r="F20" s="7"/>
      <c r="G20" s="8">
        <v>371.23</v>
      </c>
      <c r="H20" s="7"/>
      <c r="I20" s="8">
        <v>-371.23</v>
      </c>
      <c r="J20" s="7"/>
      <c r="K20" s="8">
        <v>0</v>
      </c>
      <c r="L20" s="7"/>
      <c r="M20" s="8">
        <v>0</v>
      </c>
      <c r="N20" s="7"/>
      <c r="O20" s="8">
        <v>0</v>
      </c>
      <c r="P20" s="7"/>
      <c r="Q20" s="8">
        <v>0</v>
      </c>
      <c r="R20" s="7"/>
      <c r="S20" s="8">
        <v>0</v>
      </c>
      <c r="T20" s="7"/>
      <c r="U20" s="8">
        <v>0</v>
      </c>
      <c r="V20" s="7"/>
      <c r="W20" s="8">
        <v>0</v>
      </c>
      <c r="X20" s="7"/>
      <c r="Y20" s="8">
        <v>0</v>
      </c>
      <c r="Z20" s="7"/>
      <c r="AA20" s="8">
        <v>0</v>
      </c>
      <c r="AB20" s="7"/>
      <c r="AC20" s="8">
        <v>0</v>
      </c>
      <c r="AD20" s="7"/>
      <c r="AE20" s="8">
        <f>AC20+AA20+Y20+W20+U20+S20+Q20+O20+M20+K20+I20+G20</f>
        <v>0</v>
      </c>
      <c r="AF20" s="9"/>
      <c r="AG20" s="10"/>
    </row>
    <row r="21" spans="1:33" s="6" customFormat="1" ht="5.0999999999999996" customHeight="1" outlineLevel="1">
      <c r="A21" s="5"/>
      <c r="B21" s="5"/>
      <c r="C21" s="5"/>
      <c r="D21" s="5"/>
      <c r="G21" s="36"/>
      <c r="H21" s="34"/>
      <c r="I21" s="36"/>
      <c r="J21" s="34"/>
      <c r="K21" s="36"/>
      <c r="L21" s="34"/>
      <c r="M21" s="36"/>
      <c r="N21" s="34"/>
      <c r="O21" s="36"/>
      <c r="P21" s="34"/>
      <c r="Q21" s="36"/>
      <c r="R21" s="34"/>
      <c r="S21" s="36"/>
      <c r="T21" s="34"/>
      <c r="U21" s="36"/>
      <c r="V21" s="34"/>
      <c r="W21" s="36"/>
      <c r="X21" s="34"/>
      <c r="Y21" s="36"/>
      <c r="Z21" s="34"/>
      <c r="AA21" s="36"/>
      <c r="AB21" s="34"/>
      <c r="AC21" s="36"/>
      <c r="AD21" s="34"/>
      <c r="AE21" s="36"/>
      <c r="AF21" s="30"/>
      <c r="AG21" s="13"/>
    </row>
    <row r="22" spans="1:33" s="6" customFormat="1" ht="15">
      <c r="C22" s="5" t="s">
        <v>11</v>
      </c>
      <c r="G22" s="33">
        <f>SUM(G20:G21)</f>
        <v>371.23</v>
      </c>
      <c r="H22" s="34"/>
      <c r="I22" s="33">
        <f>SUM(I20:I21)</f>
        <v>-371.23</v>
      </c>
      <c r="J22" s="34"/>
      <c r="K22" s="33">
        <f>SUM(K20:K21)</f>
        <v>0</v>
      </c>
      <c r="L22" s="34"/>
      <c r="M22" s="33">
        <f>SUM(M20:M21)</f>
        <v>0</v>
      </c>
      <c r="N22" s="34"/>
      <c r="O22" s="33">
        <f>SUM(O20:O21)</f>
        <v>0</v>
      </c>
      <c r="P22" s="34"/>
      <c r="Q22" s="33">
        <f>SUM(Q20:Q21)</f>
        <v>0</v>
      </c>
      <c r="R22" s="34"/>
      <c r="S22" s="33">
        <f>SUM(S20:S21)</f>
        <v>0</v>
      </c>
      <c r="T22" s="34"/>
      <c r="U22" s="33">
        <f>SUM(U20:U21)</f>
        <v>0</v>
      </c>
      <c r="V22" s="34"/>
      <c r="W22" s="33">
        <f>SUM(W20:W21)</f>
        <v>0</v>
      </c>
      <c r="X22" s="34"/>
      <c r="Y22" s="33">
        <f>SUM(Y20:Y21)</f>
        <v>0</v>
      </c>
      <c r="Z22" s="34"/>
      <c r="AA22" s="33">
        <f>SUM(AA20:AA21)</f>
        <v>0</v>
      </c>
      <c r="AB22" s="34"/>
      <c r="AC22" s="33">
        <f>SUM(AC20:AC21)</f>
        <v>0</v>
      </c>
      <c r="AD22" s="34"/>
      <c r="AE22" s="33">
        <f>SUM(AE20:AE21)</f>
        <v>0</v>
      </c>
      <c r="AF22" s="9"/>
      <c r="AG22" s="13"/>
    </row>
    <row r="23" spans="1:33" s="6" customFormat="1" ht="15" outlineLevel="1">
      <c r="G23" s="35"/>
      <c r="H23" s="34"/>
      <c r="I23" s="35"/>
      <c r="J23" s="34"/>
      <c r="K23" s="35"/>
      <c r="L23" s="34"/>
      <c r="M23" s="35"/>
      <c r="N23" s="34"/>
      <c r="O23" s="35"/>
      <c r="P23" s="34"/>
      <c r="Q23" s="35"/>
      <c r="R23" s="34"/>
      <c r="S23" s="35"/>
      <c r="T23" s="34"/>
      <c r="U23" s="35"/>
      <c r="V23" s="34"/>
      <c r="W23" s="35"/>
      <c r="X23" s="34"/>
      <c r="Y23" s="35"/>
      <c r="Z23" s="34"/>
      <c r="AA23" s="35"/>
      <c r="AB23" s="34"/>
      <c r="AC23" s="35"/>
      <c r="AD23" s="34"/>
      <c r="AE23" s="35"/>
      <c r="AF23" s="30"/>
      <c r="AG23" s="13"/>
    </row>
    <row r="24" spans="1:33" s="6" customFormat="1" ht="15" outlineLevel="1">
      <c r="G24" s="35"/>
      <c r="H24" s="34"/>
      <c r="I24" s="35"/>
      <c r="J24" s="34"/>
      <c r="K24" s="35"/>
      <c r="L24" s="34"/>
      <c r="M24" s="35"/>
      <c r="N24" s="34"/>
      <c r="O24" s="35"/>
      <c r="P24" s="34"/>
      <c r="Q24" s="35"/>
      <c r="R24" s="34"/>
      <c r="S24" s="35"/>
      <c r="T24" s="34"/>
      <c r="U24" s="35"/>
      <c r="V24" s="34"/>
      <c r="W24" s="35"/>
      <c r="X24" s="34"/>
      <c r="Y24" s="35"/>
      <c r="Z24" s="34"/>
      <c r="AA24" s="35"/>
      <c r="AB24" s="34"/>
      <c r="AC24" s="35"/>
      <c r="AD24" s="34"/>
      <c r="AE24" s="35"/>
      <c r="AF24" s="30"/>
      <c r="AG24" s="13"/>
    </row>
    <row r="25" spans="1:33" outlineLevel="1">
      <c r="A25" s="4">
        <v>35510</v>
      </c>
      <c r="B25" s="4" t="s">
        <v>12</v>
      </c>
      <c r="C25" s="5"/>
      <c r="D25" s="2"/>
      <c r="E25" s="6"/>
      <c r="F25" s="7"/>
      <c r="G25" s="8">
        <v>52.92</v>
      </c>
      <c r="H25" s="7"/>
      <c r="I25" s="8">
        <v>-52.92</v>
      </c>
      <c r="J25" s="7"/>
      <c r="K25" s="8">
        <v>0</v>
      </c>
      <c r="L25" s="7"/>
      <c r="M25" s="8">
        <v>0</v>
      </c>
      <c r="N25" s="7"/>
      <c r="O25" s="8">
        <v>0</v>
      </c>
      <c r="P25" s="7"/>
      <c r="Q25" s="8">
        <v>0</v>
      </c>
      <c r="R25" s="7"/>
      <c r="S25" s="8">
        <v>0</v>
      </c>
      <c r="T25" s="7"/>
      <c r="U25" s="8">
        <v>0</v>
      </c>
      <c r="V25" s="7"/>
      <c r="W25" s="8">
        <v>0</v>
      </c>
      <c r="X25" s="7"/>
      <c r="Y25" s="8">
        <v>0</v>
      </c>
      <c r="Z25" s="7"/>
      <c r="AA25" s="8">
        <v>0</v>
      </c>
      <c r="AB25" s="7"/>
      <c r="AC25" s="8">
        <v>0</v>
      </c>
      <c r="AD25" s="7"/>
      <c r="AE25" s="8">
        <f>AC25+AA25+Y25+W25+U25+S25+Q25+O25+M25+K25+I25+G25</f>
        <v>0</v>
      </c>
      <c r="AF25" s="9"/>
      <c r="AG25" s="10"/>
    </row>
    <row r="26" spans="1:33" s="6" customFormat="1" ht="5.0999999999999996" customHeight="1" outlineLevel="1">
      <c r="A26" s="5"/>
      <c r="B26" s="5"/>
      <c r="C26" s="5"/>
      <c r="D26" s="5"/>
      <c r="G26" s="36"/>
      <c r="H26" s="34"/>
      <c r="I26" s="36"/>
      <c r="J26" s="34"/>
      <c r="K26" s="36"/>
      <c r="L26" s="34"/>
      <c r="M26" s="36"/>
      <c r="N26" s="34"/>
      <c r="O26" s="36"/>
      <c r="P26" s="34"/>
      <c r="Q26" s="36"/>
      <c r="R26" s="34"/>
      <c r="S26" s="36"/>
      <c r="T26" s="34"/>
      <c r="U26" s="36"/>
      <c r="V26" s="34"/>
      <c r="W26" s="36"/>
      <c r="X26" s="34"/>
      <c r="Y26" s="36"/>
      <c r="Z26" s="34"/>
      <c r="AA26" s="36"/>
      <c r="AB26" s="34"/>
      <c r="AC26" s="36"/>
      <c r="AD26" s="34"/>
      <c r="AE26" s="36"/>
      <c r="AF26" s="30"/>
      <c r="AG26" s="13"/>
    </row>
    <row r="27" spans="1:33" s="6" customFormat="1" ht="15">
      <c r="C27" s="5" t="s">
        <v>13</v>
      </c>
      <c r="G27" s="33">
        <f>SUM(G24:G26)</f>
        <v>52.92</v>
      </c>
      <c r="H27" s="34"/>
      <c r="I27" s="33">
        <f>SUM(I24:I26)</f>
        <v>-52.92</v>
      </c>
      <c r="J27" s="34"/>
      <c r="K27" s="33">
        <f>SUM(K24:K26)</f>
        <v>0</v>
      </c>
      <c r="L27" s="34"/>
      <c r="M27" s="33">
        <f>SUM(M24:M26)</f>
        <v>0</v>
      </c>
      <c r="N27" s="34"/>
      <c r="O27" s="33">
        <f>SUM(O24:O26)</f>
        <v>0</v>
      </c>
      <c r="P27" s="34"/>
      <c r="Q27" s="33">
        <f>SUM(Q24:Q26)</f>
        <v>0</v>
      </c>
      <c r="R27" s="34"/>
      <c r="S27" s="33">
        <f>SUM(S24:S26)</f>
        <v>0</v>
      </c>
      <c r="T27" s="34"/>
      <c r="U27" s="33">
        <f>SUM(U24:U26)</f>
        <v>0</v>
      </c>
      <c r="V27" s="34"/>
      <c r="W27" s="33">
        <f>SUM(W24:W26)</f>
        <v>0</v>
      </c>
      <c r="X27" s="34"/>
      <c r="Y27" s="33">
        <f>SUM(Y24:Y26)</f>
        <v>0</v>
      </c>
      <c r="Z27" s="34"/>
      <c r="AA27" s="33">
        <f>SUM(AA24:AA26)</f>
        <v>0</v>
      </c>
      <c r="AB27" s="34"/>
      <c r="AC27" s="33">
        <f>SUM(AC24:AC26)</f>
        <v>0</v>
      </c>
      <c r="AD27" s="34"/>
      <c r="AE27" s="33">
        <f>SUM(AE24:AE26)</f>
        <v>0</v>
      </c>
      <c r="AF27" s="9"/>
      <c r="AG27" s="13"/>
    </row>
    <row r="28" spans="1:33" s="6" customFormat="1" ht="15" outlineLevel="1">
      <c r="A28" s="5"/>
      <c r="B28" s="5"/>
      <c r="C28" s="5"/>
      <c r="D28" s="5"/>
      <c r="G28" s="35"/>
      <c r="H28" s="34"/>
      <c r="I28" s="35"/>
      <c r="J28" s="34"/>
      <c r="K28" s="35"/>
      <c r="L28" s="34"/>
      <c r="M28" s="35"/>
      <c r="N28" s="34"/>
      <c r="O28" s="35"/>
      <c r="P28" s="34"/>
      <c r="Q28" s="35"/>
      <c r="R28" s="34"/>
      <c r="S28" s="35"/>
      <c r="T28" s="34"/>
      <c r="U28" s="35"/>
      <c r="V28" s="34"/>
      <c r="W28" s="35"/>
      <c r="X28" s="34"/>
      <c r="Y28" s="35"/>
      <c r="Z28" s="34"/>
      <c r="AA28" s="35"/>
      <c r="AB28" s="34"/>
      <c r="AC28" s="35"/>
      <c r="AD28" s="34"/>
      <c r="AE28" s="35"/>
      <c r="AF28" s="30"/>
      <c r="AG28" s="13"/>
    </row>
    <row r="29" spans="1:33" s="6" customFormat="1" ht="15" outlineLevel="1">
      <c r="G29" s="35"/>
      <c r="H29" s="34"/>
      <c r="I29" s="35"/>
      <c r="J29" s="34"/>
      <c r="K29" s="35"/>
      <c r="L29" s="34"/>
      <c r="M29" s="35"/>
      <c r="N29" s="34"/>
      <c r="O29" s="35"/>
      <c r="P29" s="34"/>
      <c r="Q29" s="35"/>
      <c r="R29" s="34"/>
      <c r="S29" s="35"/>
      <c r="T29" s="34"/>
      <c r="U29" s="35"/>
      <c r="V29" s="34"/>
      <c r="W29" s="35"/>
      <c r="X29" s="34"/>
      <c r="Y29" s="35"/>
      <c r="Z29" s="34"/>
      <c r="AA29" s="35"/>
      <c r="AB29" s="34"/>
      <c r="AC29" s="35"/>
      <c r="AD29" s="34"/>
      <c r="AE29" s="35"/>
      <c r="AF29" s="30"/>
      <c r="AG29" s="13"/>
    </row>
    <row r="30" spans="1:33" customFormat="1" ht="15" outlineLevel="1"/>
    <row r="31" spans="1:33" s="6" customFormat="1" ht="3.75" customHeight="1" outlineLevel="1">
      <c r="A31" s="5"/>
      <c r="B31" s="5"/>
      <c r="C31" s="5"/>
      <c r="D31" s="5"/>
      <c r="G31" s="36"/>
      <c r="H31" s="34"/>
      <c r="I31" s="36"/>
      <c r="J31" s="34"/>
      <c r="K31" s="36"/>
      <c r="L31" s="34"/>
      <c r="M31" s="36"/>
      <c r="N31" s="34"/>
      <c r="O31" s="36"/>
      <c r="P31" s="34"/>
      <c r="Q31" s="36"/>
      <c r="R31" s="34"/>
      <c r="S31" s="36"/>
      <c r="T31" s="34"/>
      <c r="U31" s="36"/>
      <c r="V31" s="34"/>
      <c r="W31" s="36"/>
      <c r="X31" s="34"/>
      <c r="Y31" s="36"/>
      <c r="Z31" s="34"/>
      <c r="AA31" s="36"/>
      <c r="AB31" s="34"/>
      <c r="AC31" s="36"/>
      <c r="AD31" s="34"/>
      <c r="AE31" s="36"/>
      <c r="AF31" s="30"/>
      <c r="AG31" s="13"/>
    </row>
    <row r="32" spans="1:33" s="6" customFormat="1" ht="15">
      <c r="C32" s="5" t="s">
        <v>14</v>
      </c>
      <c r="G32" s="33">
        <f>SUM(G29:G31)</f>
        <v>0</v>
      </c>
      <c r="H32" s="34"/>
      <c r="I32" s="33">
        <f>SUM(I29:I31)</f>
        <v>0</v>
      </c>
      <c r="J32" s="34"/>
      <c r="K32" s="33">
        <f>SUM(K29:K31)</f>
        <v>0</v>
      </c>
      <c r="L32" s="34"/>
      <c r="M32" s="33">
        <f>SUM(M29:M31)</f>
        <v>0</v>
      </c>
      <c r="N32" s="34"/>
      <c r="O32" s="33">
        <f>SUM(O29:O31)</f>
        <v>0</v>
      </c>
      <c r="P32" s="34"/>
      <c r="Q32" s="33">
        <f>SUM(Q29:Q31)</f>
        <v>0</v>
      </c>
      <c r="R32" s="34"/>
      <c r="S32" s="33">
        <f>SUM(S29:S31)</f>
        <v>0</v>
      </c>
      <c r="T32" s="34"/>
      <c r="U32" s="33">
        <f>SUM(U29:U31)</f>
        <v>0</v>
      </c>
      <c r="V32" s="34"/>
      <c r="W32" s="33">
        <f>SUM(W29:W31)</f>
        <v>0</v>
      </c>
      <c r="X32" s="34"/>
      <c r="Y32" s="33">
        <f>SUM(Y29:Y31)</f>
        <v>0</v>
      </c>
      <c r="Z32" s="34"/>
      <c r="AA32" s="33">
        <f>SUM(AA29:AA31)</f>
        <v>0</v>
      </c>
      <c r="AB32" s="34"/>
      <c r="AC32" s="33">
        <f>SUM(AC29:AC31)</f>
        <v>0</v>
      </c>
      <c r="AD32" s="34"/>
      <c r="AE32" s="33">
        <f>SUM(AE29:AE31)</f>
        <v>0</v>
      </c>
      <c r="AF32" s="9"/>
      <c r="AG32" s="13"/>
    </row>
    <row r="33" spans="1:34" s="6" customFormat="1" ht="15" outlineLevel="1">
      <c r="G33" s="35"/>
      <c r="H33" s="34"/>
      <c r="I33" s="35"/>
      <c r="J33" s="34"/>
      <c r="K33" s="35"/>
      <c r="L33" s="34"/>
      <c r="M33" s="35"/>
      <c r="N33" s="34"/>
      <c r="O33" s="35"/>
      <c r="P33" s="34"/>
      <c r="Q33" s="35"/>
      <c r="R33" s="34"/>
      <c r="S33" s="35"/>
      <c r="T33" s="34"/>
      <c r="U33" s="35"/>
      <c r="V33" s="34"/>
      <c r="W33" s="35"/>
      <c r="X33" s="34"/>
      <c r="Y33" s="35"/>
      <c r="Z33" s="34"/>
      <c r="AA33" s="35"/>
      <c r="AB33" s="34"/>
      <c r="AC33" s="35"/>
      <c r="AD33" s="34"/>
      <c r="AE33" s="35"/>
      <c r="AF33" s="30"/>
      <c r="AG33" s="13"/>
    </row>
    <row r="34" spans="1:34" customFormat="1" ht="15" outlineLevel="1"/>
    <row r="35" spans="1:34" s="6" customFormat="1" ht="3.75" customHeight="1" outlineLevel="1">
      <c r="A35" s="5"/>
      <c r="B35" s="5"/>
      <c r="C35" s="5"/>
      <c r="D35" s="5"/>
      <c r="G35" s="36"/>
      <c r="H35" s="34"/>
      <c r="I35" s="36"/>
      <c r="J35" s="34"/>
      <c r="K35" s="36"/>
      <c r="L35" s="34"/>
      <c r="M35" s="36"/>
      <c r="N35" s="34"/>
      <c r="O35" s="36"/>
      <c r="P35" s="34"/>
      <c r="Q35" s="36"/>
      <c r="R35" s="34"/>
      <c r="S35" s="36"/>
      <c r="T35" s="34"/>
      <c r="U35" s="36"/>
      <c r="V35" s="34"/>
      <c r="W35" s="36"/>
      <c r="X35" s="34"/>
      <c r="Y35" s="36"/>
      <c r="Z35" s="34"/>
      <c r="AA35" s="36"/>
      <c r="AB35" s="34"/>
      <c r="AC35" s="36"/>
      <c r="AD35" s="34"/>
      <c r="AE35" s="36"/>
      <c r="AF35" s="30"/>
      <c r="AG35" s="13"/>
    </row>
    <row r="36" spans="1:34" s="6" customFormat="1" ht="15">
      <c r="C36" s="5" t="s">
        <v>15</v>
      </c>
      <c r="G36" s="33">
        <f>SUM(G34:G35)</f>
        <v>0</v>
      </c>
      <c r="H36" s="34"/>
      <c r="I36" s="33">
        <f>SUM(I34:I35)</f>
        <v>0</v>
      </c>
      <c r="J36" s="34"/>
      <c r="K36" s="33">
        <f>SUM(K34:K35)</f>
        <v>0</v>
      </c>
      <c r="L36" s="34"/>
      <c r="M36" s="33">
        <f>SUM(M34:M35)</f>
        <v>0</v>
      </c>
      <c r="N36" s="34"/>
      <c r="O36" s="33">
        <f>SUM(O34:O35)</f>
        <v>0</v>
      </c>
      <c r="P36" s="34"/>
      <c r="Q36" s="33">
        <f>SUM(Q34:Q35)</f>
        <v>0</v>
      </c>
      <c r="R36" s="34"/>
      <c r="S36" s="33">
        <f>SUM(S34:S35)</f>
        <v>0</v>
      </c>
      <c r="T36" s="34"/>
      <c r="U36" s="33">
        <f>SUM(U34:U35)</f>
        <v>0</v>
      </c>
      <c r="V36" s="34"/>
      <c r="W36" s="33">
        <f>SUM(W34:W35)</f>
        <v>0</v>
      </c>
      <c r="X36" s="34"/>
      <c r="Y36" s="33">
        <f>SUM(Y34:Y35)</f>
        <v>0</v>
      </c>
      <c r="Z36" s="34"/>
      <c r="AA36" s="33">
        <f>SUM(AA34:AA35)</f>
        <v>0</v>
      </c>
      <c r="AB36" s="34"/>
      <c r="AC36" s="33">
        <f>SUM(AC34:AC35)</f>
        <v>0</v>
      </c>
      <c r="AD36" s="34"/>
      <c r="AE36" s="33">
        <f>SUM(AE34:AE35)</f>
        <v>0</v>
      </c>
      <c r="AF36" s="9"/>
      <c r="AG36" s="13"/>
    </row>
    <row r="37" spans="1:34" s="6" customFormat="1" ht="15" outlineLevel="1">
      <c r="G37" s="35"/>
      <c r="H37" s="34"/>
      <c r="I37" s="35"/>
      <c r="J37" s="34"/>
      <c r="K37" s="35"/>
      <c r="L37" s="34"/>
      <c r="M37" s="35"/>
      <c r="N37" s="34"/>
      <c r="O37" s="35"/>
      <c r="P37" s="34"/>
      <c r="Q37" s="35"/>
      <c r="R37" s="34"/>
      <c r="S37" s="35"/>
      <c r="T37" s="34"/>
      <c r="U37" s="35"/>
      <c r="V37" s="34"/>
      <c r="W37" s="35"/>
      <c r="X37" s="34"/>
      <c r="Y37" s="35"/>
      <c r="Z37" s="34"/>
      <c r="AA37" s="35"/>
      <c r="AB37" s="34"/>
      <c r="AC37" s="35"/>
      <c r="AD37" s="34"/>
      <c r="AE37" s="35"/>
      <c r="AF37" s="30"/>
      <c r="AG37" s="13"/>
    </row>
    <row r="38" spans="1:34" s="6" customFormat="1" ht="15" outlineLevel="1">
      <c r="G38" s="35"/>
      <c r="H38" s="34"/>
      <c r="I38" s="35"/>
      <c r="J38" s="34"/>
      <c r="K38" s="35"/>
      <c r="L38" s="34"/>
      <c r="M38" s="35"/>
      <c r="N38" s="34"/>
      <c r="O38" s="35"/>
      <c r="P38" s="34"/>
      <c r="Q38" s="35"/>
      <c r="R38" s="34"/>
      <c r="S38" s="35"/>
      <c r="T38" s="34"/>
      <c r="U38" s="35"/>
      <c r="V38" s="34"/>
      <c r="W38" s="35"/>
      <c r="X38" s="34"/>
      <c r="Y38" s="35"/>
      <c r="Z38" s="34"/>
      <c r="AA38" s="35"/>
      <c r="AB38" s="34"/>
      <c r="AC38" s="35"/>
      <c r="AD38" s="34"/>
      <c r="AE38" s="35"/>
      <c r="AF38" s="30"/>
      <c r="AG38" s="13"/>
    </row>
    <row r="39" spans="1:34" outlineLevel="1">
      <c r="A39" s="4">
        <v>38000</v>
      </c>
      <c r="B39" s="4" t="s">
        <v>16</v>
      </c>
      <c r="C39" s="5"/>
      <c r="D39" s="2"/>
      <c r="E39" s="6"/>
      <c r="F39" s="7"/>
      <c r="G39" s="8">
        <v>292.64999999999998</v>
      </c>
      <c r="H39" s="7"/>
      <c r="I39" s="8">
        <v>293.25</v>
      </c>
      <c r="J39" s="7"/>
      <c r="K39" s="8">
        <v>522.80999999999995</v>
      </c>
      <c r="L39" s="7"/>
      <c r="M39" s="8">
        <v>675.48</v>
      </c>
      <c r="N39" s="7"/>
      <c r="O39" s="8">
        <v>507.3</v>
      </c>
      <c r="P39" s="7"/>
      <c r="Q39" s="8">
        <v>488.71</v>
      </c>
      <c r="R39" s="7"/>
      <c r="S39" s="8">
        <v>379.51</v>
      </c>
      <c r="T39" s="7"/>
      <c r="U39" s="8">
        <v>1440.42</v>
      </c>
      <c r="V39" s="7"/>
      <c r="W39" s="8">
        <v>620.32000000000005</v>
      </c>
      <c r="X39" s="7"/>
      <c r="Y39" s="8">
        <v>510.35</v>
      </c>
      <c r="Z39" s="7"/>
      <c r="AA39" s="8">
        <v>663.25</v>
      </c>
      <c r="AB39" s="7"/>
      <c r="AC39" s="8">
        <v>737.08</v>
      </c>
      <c r="AD39" s="7"/>
      <c r="AE39" s="8">
        <f t="shared" ref="AE39:AE40" si="1">AC39+AA39+Y39+W39+U39+S39+Q39+O39+M39+K39+I39+G39</f>
        <v>7131.1299999999992</v>
      </c>
      <c r="AF39" s="9"/>
      <c r="AG39" s="10"/>
    </row>
    <row r="40" spans="1:34" outlineLevel="1">
      <c r="A40" s="4">
        <v>38001</v>
      </c>
      <c r="B40" s="4" t="s">
        <v>17</v>
      </c>
      <c r="C40" s="5"/>
      <c r="D40" s="2"/>
      <c r="E40" s="6"/>
      <c r="F40" s="7"/>
      <c r="G40" s="8">
        <v>-23.74</v>
      </c>
      <c r="H40" s="7"/>
      <c r="I40" s="8">
        <v>30.95</v>
      </c>
      <c r="J40" s="7"/>
      <c r="K40" s="8">
        <v>28.27</v>
      </c>
      <c r="L40" s="7"/>
      <c r="M40" s="8">
        <v>68.040000000000006</v>
      </c>
      <c r="N40" s="7"/>
      <c r="O40" s="8">
        <v>19.71</v>
      </c>
      <c r="P40" s="7"/>
      <c r="Q40" s="8">
        <v>32.840000000000003</v>
      </c>
      <c r="R40" s="7"/>
      <c r="S40" s="8">
        <v>26.19</v>
      </c>
      <c r="T40" s="7"/>
      <c r="U40" s="8">
        <v>2.78</v>
      </c>
      <c r="V40" s="7"/>
      <c r="W40" s="8">
        <v>62.55</v>
      </c>
      <c r="X40" s="7"/>
      <c r="Y40" s="8">
        <v>9.9</v>
      </c>
      <c r="Z40" s="7"/>
      <c r="AA40" s="8">
        <v>12.98</v>
      </c>
      <c r="AB40" s="7"/>
      <c r="AC40" s="8">
        <v>6.68</v>
      </c>
      <c r="AD40" s="7"/>
      <c r="AE40" s="8">
        <f t="shared" si="1"/>
        <v>277.14999999999998</v>
      </c>
      <c r="AF40" s="9"/>
      <c r="AG40" s="10"/>
    </row>
    <row r="41" spans="1:34" s="6" customFormat="1" ht="4.5" customHeight="1" outlineLevel="1">
      <c r="A41" s="37"/>
      <c r="G41" s="36"/>
      <c r="H41" s="34"/>
      <c r="I41" s="36"/>
      <c r="J41" s="34"/>
      <c r="K41" s="36"/>
      <c r="L41" s="34"/>
      <c r="M41" s="36"/>
      <c r="N41" s="34"/>
      <c r="O41" s="36"/>
      <c r="P41" s="34"/>
      <c r="Q41" s="36"/>
      <c r="R41" s="34"/>
      <c r="S41" s="36"/>
      <c r="T41" s="34"/>
      <c r="U41" s="36"/>
      <c r="V41" s="34"/>
      <c r="W41" s="36"/>
      <c r="X41" s="34"/>
      <c r="Y41" s="36"/>
      <c r="Z41" s="34"/>
      <c r="AA41" s="36"/>
      <c r="AB41" s="34"/>
      <c r="AC41" s="36"/>
      <c r="AD41" s="34"/>
      <c r="AE41" s="36"/>
      <c r="AF41" s="30"/>
      <c r="AG41" s="13"/>
    </row>
    <row r="42" spans="1:34" s="6" customFormat="1" ht="15">
      <c r="C42" s="6" t="s">
        <v>18</v>
      </c>
      <c r="G42" s="33">
        <f>SUM(G38:G41)</f>
        <v>268.90999999999997</v>
      </c>
      <c r="H42" s="34"/>
      <c r="I42" s="33">
        <f>SUM(I38:I41)</f>
        <v>324.2</v>
      </c>
      <c r="J42" s="34"/>
      <c r="K42" s="33">
        <f>SUM(K38:K41)</f>
        <v>551.07999999999993</v>
      </c>
      <c r="L42" s="34"/>
      <c r="M42" s="33">
        <f>SUM(M38:M41)</f>
        <v>743.52</v>
      </c>
      <c r="N42" s="34"/>
      <c r="O42" s="33">
        <f>SUM(O38:O41)</f>
        <v>527.01</v>
      </c>
      <c r="P42" s="34"/>
      <c r="Q42" s="33">
        <f>SUM(Q38:Q41)</f>
        <v>521.54999999999995</v>
      </c>
      <c r="R42" s="34"/>
      <c r="S42" s="33">
        <f>SUM(S38:S41)</f>
        <v>405.7</v>
      </c>
      <c r="T42" s="34"/>
      <c r="U42" s="33">
        <f>SUM(U38:U41)</f>
        <v>1443.2</v>
      </c>
      <c r="V42" s="34"/>
      <c r="W42" s="33">
        <f>SUM(W38:W41)</f>
        <v>682.87</v>
      </c>
      <c r="X42" s="34"/>
      <c r="Y42" s="33">
        <f>SUM(Y38:Y41)</f>
        <v>520.25</v>
      </c>
      <c r="Z42" s="34"/>
      <c r="AA42" s="33">
        <f>SUM(AA38:AA41)</f>
        <v>676.23</v>
      </c>
      <c r="AB42" s="34"/>
      <c r="AC42" s="33">
        <f>SUM(AC38:AC41)</f>
        <v>743.76</v>
      </c>
      <c r="AD42" s="34"/>
      <c r="AE42" s="33">
        <f>SUM(AE38:AE41)</f>
        <v>7408.2799999999988</v>
      </c>
      <c r="AF42" s="9"/>
      <c r="AG42" s="13"/>
    </row>
    <row r="43" spans="1:34" s="6" customFormat="1" ht="7.5" customHeight="1">
      <c r="G43" s="35"/>
      <c r="H43" s="34"/>
      <c r="I43" s="35"/>
      <c r="J43" s="34"/>
      <c r="K43" s="35"/>
      <c r="L43" s="34"/>
      <c r="M43" s="35"/>
      <c r="N43" s="34"/>
      <c r="O43" s="35"/>
      <c r="P43" s="34"/>
      <c r="Q43" s="35"/>
      <c r="R43" s="34"/>
      <c r="S43" s="35"/>
      <c r="T43" s="34"/>
      <c r="U43" s="35"/>
      <c r="V43" s="34"/>
      <c r="W43" s="35"/>
      <c r="X43" s="34"/>
      <c r="Y43" s="35"/>
      <c r="Z43" s="34"/>
      <c r="AA43" s="35"/>
      <c r="AB43" s="34"/>
      <c r="AC43" s="35"/>
      <c r="AD43" s="34"/>
      <c r="AE43" s="35"/>
      <c r="AF43" s="30"/>
      <c r="AG43" s="13"/>
    </row>
    <row r="44" spans="1:34" s="6" customFormat="1" ht="15">
      <c r="B44" s="38" t="s">
        <v>19</v>
      </c>
      <c r="G44" s="39">
        <f>+G22+G27+G32+G42+G18+G36</f>
        <v>82273.22</v>
      </c>
      <c r="H44" s="34"/>
      <c r="I44" s="39">
        <f>+I22+I27+I32+I42+I18+I36</f>
        <v>82385.600000000006</v>
      </c>
      <c r="J44" s="34"/>
      <c r="K44" s="39">
        <f>+K22+K27+K32+K42+K18+K36</f>
        <v>77267.42</v>
      </c>
      <c r="L44" s="34"/>
      <c r="M44" s="39">
        <f>+M22+M27+M32+M42+M18+M36</f>
        <v>78280.25</v>
      </c>
      <c r="N44" s="34"/>
      <c r="O44" s="39">
        <f>+O22+O27+O32+O42+O18+O36</f>
        <v>81434.09</v>
      </c>
      <c r="P44" s="34"/>
      <c r="Q44" s="39">
        <f>+Q22+Q27+Q32+Q42+Q18+Q36</f>
        <v>91849.16</v>
      </c>
      <c r="R44" s="34"/>
      <c r="S44" s="39">
        <f>+S22+S27+S32+S42+S18+S36</f>
        <v>88203.680000000008</v>
      </c>
      <c r="T44" s="34"/>
      <c r="U44" s="39">
        <f>+U22+U27+U32+U42+U18+U36</f>
        <v>82545.359999999986</v>
      </c>
      <c r="V44" s="34"/>
      <c r="W44" s="39">
        <f>+W22+W27+W32+W42+W18+W36</f>
        <v>91446.099999999991</v>
      </c>
      <c r="X44" s="34"/>
      <c r="Y44" s="39">
        <f>+Y22+Y27+Y32+Y42+Y18+Y36</f>
        <v>78377.430000000008</v>
      </c>
      <c r="Z44" s="34"/>
      <c r="AA44" s="39">
        <f>+AA22+AA27+AA32+AA42+AA18+AA36</f>
        <v>87342.659999999989</v>
      </c>
      <c r="AB44" s="34"/>
      <c r="AC44" s="39">
        <f>+AC22+AC27+AC32+AC42+AC18+AC36</f>
        <v>81085.52</v>
      </c>
      <c r="AD44" s="34"/>
      <c r="AE44" s="39">
        <f>+AE22+AE27+AE32+AE42+AE18+AE36</f>
        <v>1002490.4900000001</v>
      </c>
      <c r="AF44" s="9"/>
      <c r="AG44" s="13"/>
      <c r="AH44" s="147"/>
    </row>
    <row r="45" spans="1:34" s="6" customFormat="1" ht="7.5" customHeight="1">
      <c r="G45" s="35"/>
      <c r="H45" s="34"/>
      <c r="I45" s="35"/>
      <c r="J45" s="34"/>
      <c r="K45" s="35"/>
      <c r="L45" s="34"/>
      <c r="M45" s="35"/>
      <c r="N45" s="34"/>
      <c r="O45" s="35"/>
      <c r="P45" s="34"/>
      <c r="Q45" s="35"/>
      <c r="R45" s="34"/>
      <c r="S45" s="35"/>
      <c r="T45" s="34"/>
      <c r="U45" s="35"/>
      <c r="V45" s="34"/>
      <c r="W45" s="35"/>
      <c r="X45" s="34"/>
      <c r="Y45" s="35"/>
      <c r="Z45" s="34"/>
      <c r="AA45" s="35"/>
      <c r="AB45" s="34"/>
      <c r="AC45" s="35"/>
      <c r="AD45" s="34"/>
      <c r="AE45" s="35"/>
      <c r="AF45" s="30"/>
      <c r="AG45" s="13"/>
    </row>
    <row r="46" spans="1:34" s="6" customFormat="1" ht="15" outlineLevel="1">
      <c r="G46" s="35"/>
      <c r="H46" s="34"/>
      <c r="I46" s="35"/>
      <c r="J46" s="34"/>
      <c r="K46" s="35"/>
      <c r="L46" s="34"/>
      <c r="M46" s="35"/>
      <c r="N46" s="34"/>
      <c r="O46" s="35"/>
      <c r="P46" s="34"/>
      <c r="Q46" s="35"/>
      <c r="R46" s="34"/>
      <c r="S46" s="35"/>
      <c r="T46" s="34"/>
      <c r="U46" s="35"/>
      <c r="V46" s="34"/>
      <c r="W46" s="35"/>
      <c r="X46" s="34"/>
      <c r="Y46" s="35"/>
      <c r="Z46" s="34"/>
      <c r="AA46" s="35"/>
      <c r="AB46" s="34"/>
      <c r="AC46" s="35"/>
      <c r="AD46" s="34"/>
      <c r="AE46" s="35"/>
      <c r="AF46" s="30"/>
      <c r="AG46" s="13"/>
    </row>
    <row r="47" spans="1:34" outlineLevel="1">
      <c r="A47" s="4">
        <v>40101</v>
      </c>
      <c r="B47" s="4" t="s">
        <v>20</v>
      </c>
      <c r="C47" s="5"/>
      <c r="D47" s="2"/>
      <c r="E47" s="6"/>
      <c r="F47" s="7"/>
      <c r="G47" s="8">
        <v>26213.59</v>
      </c>
      <c r="H47" s="7"/>
      <c r="I47" s="8">
        <v>27765.49</v>
      </c>
      <c r="J47" s="7"/>
      <c r="K47" s="8">
        <v>21272.19</v>
      </c>
      <c r="L47" s="7"/>
      <c r="M47" s="8">
        <v>23659</v>
      </c>
      <c r="N47" s="7"/>
      <c r="O47" s="8">
        <v>22528.17</v>
      </c>
      <c r="P47" s="7"/>
      <c r="Q47" s="8">
        <v>22337.78</v>
      </c>
      <c r="R47" s="7"/>
      <c r="S47" s="8">
        <v>21365.119999999999</v>
      </c>
      <c r="T47" s="7"/>
      <c r="U47" s="8">
        <v>19878.47</v>
      </c>
      <c r="V47" s="7"/>
      <c r="W47" s="8">
        <v>22459.61</v>
      </c>
      <c r="X47" s="7"/>
      <c r="Y47" s="8">
        <v>19290.48</v>
      </c>
      <c r="Z47" s="7"/>
      <c r="AA47" s="8">
        <v>30670.92</v>
      </c>
      <c r="AB47" s="7"/>
      <c r="AC47" s="8">
        <v>19781.39</v>
      </c>
      <c r="AD47" s="7"/>
      <c r="AE47" s="8">
        <f>AC47+AA47+Y47+W47+U47+S47+Q47+O47+M47+K47+I47+G47</f>
        <v>277222.21000000002</v>
      </c>
      <c r="AF47" s="9"/>
      <c r="AG47" s="10"/>
    </row>
    <row r="48" spans="1:34" s="6" customFormat="1" ht="5.0999999999999996" customHeight="1" outlineLevel="1">
      <c r="A48" s="5"/>
      <c r="B48" s="5"/>
      <c r="C48" s="5"/>
      <c r="D48" s="5"/>
      <c r="G48" s="36"/>
      <c r="H48" s="34"/>
      <c r="I48" s="36"/>
      <c r="J48" s="34"/>
      <c r="K48" s="36"/>
      <c r="L48" s="34"/>
      <c r="M48" s="36"/>
      <c r="N48" s="34"/>
      <c r="O48" s="36"/>
      <c r="P48" s="34"/>
      <c r="Q48" s="36"/>
      <c r="R48" s="34"/>
      <c r="S48" s="36"/>
      <c r="T48" s="34"/>
      <c r="U48" s="36"/>
      <c r="V48" s="34"/>
      <c r="W48" s="36"/>
      <c r="X48" s="34"/>
      <c r="Y48" s="36"/>
      <c r="Z48" s="34"/>
      <c r="AA48" s="36"/>
      <c r="AB48" s="34"/>
      <c r="AC48" s="36"/>
      <c r="AD48" s="34"/>
      <c r="AE48" s="36"/>
      <c r="AF48" s="30"/>
      <c r="AG48" s="13"/>
    </row>
    <row r="49" spans="1:33" s="6" customFormat="1" ht="15">
      <c r="C49" s="5" t="s">
        <v>21</v>
      </c>
      <c r="G49" s="33">
        <f>SUM(G46:G48)</f>
        <v>26213.59</v>
      </c>
      <c r="H49" s="34"/>
      <c r="I49" s="33">
        <f>SUM(I46:I48)</f>
        <v>27765.49</v>
      </c>
      <c r="J49" s="34"/>
      <c r="K49" s="33">
        <f>SUM(K46:K48)</f>
        <v>21272.19</v>
      </c>
      <c r="L49" s="34"/>
      <c r="M49" s="33">
        <f>SUM(M46:M48)</f>
        <v>23659</v>
      </c>
      <c r="N49" s="34"/>
      <c r="O49" s="33">
        <f>SUM(O46:O48)</f>
        <v>22528.17</v>
      </c>
      <c r="P49" s="34"/>
      <c r="Q49" s="33">
        <f>SUM(Q46:Q48)</f>
        <v>22337.78</v>
      </c>
      <c r="R49" s="34"/>
      <c r="S49" s="33">
        <f>SUM(S46:S48)</f>
        <v>21365.119999999999</v>
      </c>
      <c r="T49" s="34"/>
      <c r="U49" s="33">
        <f>SUM(U46:U48)</f>
        <v>19878.47</v>
      </c>
      <c r="V49" s="34"/>
      <c r="W49" s="33">
        <f>SUM(W46:W48)</f>
        <v>22459.61</v>
      </c>
      <c r="X49" s="34"/>
      <c r="Y49" s="33">
        <f>SUM(Y46:Y48)</f>
        <v>19290.48</v>
      </c>
      <c r="Z49" s="34"/>
      <c r="AA49" s="33">
        <f>SUM(AA46:AA48)</f>
        <v>30670.92</v>
      </c>
      <c r="AB49" s="34"/>
      <c r="AC49" s="33">
        <f>SUM(AC46:AC48)</f>
        <v>19781.39</v>
      </c>
      <c r="AD49" s="34"/>
      <c r="AE49" s="33">
        <f>SUM(AE46:AE48)</f>
        <v>277222.21000000002</v>
      </c>
      <c r="AF49" s="9"/>
      <c r="AG49" s="13"/>
    </row>
    <row r="50" spans="1:33" s="6" customFormat="1" ht="15" outlineLevel="1">
      <c r="G50" s="35"/>
      <c r="H50" s="34"/>
      <c r="I50" s="35"/>
      <c r="J50" s="34"/>
      <c r="K50" s="35"/>
      <c r="L50" s="34"/>
      <c r="M50" s="35"/>
      <c r="N50" s="34"/>
      <c r="O50" s="35"/>
      <c r="P50" s="34"/>
      <c r="Q50" s="35"/>
      <c r="R50" s="34"/>
      <c r="S50" s="35"/>
      <c r="T50" s="34"/>
      <c r="U50" s="35"/>
      <c r="V50" s="34"/>
      <c r="W50" s="35"/>
      <c r="X50" s="34"/>
      <c r="Y50" s="35"/>
      <c r="Z50" s="34"/>
      <c r="AA50" s="35"/>
      <c r="AB50" s="34"/>
      <c r="AC50" s="35"/>
      <c r="AD50" s="34"/>
      <c r="AE50" s="35"/>
      <c r="AF50" s="30"/>
      <c r="AG50" s="13"/>
    </row>
    <row r="51" spans="1:33" outlineLevel="1">
      <c r="A51" s="4"/>
      <c r="B51" s="4"/>
      <c r="C51" s="5"/>
      <c r="D51" s="2"/>
      <c r="E51" s="6"/>
      <c r="F51" s="7"/>
      <c r="G51" s="8"/>
      <c r="H51" s="7"/>
      <c r="I51" s="8"/>
      <c r="J51" s="7"/>
      <c r="K51" s="8"/>
      <c r="L51" s="7"/>
      <c r="M51" s="8"/>
      <c r="N51" s="7"/>
      <c r="O51" s="8"/>
      <c r="P51" s="7"/>
      <c r="Q51" s="8"/>
      <c r="R51" s="7"/>
      <c r="S51" s="8"/>
      <c r="T51" s="7"/>
      <c r="U51" s="8"/>
      <c r="V51" s="7"/>
      <c r="W51" s="8"/>
      <c r="X51" s="7"/>
      <c r="Y51" s="8"/>
      <c r="Z51" s="7"/>
      <c r="AA51" s="8"/>
      <c r="AB51" s="7"/>
      <c r="AC51" s="8"/>
      <c r="AD51" s="7"/>
      <c r="AE51" s="8"/>
      <c r="AF51" s="9"/>
      <c r="AG51" s="10"/>
    </row>
    <row r="52" spans="1:33" s="6" customFormat="1" ht="4.5" customHeight="1" outlineLevel="1">
      <c r="A52" s="37"/>
      <c r="G52" s="36"/>
      <c r="H52" s="34"/>
      <c r="I52" s="36"/>
      <c r="J52" s="34"/>
      <c r="K52" s="36"/>
      <c r="L52" s="34"/>
      <c r="M52" s="36"/>
      <c r="N52" s="34"/>
      <c r="O52" s="36"/>
      <c r="P52" s="34"/>
      <c r="Q52" s="36"/>
      <c r="R52" s="34"/>
      <c r="S52" s="36"/>
      <c r="T52" s="34"/>
      <c r="U52" s="36"/>
      <c r="V52" s="34"/>
      <c r="W52" s="36"/>
      <c r="X52" s="34"/>
      <c r="Y52" s="36"/>
      <c r="Z52" s="34"/>
      <c r="AA52" s="36"/>
      <c r="AB52" s="34"/>
      <c r="AC52" s="36"/>
      <c r="AD52" s="34"/>
      <c r="AE52" s="36"/>
      <c r="AF52" s="30"/>
      <c r="AG52" s="13"/>
    </row>
    <row r="53" spans="1:33" s="6" customFormat="1" ht="15">
      <c r="C53" s="6" t="s">
        <v>22</v>
      </c>
      <c r="G53" s="33">
        <f>SUM(G51:G52)</f>
        <v>0</v>
      </c>
      <c r="H53" s="34"/>
      <c r="I53" s="33">
        <f>SUM(I51:I52)</f>
        <v>0</v>
      </c>
      <c r="J53" s="34"/>
      <c r="K53" s="33">
        <f>SUM(K51:K52)</f>
        <v>0</v>
      </c>
      <c r="L53" s="34"/>
      <c r="M53" s="33">
        <f>SUM(M51:M52)</f>
        <v>0</v>
      </c>
      <c r="N53" s="34"/>
      <c r="O53" s="33">
        <f>SUM(O51:O52)</f>
        <v>0</v>
      </c>
      <c r="P53" s="34"/>
      <c r="Q53" s="33">
        <f>SUM(Q51:Q52)</f>
        <v>0</v>
      </c>
      <c r="R53" s="34"/>
      <c r="S53" s="33">
        <f>SUM(S51:S52)</f>
        <v>0</v>
      </c>
      <c r="T53" s="34"/>
      <c r="U53" s="33">
        <f>SUM(U51:U52)</f>
        <v>0</v>
      </c>
      <c r="V53" s="34"/>
      <c r="W53" s="33">
        <f>SUM(W51:W52)</f>
        <v>0</v>
      </c>
      <c r="X53" s="34"/>
      <c r="Y53" s="33">
        <f>SUM(Y51:Y52)</f>
        <v>0</v>
      </c>
      <c r="Z53" s="34"/>
      <c r="AA53" s="33">
        <f>SUM(AA51:AA52)</f>
        <v>0</v>
      </c>
      <c r="AB53" s="34"/>
      <c r="AC53" s="33">
        <f>SUM(AC51:AC52)</f>
        <v>0</v>
      </c>
      <c r="AD53" s="34"/>
      <c r="AE53" s="33">
        <f>SUM(AE51:AE52)</f>
        <v>0</v>
      </c>
      <c r="AF53" s="9"/>
      <c r="AG53" s="13"/>
    </row>
    <row r="54" spans="1:33" s="6" customFormat="1" ht="15" outlineLevel="1">
      <c r="G54" s="35"/>
      <c r="H54" s="34"/>
      <c r="I54" s="35"/>
      <c r="J54" s="34"/>
      <c r="K54" s="35"/>
      <c r="L54" s="34"/>
      <c r="M54" s="35"/>
      <c r="N54" s="34"/>
      <c r="O54" s="35"/>
      <c r="P54" s="34"/>
      <c r="Q54" s="35"/>
      <c r="R54" s="34"/>
      <c r="S54" s="35"/>
      <c r="T54" s="34"/>
      <c r="U54" s="35"/>
      <c r="V54" s="34"/>
      <c r="W54" s="35"/>
      <c r="X54" s="34"/>
      <c r="Y54" s="35"/>
      <c r="Z54" s="34"/>
      <c r="AA54" s="35"/>
      <c r="AB54" s="34"/>
      <c r="AC54" s="35"/>
      <c r="AD54" s="34"/>
      <c r="AE54" s="35"/>
      <c r="AF54" s="30"/>
      <c r="AG54" s="13"/>
    </row>
    <row r="55" spans="1:33" s="6" customFormat="1" ht="15" outlineLevel="1">
      <c r="G55" s="35"/>
      <c r="H55" s="34"/>
      <c r="I55" s="35"/>
      <c r="J55" s="34"/>
      <c r="K55" s="35"/>
      <c r="L55" s="34"/>
      <c r="M55" s="35"/>
      <c r="N55" s="34"/>
      <c r="O55" s="35"/>
      <c r="P55" s="34"/>
      <c r="Q55" s="35"/>
      <c r="R55" s="34"/>
      <c r="S55" s="35"/>
      <c r="T55" s="34"/>
      <c r="U55" s="35"/>
      <c r="V55" s="34"/>
      <c r="W55" s="35"/>
      <c r="X55" s="34"/>
      <c r="Y55" s="35"/>
      <c r="Z55" s="34"/>
      <c r="AA55" s="35"/>
      <c r="AB55" s="34"/>
      <c r="AC55" s="35"/>
      <c r="AD55" s="34"/>
      <c r="AE55" s="35"/>
      <c r="AF55" s="30"/>
      <c r="AG55" s="13"/>
    </row>
    <row r="56" spans="1:33" outlineLevel="1">
      <c r="A56" s="4">
        <v>43001</v>
      </c>
      <c r="B56" s="4" t="s">
        <v>23</v>
      </c>
      <c r="C56" s="5"/>
      <c r="D56" s="2"/>
      <c r="E56" s="6"/>
      <c r="F56" s="7"/>
      <c r="G56" s="8">
        <v>1174.0999999999999</v>
      </c>
      <c r="H56" s="7"/>
      <c r="I56" s="8">
        <v>1235.78</v>
      </c>
      <c r="J56" s="7"/>
      <c r="K56" s="8">
        <v>1159.01</v>
      </c>
      <c r="L56" s="7"/>
      <c r="M56" s="8">
        <v>1174.2</v>
      </c>
      <c r="N56" s="7"/>
      <c r="O56" s="8">
        <v>1221.22</v>
      </c>
      <c r="P56" s="7"/>
      <c r="Q56" s="8">
        <v>198.83</v>
      </c>
      <c r="R56" s="7"/>
      <c r="S56" s="8">
        <v>1323.06</v>
      </c>
      <c r="T56" s="7"/>
      <c r="U56" s="8">
        <v>1238.18</v>
      </c>
      <c r="V56" s="7"/>
      <c r="W56" s="8">
        <v>1371.69</v>
      </c>
      <c r="X56" s="7"/>
      <c r="Y56" s="8">
        <v>1175.6600000000001</v>
      </c>
      <c r="Z56" s="7"/>
      <c r="AA56" s="8">
        <v>1310.1400000000001</v>
      </c>
      <c r="AB56" s="7"/>
      <c r="AC56" s="8">
        <v>1216.28</v>
      </c>
      <c r="AD56" s="7"/>
      <c r="AE56" s="8">
        <f t="shared" ref="AE56:AE57" si="2">AC56+AA56+Y56+W56+U56+S56+Q56+O56+M56+K56+I56+G56</f>
        <v>13798.150000000001</v>
      </c>
      <c r="AF56" s="9"/>
      <c r="AG56" s="10"/>
    </row>
    <row r="57" spans="1:33" outlineLevel="1">
      <c r="A57" s="4">
        <v>43002</v>
      </c>
      <c r="B57" s="4" t="s">
        <v>24</v>
      </c>
      <c r="C57" s="5"/>
      <c r="D57" s="2"/>
      <c r="E57" s="6"/>
      <c r="F57" s="7"/>
      <c r="G57" s="8">
        <v>331.66</v>
      </c>
      <c r="H57" s="7"/>
      <c r="I57" s="8">
        <v>352.63</v>
      </c>
      <c r="J57" s="7"/>
      <c r="K57" s="8">
        <v>327.96</v>
      </c>
      <c r="L57" s="7"/>
      <c r="M57" s="8">
        <v>331.47</v>
      </c>
      <c r="N57" s="7"/>
      <c r="O57" s="8">
        <v>345.88</v>
      </c>
      <c r="P57" s="7"/>
      <c r="Q57" s="8">
        <v>390.43</v>
      </c>
      <c r="R57" s="7"/>
      <c r="S57" s="8">
        <v>375.34</v>
      </c>
      <c r="T57" s="7"/>
      <c r="U57" s="8">
        <v>346.71</v>
      </c>
      <c r="V57" s="7"/>
      <c r="W57" s="8">
        <v>388.01</v>
      </c>
      <c r="X57" s="7"/>
      <c r="Y57" s="8">
        <v>332.84</v>
      </c>
      <c r="Z57" s="7"/>
      <c r="AA57" s="8">
        <v>370.5</v>
      </c>
      <c r="AB57" s="7"/>
      <c r="AC57" s="8">
        <v>343.46</v>
      </c>
      <c r="AD57" s="7"/>
      <c r="AE57" s="8">
        <f t="shared" si="2"/>
        <v>4236.8900000000003</v>
      </c>
      <c r="AF57" s="9"/>
      <c r="AG57" s="10"/>
    </row>
    <row r="58" spans="1:33" s="6" customFormat="1" ht="5.0999999999999996" customHeight="1" outlineLevel="1">
      <c r="A58" s="5"/>
      <c r="B58" s="5"/>
      <c r="C58" s="5"/>
      <c r="D58" s="5"/>
      <c r="G58" s="36"/>
      <c r="H58" s="34"/>
      <c r="I58" s="36"/>
      <c r="J58" s="34"/>
      <c r="K58" s="36"/>
      <c r="L58" s="34"/>
      <c r="M58" s="36"/>
      <c r="N58" s="34"/>
      <c r="O58" s="36"/>
      <c r="P58" s="34"/>
      <c r="Q58" s="36"/>
      <c r="R58" s="34"/>
      <c r="S58" s="36"/>
      <c r="T58" s="34"/>
      <c r="U58" s="36"/>
      <c r="V58" s="34"/>
      <c r="W58" s="36"/>
      <c r="X58" s="34"/>
      <c r="Y58" s="36"/>
      <c r="Z58" s="34"/>
      <c r="AA58" s="36"/>
      <c r="AB58" s="34"/>
      <c r="AC58" s="36"/>
      <c r="AD58" s="34"/>
      <c r="AE58" s="36"/>
      <c r="AF58" s="30"/>
      <c r="AG58" s="13"/>
    </row>
    <row r="59" spans="1:33" s="6" customFormat="1" ht="15">
      <c r="C59" s="5" t="s">
        <v>25</v>
      </c>
      <c r="D59" s="40"/>
      <c r="E59" s="40"/>
      <c r="F59" s="40"/>
      <c r="G59" s="33">
        <f>SUM(G55:G58)</f>
        <v>1505.76</v>
      </c>
      <c r="H59" s="34"/>
      <c r="I59" s="33">
        <f>SUM(I55:I58)</f>
        <v>1588.4099999999999</v>
      </c>
      <c r="J59" s="34"/>
      <c r="K59" s="33">
        <f>SUM(K55:K58)</f>
        <v>1486.97</v>
      </c>
      <c r="L59" s="34"/>
      <c r="M59" s="33">
        <f>SUM(M55:M58)</f>
        <v>1505.67</v>
      </c>
      <c r="N59" s="34"/>
      <c r="O59" s="33">
        <f>SUM(O55:O58)</f>
        <v>1567.1</v>
      </c>
      <c r="P59" s="34"/>
      <c r="Q59" s="33">
        <f>SUM(Q55:Q58)</f>
        <v>589.26</v>
      </c>
      <c r="R59" s="34"/>
      <c r="S59" s="33">
        <f>SUM(S55:S58)</f>
        <v>1698.3999999999999</v>
      </c>
      <c r="T59" s="34"/>
      <c r="U59" s="33">
        <f>SUM(U55:U58)</f>
        <v>1584.89</v>
      </c>
      <c r="V59" s="34"/>
      <c r="W59" s="33">
        <f>SUM(W55:W58)</f>
        <v>1759.7</v>
      </c>
      <c r="X59" s="34"/>
      <c r="Y59" s="33">
        <f>SUM(Y55:Y58)</f>
        <v>1508.5</v>
      </c>
      <c r="Z59" s="34"/>
      <c r="AA59" s="33">
        <f>SUM(AA55:AA58)</f>
        <v>1680.64</v>
      </c>
      <c r="AB59" s="34"/>
      <c r="AC59" s="33">
        <f>SUM(AC55:AC58)</f>
        <v>1559.74</v>
      </c>
      <c r="AD59" s="34"/>
      <c r="AE59" s="33">
        <f>SUM(AE55:AE58)</f>
        <v>18035.04</v>
      </c>
      <c r="AF59" s="9"/>
      <c r="AG59" s="13"/>
    </row>
    <row r="60" spans="1:33" s="6" customFormat="1" ht="15" outlineLevel="1">
      <c r="G60" s="35"/>
      <c r="H60" s="34"/>
      <c r="I60" s="35"/>
      <c r="J60" s="34"/>
      <c r="K60" s="35"/>
      <c r="L60" s="34"/>
      <c r="M60" s="35"/>
      <c r="N60" s="34"/>
      <c r="O60" s="35"/>
      <c r="P60" s="34"/>
      <c r="Q60" s="35"/>
      <c r="R60" s="34"/>
      <c r="S60" s="35"/>
      <c r="T60" s="34"/>
      <c r="U60" s="35"/>
      <c r="V60" s="34"/>
      <c r="W60" s="35"/>
      <c r="X60" s="34"/>
      <c r="Y60" s="35"/>
      <c r="Z60" s="34"/>
      <c r="AA60" s="35"/>
      <c r="AB60" s="34"/>
      <c r="AC60" s="35"/>
      <c r="AD60" s="34"/>
      <c r="AE60" s="35"/>
      <c r="AF60" s="30"/>
      <c r="AG60" s="13"/>
    </row>
    <row r="61" spans="1:33" s="6" customFormat="1" ht="15" outlineLevel="1">
      <c r="G61" s="35"/>
      <c r="H61" s="34"/>
      <c r="I61" s="35"/>
      <c r="J61" s="34"/>
      <c r="K61" s="35"/>
      <c r="L61" s="34"/>
      <c r="M61" s="35"/>
      <c r="N61" s="34"/>
      <c r="O61" s="35"/>
      <c r="P61" s="34"/>
      <c r="Q61" s="35"/>
      <c r="R61" s="34"/>
      <c r="S61" s="35"/>
      <c r="T61" s="34"/>
      <c r="U61" s="35"/>
      <c r="V61" s="34"/>
      <c r="W61" s="35"/>
      <c r="X61" s="34"/>
      <c r="Y61" s="35"/>
      <c r="Z61" s="34"/>
      <c r="AA61" s="35"/>
      <c r="AB61" s="34"/>
      <c r="AC61" s="35"/>
      <c r="AD61" s="34"/>
      <c r="AE61" s="35"/>
      <c r="AF61" s="30"/>
      <c r="AG61" s="13"/>
    </row>
    <row r="62" spans="1:33" outlineLevel="1">
      <c r="A62" s="4"/>
      <c r="B62" s="4"/>
      <c r="C62" s="5"/>
      <c r="D62" s="2"/>
      <c r="E62" s="6"/>
      <c r="F62" s="7"/>
      <c r="G62" s="8"/>
      <c r="H62" s="7"/>
      <c r="I62" s="8"/>
      <c r="J62" s="7"/>
      <c r="K62" s="8"/>
      <c r="L62" s="7"/>
      <c r="M62" s="8"/>
      <c r="N62" s="7"/>
      <c r="O62" s="8"/>
      <c r="P62" s="7"/>
      <c r="Q62" s="8"/>
      <c r="R62" s="7"/>
      <c r="S62" s="8"/>
      <c r="T62" s="7"/>
      <c r="U62" s="8"/>
      <c r="V62" s="7"/>
      <c r="W62" s="8"/>
      <c r="X62" s="7"/>
      <c r="Y62" s="8"/>
      <c r="Z62" s="7"/>
      <c r="AA62" s="8"/>
      <c r="AB62" s="7"/>
      <c r="AC62" s="8"/>
      <c r="AD62" s="7"/>
      <c r="AE62" s="8"/>
      <c r="AF62" s="9"/>
      <c r="AG62" s="10"/>
    </row>
    <row r="63" spans="1:33" s="6" customFormat="1" ht="5.0999999999999996" customHeight="1" outlineLevel="1">
      <c r="A63" s="5"/>
      <c r="B63" s="5"/>
      <c r="C63" s="5"/>
      <c r="D63" s="5"/>
      <c r="G63" s="36"/>
      <c r="H63" s="34"/>
      <c r="I63" s="36"/>
      <c r="J63" s="34"/>
      <c r="K63" s="36"/>
      <c r="L63" s="34"/>
      <c r="M63" s="36"/>
      <c r="N63" s="34"/>
      <c r="O63" s="36"/>
      <c r="P63" s="34"/>
      <c r="Q63" s="36"/>
      <c r="R63" s="34"/>
      <c r="S63" s="36"/>
      <c r="T63" s="34"/>
      <c r="U63" s="36"/>
      <c r="V63" s="34"/>
      <c r="W63" s="36"/>
      <c r="X63" s="34"/>
      <c r="Y63" s="36"/>
      <c r="Z63" s="34"/>
      <c r="AA63" s="36"/>
      <c r="AB63" s="34"/>
      <c r="AC63" s="36"/>
      <c r="AD63" s="34"/>
      <c r="AE63" s="36"/>
      <c r="AF63" s="30"/>
      <c r="AG63" s="13"/>
    </row>
    <row r="64" spans="1:33" s="6" customFormat="1" ht="15">
      <c r="C64" s="5" t="s">
        <v>26</v>
      </c>
      <c r="D64" s="40"/>
      <c r="E64" s="40"/>
      <c r="F64" s="40"/>
      <c r="G64" s="33">
        <f>SUM(G61:G63)</f>
        <v>0</v>
      </c>
      <c r="H64" s="34"/>
      <c r="I64" s="33">
        <f>SUM(I61:I63)</f>
        <v>0</v>
      </c>
      <c r="J64" s="34"/>
      <c r="K64" s="33">
        <f>SUM(K61:K63)</f>
        <v>0</v>
      </c>
      <c r="L64" s="34"/>
      <c r="M64" s="33">
        <f>SUM(M61:M63)</f>
        <v>0</v>
      </c>
      <c r="N64" s="34"/>
      <c r="O64" s="33">
        <f>SUM(O61:O63)</f>
        <v>0</v>
      </c>
      <c r="P64" s="34"/>
      <c r="Q64" s="33">
        <f>SUM(Q61:Q63)</f>
        <v>0</v>
      </c>
      <c r="R64" s="34"/>
      <c r="S64" s="33">
        <f>SUM(S61:S63)</f>
        <v>0</v>
      </c>
      <c r="T64" s="34"/>
      <c r="U64" s="33">
        <f>SUM(U61:U63)</f>
        <v>0</v>
      </c>
      <c r="V64" s="34"/>
      <c r="W64" s="33">
        <f>SUM(W61:W63)</f>
        <v>0</v>
      </c>
      <c r="X64" s="34"/>
      <c r="Y64" s="33">
        <f>SUM(Y61:Y63)</f>
        <v>0</v>
      </c>
      <c r="Z64" s="34"/>
      <c r="AA64" s="33">
        <f>SUM(AA61:AA63)</f>
        <v>0</v>
      </c>
      <c r="AB64" s="34"/>
      <c r="AC64" s="33">
        <f>SUM(AC61:AC63)</f>
        <v>0</v>
      </c>
      <c r="AD64" s="34"/>
      <c r="AE64" s="33">
        <f>SUM(AE61:AE63)</f>
        <v>0</v>
      </c>
      <c r="AF64" s="9"/>
      <c r="AG64" s="13"/>
    </row>
    <row r="65" spans="1:33" s="6" customFormat="1" ht="15" outlineLevel="1">
      <c r="G65" s="35"/>
      <c r="H65" s="34"/>
      <c r="I65" s="35"/>
      <c r="J65" s="34"/>
      <c r="K65" s="35"/>
      <c r="L65" s="34"/>
      <c r="M65" s="35"/>
      <c r="N65" s="34"/>
      <c r="O65" s="35"/>
      <c r="P65" s="34"/>
      <c r="Q65" s="35"/>
      <c r="R65" s="34"/>
      <c r="S65" s="35"/>
      <c r="T65" s="34"/>
      <c r="U65" s="35"/>
      <c r="V65" s="34"/>
      <c r="W65" s="35"/>
      <c r="X65" s="34"/>
      <c r="Y65" s="35"/>
      <c r="Z65" s="34"/>
      <c r="AA65" s="35"/>
      <c r="AB65" s="34"/>
      <c r="AC65" s="35"/>
      <c r="AD65" s="34"/>
      <c r="AE65" s="35"/>
      <c r="AF65" s="30"/>
      <c r="AG65" s="13"/>
    </row>
    <row r="66" spans="1:33" customFormat="1" ht="15" outlineLevel="1"/>
    <row r="67" spans="1:33" s="6" customFormat="1" ht="4.5" customHeight="1" outlineLevel="1">
      <c r="A67" s="37"/>
      <c r="G67" s="36"/>
      <c r="H67" s="34"/>
      <c r="I67" s="36"/>
      <c r="J67" s="34"/>
      <c r="K67" s="36"/>
      <c r="L67" s="34"/>
      <c r="M67" s="36"/>
      <c r="N67" s="34"/>
      <c r="O67" s="36"/>
      <c r="P67" s="34"/>
      <c r="Q67" s="36"/>
      <c r="R67" s="34"/>
      <c r="S67" s="36"/>
      <c r="T67" s="34"/>
      <c r="U67" s="36"/>
      <c r="V67" s="34"/>
      <c r="W67" s="36"/>
      <c r="X67" s="34"/>
      <c r="Y67" s="36"/>
      <c r="Z67" s="34"/>
      <c r="AA67" s="36"/>
      <c r="AB67" s="34"/>
      <c r="AC67" s="36"/>
      <c r="AD67" s="34"/>
      <c r="AE67" s="36"/>
      <c r="AF67" s="30"/>
      <c r="AG67" s="13"/>
    </row>
    <row r="68" spans="1:33" s="6" customFormat="1" ht="15">
      <c r="C68" s="6" t="s">
        <v>27</v>
      </c>
      <c r="G68" s="33">
        <f>SUM(G66:G67)</f>
        <v>0</v>
      </c>
      <c r="H68" s="34"/>
      <c r="I68" s="33">
        <f>SUM(I66:I67)</f>
        <v>0</v>
      </c>
      <c r="J68" s="34"/>
      <c r="K68" s="33">
        <f>SUM(K66:K67)</f>
        <v>0</v>
      </c>
      <c r="L68" s="34"/>
      <c r="M68" s="33">
        <f>SUM(M66:M67)</f>
        <v>0</v>
      </c>
      <c r="N68" s="34"/>
      <c r="O68" s="33">
        <f>SUM(O66:O67)</f>
        <v>0</v>
      </c>
      <c r="P68" s="34"/>
      <c r="Q68" s="33">
        <f>SUM(Q66:Q67)</f>
        <v>0</v>
      </c>
      <c r="R68" s="34"/>
      <c r="S68" s="33">
        <f>SUM(S66:S67)</f>
        <v>0</v>
      </c>
      <c r="T68" s="34"/>
      <c r="U68" s="33">
        <f>SUM(U66:U67)</f>
        <v>0</v>
      </c>
      <c r="V68" s="34"/>
      <c r="W68" s="33">
        <f>SUM(W66:W67)</f>
        <v>0</v>
      </c>
      <c r="X68" s="34"/>
      <c r="Y68" s="33">
        <f>SUM(Y66:Y67)</f>
        <v>0</v>
      </c>
      <c r="Z68" s="34"/>
      <c r="AA68" s="33">
        <f>SUM(AA66:AA67)</f>
        <v>0</v>
      </c>
      <c r="AB68" s="34"/>
      <c r="AC68" s="33">
        <f>SUM(AC66:AC67)</f>
        <v>0</v>
      </c>
      <c r="AD68" s="34"/>
      <c r="AE68" s="33">
        <f>SUM(AE66:AE67)</f>
        <v>0</v>
      </c>
      <c r="AF68" s="9"/>
      <c r="AG68" s="13"/>
    </row>
    <row r="69" spans="1:33" s="6" customFormat="1" ht="7.5" customHeight="1">
      <c r="G69" s="35"/>
      <c r="H69" s="34"/>
      <c r="I69" s="35"/>
      <c r="J69" s="34"/>
      <c r="K69" s="35"/>
      <c r="L69" s="34"/>
      <c r="M69" s="35"/>
      <c r="N69" s="34"/>
      <c r="O69" s="35"/>
      <c r="P69" s="34"/>
      <c r="Q69" s="35"/>
      <c r="R69" s="34"/>
      <c r="S69" s="35"/>
      <c r="T69" s="34"/>
      <c r="U69" s="35"/>
      <c r="V69" s="34"/>
      <c r="W69" s="35"/>
      <c r="X69" s="34"/>
      <c r="Y69" s="35"/>
      <c r="Z69" s="34"/>
      <c r="AA69" s="35"/>
      <c r="AB69" s="34"/>
      <c r="AC69" s="35"/>
      <c r="AD69" s="34"/>
      <c r="AE69" s="35"/>
      <c r="AF69" s="30"/>
      <c r="AG69" s="13"/>
    </row>
    <row r="70" spans="1:33" s="6" customFormat="1" ht="15">
      <c r="B70" s="38" t="s">
        <v>28</v>
      </c>
      <c r="G70" s="39">
        <f>+G49+G59+G64+G53+G68</f>
        <v>27719.35</v>
      </c>
      <c r="H70" s="34"/>
      <c r="I70" s="39">
        <f>+I49+I59+I64+I53+I68</f>
        <v>29353.9</v>
      </c>
      <c r="J70" s="34"/>
      <c r="K70" s="39">
        <f>+K49+K59+K64+K53+K68</f>
        <v>22759.16</v>
      </c>
      <c r="L70" s="34"/>
      <c r="M70" s="39">
        <f>+M49+M59+M64+M53+M68</f>
        <v>25164.67</v>
      </c>
      <c r="N70" s="34"/>
      <c r="O70" s="39">
        <f>+O49+O59+O64+O53+O68</f>
        <v>24095.269999999997</v>
      </c>
      <c r="P70" s="34"/>
      <c r="Q70" s="39">
        <f>+Q49+Q59+Q64+Q53+Q68</f>
        <v>22927.039999999997</v>
      </c>
      <c r="R70" s="34"/>
      <c r="S70" s="39">
        <f>+S49+S59+S64+S53+S68</f>
        <v>23063.52</v>
      </c>
      <c r="T70" s="34"/>
      <c r="U70" s="39">
        <f>+U49+U59+U64+U53+U68</f>
        <v>21463.360000000001</v>
      </c>
      <c r="V70" s="34"/>
      <c r="W70" s="39">
        <f>+W49+W59+W64+W53+W68</f>
        <v>24219.31</v>
      </c>
      <c r="X70" s="34"/>
      <c r="Y70" s="39">
        <f>+Y49+Y59+Y64+Y53+Y68</f>
        <v>20798.98</v>
      </c>
      <c r="Z70" s="34"/>
      <c r="AA70" s="39">
        <f>+AA49+AA59+AA64+AA53+AA68</f>
        <v>32351.559999999998</v>
      </c>
      <c r="AB70" s="34"/>
      <c r="AC70" s="39">
        <f>+AC49+AC59+AC64+AC53+AC68</f>
        <v>21341.13</v>
      </c>
      <c r="AD70" s="34"/>
      <c r="AE70" s="39">
        <f>+AE49+AE59+AE64+AE53+AE68</f>
        <v>295257.25</v>
      </c>
      <c r="AF70" s="9"/>
      <c r="AG70" s="13"/>
    </row>
    <row r="71" spans="1:33" s="6" customFormat="1" ht="7.5" customHeight="1">
      <c r="G71" s="35"/>
      <c r="H71" s="34"/>
      <c r="I71" s="35"/>
      <c r="J71" s="34"/>
      <c r="K71" s="35"/>
      <c r="L71" s="34"/>
      <c r="M71" s="35"/>
      <c r="N71" s="34"/>
      <c r="O71" s="35"/>
      <c r="P71" s="34"/>
      <c r="Q71" s="35"/>
      <c r="R71" s="34"/>
      <c r="S71" s="35"/>
      <c r="T71" s="34"/>
      <c r="U71" s="35"/>
      <c r="V71" s="34"/>
      <c r="W71" s="35"/>
      <c r="X71" s="34"/>
      <c r="Y71" s="35"/>
      <c r="Z71" s="34"/>
      <c r="AA71" s="35"/>
      <c r="AB71" s="34"/>
      <c r="AC71" s="35"/>
      <c r="AD71" s="34"/>
      <c r="AE71" s="35"/>
      <c r="AF71" s="30"/>
      <c r="AG71" s="13"/>
    </row>
    <row r="72" spans="1:33" s="6" customFormat="1" ht="15">
      <c r="B72" s="41" t="s">
        <v>29</v>
      </c>
      <c r="G72" s="39">
        <f>G44-G70</f>
        <v>54553.87</v>
      </c>
      <c r="H72" s="34"/>
      <c r="I72" s="39">
        <f>I44-I70</f>
        <v>53031.700000000004</v>
      </c>
      <c r="J72" s="34"/>
      <c r="K72" s="39">
        <f>K44-K70</f>
        <v>54508.259999999995</v>
      </c>
      <c r="L72" s="34"/>
      <c r="M72" s="39">
        <f>M44-M70</f>
        <v>53115.58</v>
      </c>
      <c r="N72" s="34"/>
      <c r="O72" s="39">
        <f>O44-O70</f>
        <v>57338.82</v>
      </c>
      <c r="P72" s="34"/>
      <c r="Q72" s="39">
        <f>Q44-Q70</f>
        <v>68922.12000000001</v>
      </c>
      <c r="R72" s="34"/>
      <c r="S72" s="39">
        <f>S44-S70</f>
        <v>65140.160000000003</v>
      </c>
      <c r="T72" s="34"/>
      <c r="U72" s="39">
        <f>U44-U70</f>
        <v>61081.999999999985</v>
      </c>
      <c r="V72" s="34"/>
      <c r="W72" s="39">
        <f>W44-W70</f>
        <v>67226.789999999994</v>
      </c>
      <c r="X72" s="34"/>
      <c r="Y72" s="39">
        <f>Y44-Y70</f>
        <v>57578.450000000012</v>
      </c>
      <c r="Z72" s="34"/>
      <c r="AA72" s="39">
        <f>AA44-AA70</f>
        <v>54991.099999999991</v>
      </c>
      <c r="AB72" s="34"/>
      <c r="AC72" s="39">
        <f>AC44-AC70</f>
        <v>59744.39</v>
      </c>
      <c r="AD72" s="34"/>
      <c r="AE72" s="39">
        <f>AE44-AE70</f>
        <v>707233.24000000011</v>
      </c>
      <c r="AF72" s="9"/>
      <c r="AG72" s="13"/>
    </row>
    <row r="73" spans="1:33" s="6" customFormat="1" ht="7.5" customHeight="1">
      <c r="G73" s="35"/>
      <c r="H73" s="34"/>
      <c r="I73" s="35"/>
      <c r="J73" s="34"/>
      <c r="K73" s="35"/>
      <c r="L73" s="34"/>
      <c r="M73" s="35"/>
      <c r="N73" s="34"/>
      <c r="O73" s="35"/>
      <c r="P73" s="34"/>
      <c r="Q73" s="35"/>
      <c r="R73" s="34"/>
      <c r="S73" s="35"/>
      <c r="T73" s="34"/>
      <c r="U73" s="35"/>
      <c r="V73" s="34"/>
      <c r="W73" s="35"/>
      <c r="X73" s="34"/>
      <c r="Y73" s="35"/>
      <c r="Z73" s="34"/>
      <c r="AA73" s="35"/>
      <c r="AB73" s="34"/>
      <c r="AC73" s="35"/>
      <c r="AD73" s="34"/>
      <c r="AE73" s="35"/>
      <c r="AF73" s="30"/>
      <c r="AG73" s="13"/>
    </row>
    <row r="74" spans="1:33" s="6" customFormat="1" ht="15" outlineLevel="1">
      <c r="G74" s="35"/>
      <c r="H74" s="34"/>
      <c r="I74" s="35"/>
      <c r="J74" s="34"/>
      <c r="K74" s="35"/>
      <c r="L74" s="34"/>
      <c r="M74" s="35"/>
      <c r="N74" s="34"/>
      <c r="O74" s="35"/>
      <c r="P74" s="34"/>
      <c r="Q74" s="35"/>
      <c r="R74" s="34"/>
      <c r="S74" s="35"/>
      <c r="T74" s="34"/>
      <c r="U74" s="35"/>
      <c r="V74" s="34"/>
      <c r="W74" s="35"/>
      <c r="X74" s="34"/>
      <c r="Y74" s="35"/>
      <c r="Z74" s="34"/>
      <c r="AA74" s="35"/>
      <c r="AB74" s="34"/>
      <c r="AC74" s="35"/>
      <c r="AD74" s="34"/>
      <c r="AE74" s="35"/>
      <c r="AF74" s="30"/>
      <c r="AG74" s="13"/>
    </row>
    <row r="75" spans="1:33" outlineLevel="1">
      <c r="A75" s="4">
        <v>50020</v>
      </c>
      <c r="B75" s="4" t="s">
        <v>30</v>
      </c>
      <c r="C75" s="5"/>
      <c r="D75" s="2"/>
      <c r="E75" s="6"/>
      <c r="F75" s="7"/>
      <c r="G75" s="8">
        <v>8743.2900000000009</v>
      </c>
      <c r="H75" s="7"/>
      <c r="I75" s="8">
        <v>8157.04</v>
      </c>
      <c r="J75" s="7"/>
      <c r="K75" s="8">
        <v>8784.7900000000009</v>
      </c>
      <c r="L75" s="7"/>
      <c r="M75" s="8">
        <v>9759.06</v>
      </c>
      <c r="N75" s="7"/>
      <c r="O75" s="8">
        <v>8622.11</v>
      </c>
      <c r="P75" s="7"/>
      <c r="Q75" s="8">
        <v>9848.86</v>
      </c>
      <c r="R75" s="7"/>
      <c r="S75" s="8">
        <v>9114.69</v>
      </c>
      <c r="T75" s="7"/>
      <c r="U75" s="8">
        <v>9252.02</v>
      </c>
      <c r="V75" s="7"/>
      <c r="W75" s="8">
        <v>9969.02</v>
      </c>
      <c r="X75" s="7"/>
      <c r="Y75" s="8">
        <v>11603.79</v>
      </c>
      <c r="Z75" s="7"/>
      <c r="AA75" s="8">
        <v>8885.69</v>
      </c>
      <c r="AB75" s="7"/>
      <c r="AC75" s="8">
        <v>9527.67</v>
      </c>
      <c r="AD75" s="7"/>
      <c r="AE75" s="8">
        <f t="shared" ref="AE75:AE85" si="3">AC75+AA75+Y75+W75+U75+S75+Q75+O75+M75+K75+I75+G75</f>
        <v>112268.03</v>
      </c>
      <c r="AF75" s="9"/>
      <c r="AG75" s="10"/>
    </row>
    <row r="76" spans="1:33" outlineLevel="1">
      <c r="A76" s="4">
        <v>50025</v>
      </c>
      <c r="B76" s="4" t="s">
        <v>31</v>
      </c>
      <c r="C76" s="5"/>
      <c r="D76" s="2"/>
      <c r="E76" s="6"/>
      <c r="F76" s="7"/>
      <c r="G76" s="8">
        <v>3598.04</v>
      </c>
      <c r="H76" s="7"/>
      <c r="I76" s="8">
        <v>3862.69</v>
      </c>
      <c r="J76" s="7"/>
      <c r="K76" s="8">
        <v>2657.26</v>
      </c>
      <c r="L76" s="7"/>
      <c r="M76" s="8">
        <v>3689.18</v>
      </c>
      <c r="N76" s="7"/>
      <c r="O76" s="8">
        <v>3763.38</v>
      </c>
      <c r="P76" s="7"/>
      <c r="Q76" s="8">
        <v>4385.3</v>
      </c>
      <c r="R76" s="7"/>
      <c r="S76" s="8">
        <v>3754.09</v>
      </c>
      <c r="T76" s="7"/>
      <c r="U76" s="8">
        <v>1261.1199999999999</v>
      </c>
      <c r="V76" s="7"/>
      <c r="W76" s="8">
        <v>1440.73</v>
      </c>
      <c r="X76" s="7"/>
      <c r="Y76" s="8">
        <v>2120.14</v>
      </c>
      <c r="Z76" s="7"/>
      <c r="AA76" s="8">
        <v>1874.89</v>
      </c>
      <c r="AB76" s="7"/>
      <c r="AC76" s="8">
        <v>1804.07</v>
      </c>
      <c r="AD76" s="7"/>
      <c r="AE76" s="8">
        <f t="shared" si="3"/>
        <v>34210.89</v>
      </c>
      <c r="AF76" s="9"/>
      <c r="AG76" s="10"/>
    </row>
    <row r="77" spans="1:33" outlineLevel="1">
      <c r="A77" s="4">
        <v>50035</v>
      </c>
      <c r="B77" s="4" t="s">
        <v>32</v>
      </c>
      <c r="C77" s="5"/>
      <c r="D77" s="2"/>
      <c r="E77" s="6"/>
      <c r="F77" s="7"/>
      <c r="G77" s="8">
        <v>324.89999999999998</v>
      </c>
      <c r="H77" s="7"/>
      <c r="I77" s="8">
        <v>324.89999999999998</v>
      </c>
      <c r="J77" s="7"/>
      <c r="K77" s="8">
        <v>454.86</v>
      </c>
      <c r="L77" s="7"/>
      <c r="M77" s="8">
        <v>-34.39</v>
      </c>
      <c r="N77" s="7"/>
      <c r="O77" s="8">
        <v>259.92</v>
      </c>
      <c r="P77" s="7"/>
      <c r="Q77" s="8">
        <v>259.92</v>
      </c>
      <c r="R77" s="7"/>
      <c r="S77" s="8">
        <v>-786.4</v>
      </c>
      <c r="T77" s="7"/>
      <c r="U77" s="8">
        <v>-344.92</v>
      </c>
      <c r="V77" s="7"/>
      <c r="W77" s="8">
        <v>132.91</v>
      </c>
      <c r="X77" s="7"/>
      <c r="Y77" s="8">
        <v>132.91</v>
      </c>
      <c r="Z77" s="7"/>
      <c r="AA77" s="8">
        <v>132.91</v>
      </c>
      <c r="AB77" s="7"/>
      <c r="AC77" s="8">
        <v>132.91</v>
      </c>
      <c r="AD77" s="7"/>
      <c r="AE77" s="8">
        <f t="shared" si="3"/>
        <v>990.43</v>
      </c>
      <c r="AF77" s="9"/>
      <c r="AG77" s="10"/>
    </row>
    <row r="78" spans="1:33" outlineLevel="1">
      <c r="A78" s="4">
        <v>50036</v>
      </c>
      <c r="B78" s="4" t="s">
        <v>33</v>
      </c>
      <c r="C78" s="5"/>
      <c r="D78" s="2"/>
      <c r="E78" s="6"/>
      <c r="F78" s="7"/>
      <c r="G78" s="8">
        <v>0</v>
      </c>
      <c r="H78" s="7"/>
      <c r="I78" s="8">
        <v>0</v>
      </c>
      <c r="J78" s="7"/>
      <c r="K78" s="8">
        <v>294.31</v>
      </c>
      <c r="L78" s="7"/>
      <c r="M78" s="8">
        <v>0</v>
      </c>
      <c r="N78" s="7"/>
      <c r="O78" s="8">
        <v>0</v>
      </c>
      <c r="P78" s="7"/>
      <c r="Q78" s="8">
        <v>0</v>
      </c>
      <c r="R78" s="7"/>
      <c r="S78" s="8">
        <v>0</v>
      </c>
      <c r="T78" s="7"/>
      <c r="U78" s="8">
        <v>0</v>
      </c>
      <c r="V78" s="7"/>
      <c r="W78" s="8">
        <v>1028.3800000000001</v>
      </c>
      <c r="X78" s="7"/>
      <c r="Y78" s="8">
        <v>0</v>
      </c>
      <c r="Z78" s="7"/>
      <c r="AA78" s="8">
        <v>0</v>
      </c>
      <c r="AB78" s="7"/>
      <c r="AC78" s="8">
        <v>0</v>
      </c>
      <c r="AD78" s="7"/>
      <c r="AE78" s="8">
        <f t="shared" si="3"/>
        <v>1322.69</v>
      </c>
      <c r="AF78" s="9"/>
      <c r="AG78" s="10"/>
    </row>
    <row r="79" spans="1:33" outlineLevel="1">
      <c r="A79" s="4">
        <v>50045</v>
      </c>
      <c r="B79" s="4" t="s">
        <v>149</v>
      </c>
      <c r="C79" s="5"/>
      <c r="D79" s="2"/>
      <c r="E79" s="6"/>
      <c r="F79" s="7"/>
      <c r="G79" s="8">
        <v>0</v>
      </c>
      <c r="H79" s="7"/>
      <c r="I79" s="8">
        <v>0</v>
      </c>
      <c r="J79" s="7"/>
      <c r="K79" s="8">
        <v>0</v>
      </c>
      <c r="L79" s="7"/>
      <c r="M79" s="8">
        <v>0</v>
      </c>
      <c r="N79" s="7"/>
      <c r="O79" s="8">
        <v>606.38</v>
      </c>
      <c r="P79" s="7"/>
      <c r="Q79" s="8">
        <v>1094.76</v>
      </c>
      <c r="R79" s="7"/>
      <c r="S79" s="8">
        <v>1156.27</v>
      </c>
      <c r="T79" s="7"/>
      <c r="U79" s="8">
        <v>0</v>
      </c>
      <c r="V79" s="7"/>
      <c r="W79" s="8">
        <v>0</v>
      </c>
      <c r="X79" s="7"/>
      <c r="Y79" s="8">
        <v>0</v>
      </c>
      <c r="Z79" s="7"/>
      <c r="AA79" s="8">
        <v>0</v>
      </c>
      <c r="AB79" s="7"/>
      <c r="AC79" s="8">
        <v>0</v>
      </c>
      <c r="AD79" s="7"/>
      <c r="AE79" s="8">
        <f t="shared" si="3"/>
        <v>2857.41</v>
      </c>
      <c r="AF79" s="9"/>
      <c r="AG79" s="10"/>
    </row>
    <row r="80" spans="1:33" outlineLevel="1">
      <c r="A80" s="4">
        <v>50050</v>
      </c>
      <c r="B80" s="4" t="s">
        <v>34</v>
      </c>
      <c r="C80" s="5"/>
      <c r="D80" s="2"/>
      <c r="E80" s="6"/>
      <c r="F80" s="7"/>
      <c r="G80" s="8">
        <v>1115.27</v>
      </c>
      <c r="H80" s="7"/>
      <c r="I80" s="8">
        <v>1165.96</v>
      </c>
      <c r="J80" s="7"/>
      <c r="K80" s="8">
        <v>954.64</v>
      </c>
      <c r="L80" s="7"/>
      <c r="M80" s="8">
        <v>1121.21</v>
      </c>
      <c r="N80" s="7"/>
      <c r="O80" s="8">
        <v>1050.3900000000001</v>
      </c>
      <c r="P80" s="7"/>
      <c r="Q80" s="8">
        <v>1176.1300000000001</v>
      </c>
      <c r="R80" s="7"/>
      <c r="S80" s="8">
        <v>1052.3499999999999</v>
      </c>
      <c r="T80" s="7"/>
      <c r="U80" s="8">
        <v>819.75</v>
      </c>
      <c r="V80" s="7"/>
      <c r="W80" s="8">
        <v>1127.3900000000001</v>
      </c>
      <c r="X80" s="7"/>
      <c r="Y80" s="8">
        <v>1320.86</v>
      </c>
      <c r="Z80" s="7"/>
      <c r="AA80" s="8">
        <v>929.27</v>
      </c>
      <c r="AB80" s="7"/>
      <c r="AC80" s="8">
        <v>1012.84</v>
      </c>
      <c r="AD80" s="7"/>
      <c r="AE80" s="8">
        <f t="shared" si="3"/>
        <v>12846.060000000001</v>
      </c>
      <c r="AF80" s="9"/>
      <c r="AG80" s="10"/>
    </row>
    <row r="81" spans="1:33" outlineLevel="1">
      <c r="A81" s="4">
        <v>50060</v>
      </c>
      <c r="B81" s="4" t="s">
        <v>35</v>
      </c>
      <c r="C81" s="5"/>
      <c r="D81" s="2"/>
      <c r="E81" s="6"/>
      <c r="F81" s="7"/>
      <c r="G81" s="8">
        <v>2590.14</v>
      </c>
      <c r="H81" s="7"/>
      <c r="I81" s="8">
        <v>2590.14</v>
      </c>
      <c r="J81" s="7"/>
      <c r="K81" s="8">
        <v>2130.4499999999998</v>
      </c>
      <c r="L81" s="7"/>
      <c r="M81" s="8">
        <v>2335.38</v>
      </c>
      <c r="N81" s="7"/>
      <c r="O81" s="8">
        <v>2335.38</v>
      </c>
      <c r="P81" s="7"/>
      <c r="Q81" s="8">
        <v>2335.38</v>
      </c>
      <c r="R81" s="7"/>
      <c r="S81" s="8">
        <v>2335.38</v>
      </c>
      <c r="T81" s="7"/>
      <c r="U81" s="8">
        <v>2335.38</v>
      </c>
      <c r="V81" s="7"/>
      <c r="W81" s="8">
        <v>2003.07</v>
      </c>
      <c r="X81" s="7"/>
      <c r="Y81" s="8">
        <v>3335.38</v>
      </c>
      <c r="Z81" s="7"/>
      <c r="AA81" s="8">
        <v>2580.92</v>
      </c>
      <c r="AB81" s="7"/>
      <c r="AC81" s="8">
        <v>2580.92</v>
      </c>
      <c r="AD81" s="7"/>
      <c r="AE81" s="8">
        <f t="shared" si="3"/>
        <v>29487.920000000006</v>
      </c>
      <c r="AF81" s="9"/>
      <c r="AG81" s="10"/>
    </row>
    <row r="82" spans="1:33" outlineLevel="1">
      <c r="A82" s="4">
        <v>50065</v>
      </c>
      <c r="B82" s="4" t="s">
        <v>36</v>
      </c>
      <c r="C82" s="5"/>
      <c r="D82" s="2"/>
      <c r="E82" s="6"/>
      <c r="F82" s="7"/>
      <c r="G82" s="8">
        <v>-96.44</v>
      </c>
      <c r="H82" s="7"/>
      <c r="I82" s="8">
        <v>335.63</v>
      </c>
      <c r="J82" s="7"/>
      <c r="K82" s="8">
        <v>553.85</v>
      </c>
      <c r="L82" s="7"/>
      <c r="M82" s="8">
        <v>249.79</v>
      </c>
      <c r="N82" s="7"/>
      <c r="O82" s="8">
        <v>885.78</v>
      </c>
      <c r="P82" s="7"/>
      <c r="Q82" s="8">
        <v>231.02</v>
      </c>
      <c r="R82" s="7"/>
      <c r="S82" s="8">
        <v>308.29000000000002</v>
      </c>
      <c r="T82" s="7"/>
      <c r="U82" s="8">
        <v>388.81</v>
      </c>
      <c r="V82" s="7"/>
      <c r="W82" s="8">
        <v>211.5</v>
      </c>
      <c r="X82" s="7"/>
      <c r="Y82" s="8">
        <v>330.72</v>
      </c>
      <c r="Z82" s="7"/>
      <c r="AA82" s="8">
        <v>560.04999999999995</v>
      </c>
      <c r="AB82" s="7"/>
      <c r="AC82" s="8">
        <v>-373.82</v>
      </c>
      <c r="AD82" s="7"/>
      <c r="AE82" s="8">
        <f t="shared" si="3"/>
        <v>3585.18</v>
      </c>
      <c r="AF82" s="9"/>
      <c r="AG82" s="10"/>
    </row>
    <row r="83" spans="1:33" outlineLevel="1">
      <c r="A83" s="4">
        <v>50070</v>
      </c>
      <c r="B83" s="4" t="s">
        <v>70</v>
      </c>
      <c r="C83" s="5"/>
      <c r="D83" s="2"/>
      <c r="E83" s="6"/>
      <c r="F83" s="7"/>
      <c r="G83" s="8">
        <v>0</v>
      </c>
      <c r="H83" s="7"/>
      <c r="I83" s="8">
        <v>0</v>
      </c>
      <c r="J83" s="7"/>
      <c r="K83" s="8">
        <v>0</v>
      </c>
      <c r="L83" s="7"/>
      <c r="M83" s="8">
        <v>0</v>
      </c>
      <c r="N83" s="7"/>
      <c r="O83" s="8">
        <v>0</v>
      </c>
      <c r="P83" s="7"/>
      <c r="Q83" s="8">
        <v>0</v>
      </c>
      <c r="R83" s="7"/>
      <c r="S83" s="8">
        <v>0</v>
      </c>
      <c r="T83" s="7"/>
      <c r="U83" s="8">
        <v>0</v>
      </c>
      <c r="V83" s="7"/>
      <c r="W83" s="8">
        <v>405.6</v>
      </c>
      <c r="X83" s="7"/>
      <c r="Y83" s="8">
        <v>140</v>
      </c>
      <c r="Z83" s="7"/>
      <c r="AA83" s="8">
        <v>0</v>
      </c>
      <c r="AB83" s="7"/>
      <c r="AC83" s="8">
        <v>360.79</v>
      </c>
      <c r="AD83" s="7"/>
      <c r="AE83" s="8">
        <f t="shared" si="3"/>
        <v>906.3900000000001</v>
      </c>
      <c r="AF83" s="9"/>
      <c r="AG83" s="10"/>
    </row>
    <row r="84" spans="1:33" outlineLevel="1">
      <c r="A84" s="4">
        <v>50086</v>
      </c>
      <c r="B84" s="4" t="s">
        <v>37</v>
      </c>
      <c r="C84" s="5"/>
      <c r="D84" s="2"/>
      <c r="E84" s="6"/>
      <c r="F84" s="7"/>
      <c r="G84" s="8">
        <v>570.16</v>
      </c>
      <c r="H84" s="7"/>
      <c r="I84" s="8">
        <v>241.34</v>
      </c>
      <c r="J84" s="7"/>
      <c r="K84" s="8">
        <v>126.32</v>
      </c>
      <c r="L84" s="7"/>
      <c r="M84" s="8">
        <v>553.41999999999996</v>
      </c>
      <c r="N84" s="7"/>
      <c r="O84" s="8">
        <v>200.35</v>
      </c>
      <c r="P84" s="7"/>
      <c r="Q84" s="8">
        <v>58.52</v>
      </c>
      <c r="R84" s="7"/>
      <c r="S84" s="8">
        <v>7.1</v>
      </c>
      <c r="T84" s="7"/>
      <c r="U84" s="8">
        <v>68.8</v>
      </c>
      <c r="V84" s="7"/>
      <c r="W84" s="8">
        <v>285.60000000000002</v>
      </c>
      <c r="X84" s="7"/>
      <c r="Y84" s="8">
        <v>28.93</v>
      </c>
      <c r="Z84" s="7"/>
      <c r="AA84" s="8">
        <v>208.75</v>
      </c>
      <c r="AB84" s="7"/>
      <c r="AC84" s="8">
        <v>62.5</v>
      </c>
      <c r="AD84" s="7"/>
      <c r="AE84" s="8">
        <f t="shared" si="3"/>
        <v>2411.7899999999995</v>
      </c>
      <c r="AF84" s="9"/>
      <c r="AG84" s="10"/>
    </row>
    <row r="85" spans="1:33" outlineLevel="1">
      <c r="A85" s="4">
        <v>50090</v>
      </c>
      <c r="B85" s="4" t="s">
        <v>38</v>
      </c>
      <c r="C85" s="5"/>
      <c r="D85" s="2"/>
      <c r="E85" s="6"/>
      <c r="F85" s="7"/>
      <c r="G85" s="8">
        <v>123.55</v>
      </c>
      <c r="H85" s="7"/>
      <c r="I85" s="8">
        <v>110.23</v>
      </c>
      <c r="J85" s="7"/>
      <c r="K85" s="8">
        <v>357.54</v>
      </c>
      <c r="L85" s="7"/>
      <c r="M85" s="8">
        <v>116.52</v>
      </c>
      <c r="N85" s="7"/>
      <c r="O85" s="8">
        <v>149.22</v>
      </c>
      <c r="P85" s="7"/>
      <c r="Q85" s="8">
        <v>116.52</v>
      </c>
      <c r="R85" s="7"/>
      <c r="S85" s="8">
        <v>88.06</v>
      </c>
      <c r="T85" s="7"/>
      <c r="U85" s="8">
        <v>58.92</v>
      </c>
      <c r="V85" s="7"/>
      <c r="W85" s="8">
        <v>88.38</v>
      </c>
      <c r="X85" s="7"/>
      <c r="Y85" s="8">
        <v>91.87</v>
      </c>
      <c r="Z85" s="7"/>
      <c r="AA85" s="8">
        <v>396.14</v>
      </c>
      <c r="AB85" s="7"/>
      <c r="AC85" s="8">
        <v>63.64</v>
      </c>
      <c r="AD85" s="7"/>
      <c r="AE85" s="8">
        <f t="shared" si="3"/>
        <v>1760.59</v>
      </c>
      <c r="AF85" s="9"/>
      <c r="AG85" s="10"/>
    </row>
    <row r="86" spans="1:33" s="6" customFormat="1" ht="5.0999999999999996" customHeight="1" outlineLevel="1">
      <c r="A86" s="5"/>
      <c r="B86" s="5"/>
      <c r="C86" s="5"/>
      <c r="D86" s="5"/>
      <c r="G86" s="36"/>
      <c r="H86" s="34"/>
      <c r="I86" s="36"/>
      <c r="J86" s="34"/>
      <c r="K86" s="36"/>
      <c r="L86" s="34"/>
      <c r="M86" s="36"/>
      <c r="N86" s="34"/>
      <c r="O86" s="36"/>
      <c r="P86" s="34"/>
      <c r="Q86" s="36"/>
      <c r="R86" s="34"/>
      <c r="S86" s="36"/>
      <c r="T86" s="34"/>
      <c r="U86" s="36"/>
      <c r="V86" s="34"/>
      <c r="W86" s="36"/>
      <c r="X86" s="34"/>
      <c r="Y86" s="36"/>
      <c r="Z86" s="34"/>
      <c r="AA86" s="36"/>
      <c r="AB86" s="34"/>
      <c r="AC86" s="36"/>
      <c r="AD86" s="34"/>
      <c r="AE86" s="36"/>
      <c r="AF86" s="30"/>
      <c r="AG86" s="13"/>
    </row>
    <row r="87" spans="1:33" s="6" customFormat="1" ht="15">
      <c r="C87" s="5" t="s">
        <v>39</v>
      </c>
      <c r="G87" s="33">
        <f>SUM(G74:G86)</f>
        <v>16968.91</v>
      </c>
      <c r="H87" s="34"/>
      <c r="I87" s="33">
        <f>SUM(I74:I86)</f>
        <v>16787.93</v>
      </c>
      <c r="J87" s="34"/>
      <c r="K87" s="33">
        <f>SUM(K74:K86)</f>
        <v>16314.020000000002</v>
      </c>
      <c r="L87" s="34"/>
      <c r="M87" s="33">
        <f>SUM(M74:M86)</f>
        <v>17790.170000000002</v>
      </c>
      <c r="N87" s="34"/>
      <c r="O87" s="33">
        <f>SUM(O74:O86)</f>
        <v>17872.91</v>
      </c>
      <c r="P87" s="34"/>
      <c r="Q87" s="33">
        <f>SUM(Q74:Q86)</f>
        <v>19506.410000000003</v>
      </c>
      <c r="R87" s="34"/>
      <c r="S87" s="33">
        <f>SUM(S74:S86)</f>
        <v>17029.830000000002</v>
      </c>
      <c r="T87" s="34"/>
      <c r="U87" s="33">
        <f>SUM(U74:U86)</f>
        <v>13839.879999999997</v>
      </c>
      <c r="V87" s="34"/>
      <c r="W87" s="33">
        <f>SUM(W74:W86)</f>
        <v>16692.580000000002</v>
      </c>
      <c r="X87" s="34"/>
      <c r="Y87" s="33">
        <f>SUM(Y74:Y86)</f>
        <v>19104.600000000002</v>
      </c>
      <c r="Z87" s="34"/>
      <c r="AA87" s="33">
        <f>SUM(AA74:AA86)</f>
        <v>15568.619999999999</v>
      </c>
      <c r="AB87" s="34"/>
      <c r="AC87" s="33">
        <f>SUM(AC74:AC86)</f>
        <v>15171.52</v>
      </c>
      <c r="AD87" s="34"/>
      <c r="AE87" s="33">
        <f>SUM(AE74:AE86)</f>
        <v>202647.38</v>
      </c>
      <c r="AF87" s="9"/>
      <c r="AG87" s="13"/>
    </row>
    <row r="88" spans="1:33" s="6" customFormat="1" ht="15" outlineLevel="1">
      <c r="G88" s="35"/>
      <c r="H88" s="34"/>
      <c r="I88" s="35"/>
      <c r="J88" s="34"/>
      <c r="K88" s="35"/>
      <c r="L88" s="34"/>
      <c r="M88" s="35"/>
      <c r="N88" s="34"/>
      <c r="O88" s="35"/>
      <c r="P88" s="34"/>
      <c r="Q88" s="35"/>
      <c r="R88" s="34"/>
      <c r="S88" s="35"/>
      <c r="T88" s="34"/>
      <c r="U88" s="35"/>
      <c r="V88" s="34"/>
      <c r="W88" s="35"/>
      <c r="X88" s="34"/>
      <c r="Y88" s="35"/>
      <c r="Z88" s="34"/>
      <c r="AA88" s="35"/>
      <c r="AB88" s="34"/>
      <c r="AC88" s="35"/>
      <c r="AD88" s="34"/>
      <c r="AE88" s="35"/>
      <c r="AF88" s="30"/>
      <c r="AG88" s="13"/>
    </row>
    <row r="89" spans="1:33" outlineLevel="1">
      <c r="A89" s="4">
        <v>51295</v>
      </c>
      <c r="B89" s="4" t="s">
        <v>40</v>
      </c>
      <c r="C89" s="5"/>
      <c r="D89" s="2"/>
      <c r="E89" s="6"/>
      <c r="F89" s="7"/>
      <c r="G89" s="8">
        <v>943.22</v>
      </c>
      <c r="H89" s="7"/>
      <c r="I89" s="8">
        <v>955.56</v>
      </c>
      <c r="J89" s="7"/>
      <c r="K89" s="8">
        <v>983.22</v>
      </c>
      <c r="L89" s="7"/>
      <c r="M89" s="8">
        <v>943.22</v>
      </c>
      <c r="N89" s="7"/>
      <c r="O89" s="8">
        <v>943.22</v>
      </c>
      <c r="P89" s="7"/>
      <c r="Q89" s="8">
        <v>943.22</v>
      </c>
      <c r="R89" s="7"/>
      <c r="S89" s="8">
        <v>943.22</v>
      </c>
      <c r="T89" s="7"/>
      <c r="U89" s="8">
        <v>943.22</v>
      </c>
      <c r="V89" s="7"/>
      <c r="W89" s="8">
        <v>943.27</v>
      </c>
      <c r="X89" s="7"/>
      <c r="Y89" s="8">
        <v>0</v>
      </c>
      <c r="Z89" s="7"/>
      <c r="AA89" s="8">
        <v>634.91</v>
      </c>
      <c r="AB89" s="7"/>
      <c r="AC89" s="8">
        <v>317.41000000000003</v>
      </c>
      <c r="AD89" s="7"/>
      <c r="AE89" s="8">
        <f>AC89+AA89+Y89+W89+U89+S89+Q89+O89+M89+K89+I89+G89</f>
        <v>9493.69</v>
      </c>
      <c r="AF89" s="9"/>
      <c r="AG89" s="10"/>
    </row>
    <row r="90" spans="1:33" s="6" customFormat="1" ht="5.0999999999999996" customHeight="1" outlineLevel="1">
      <c r="A90" s="5"/>
      <c r="B90" s="5"/>
      <c r="C90" s="5"/>
      <c r="D90" s="5"/>
      <c r="G90" s="36"/>
      <c r="H90" s="34"/>
      <c r="I90" s="36"/>
      <c r="J90" s="34"/>
      <c r="K90" s="36"/>
      <c r="L90" s="34"/>
      <c r="M90" s="36"/>
      <c r="N90" s="34"/>
      <c r="O90" s="36"/>
      <c r="P90" s="34"/>
      <c r="Q90" s="36"/>
      <c r="R90" s="34"/>
      <c r="S90" s="36"/>
      <c r="T90" s="34"/>
      <c r="U90" s="36"/>
      <c r="V90" s="34"/>
      <c r="W90" s="36"/>
      <c r="X90" s="34"/>
      <c r="Y90" s="36"/>
      <c r="Z90" s="34"/>
      <c r="AA90" s="36"/>
      <c r="AB90" s="34"/>
      <c r="AC90" s="36"/>
      <c r="AD90" s="34"/>
      <c r="AE90" s="36"/>
      <c r="AF90" s="30"/>
      <c r="AG90" s="13"/>
    </row>
    <row r="91" spans="1:33" s="6" customFormat="1" ht="15">
      <c r="C91" s="5" t="s">
        <v>41</v>
      </c>
      <c r="G91" s="33">
        <f>SUM(G89:G90)</f>
        <v>943.22</v>
      </c>
      <c r="H91" s="34"/>
      <c r="I91" s="33">
        <f>SUM(I89:I90)</f>
        <v>955.56</v>
      </c>
      <c r="J91" s="34"/>
      <c r="K91" s="33">
        <f>SUM(K89:K90)</f>
        <v>983.22</v>
      </c>
      <c r="L91" s="34"/>
      <c r="M91" s="33">
        <f>SUM(M89:M90)</f>
        <v>943.22</v>
      </c>
      <c r="N91" s="34"/>
      <c r="O91" s="33">
        <f>SUM(O89:O90)</f>
        <v>943.22</v>
      </c>
      <c r="P91" s="34"/>
      <c r="Q91" s="33">
        <f>SUM(Q89:Q90)</f>
        <v>943.22</v>
      </c>
      <c r="R91" s="34"/>
      <c r="S91" s="33">
        <f>SUM(S89:S90)</f>
        <v>943.22</v>
      </c>
      <c r="T91" s="34"/>
      <c r="U91" s="33">
        <f>SUM(U89:U90)</f>
        <v>943.22</v>
      </c>
      <c r="V91" s="34"/>
      <c r="W91" s="33">
        <f>SUM(W89:W90)</f>
        <v>943.27</v>
      </c>
      <c r="X91" s="34"/>
      <c r="Y91" s="33">
        <f>SUM(Y89:Y90)</f>
        <v>0</v>
      </c>
      <c r="Z91" s="34"/>
      <c r="AA91" s="33">
        <f>SUM(AA89:AA90)</f>
        <v>634.91</v>
      </c>
      <c r="AB91" s="34"/>
      <c r="AC91" s="33">
        <f>SUM(AC89:AC90)</f>
        <v>317.41000000000003</v>
      </c>
      <c r="AD91" s="34"/>
      <c r="AE91" s="33">
        <f>SUM(AE89:AE90)</f>
        <v>9493.69</v>
      </c>
      <c r="AF91" s="9"/>
      <c r="AG91" s="13"/>
    </row>
    <row r="92" spans="1:33" s="6" customFormat="1" ht="15" outlineLevel="1">
      <c r="G92" s="35"/>
      <c r="H92" s="34"/>
      <c r="I92" s="35"/>
      <c r="J92" s="34"/>
      <c r="K92" s="35"/>
      <c r="L92" s="34"/>
      <c r="M92" s="35"/>
      <c r="N92" s="34"/>
      <c r="O92" s="35"/>
      <c r="P92" s="34"/>
      <c r="Q92" s="35"/>
      <c r="R92" s="34"/>
      <c r="S92" s="35"/>
      <c r="T92" s="34"/>
      <c r="U92" s="35"/>
      <c r="V92" s="34"/>
      <c r="W92" s="35"/>
      <c r="X92" s="34"/>
      <c r="Y92" s="35"/>
      <c r="Z92" s="34"/>
      <c r="AA92" s="35"/>
      <c r="AB92" s="34"/>
      <c r="AC92" s="35"/>
      <c r="AD92" s="34"/>
      <c r="AE92" s="35"/>
      <c r="AF92" s="30"/>
      <c r="AG92" s="13"/>
    </row>
    <row r="93" spans="1:33" s="6" customFormat="1" ht="15" outlineLevel="1">
      <c r="G93" s="35"/>
      <c r="H93" s="34"/>
      <c r="I93" s="35"/>
      <c r="J93" s="34"/>
      <c r="K93" s="35"/>
      <c r="L93" s="34"/>
      <c r="M93" s="35"/>
      <c r="N93" s="34"/>
      <c r="O93" s="35"/>
      <c r="P93" s="34"/>
      <c r="Q93" s="35"/>
      <c r="R93" s="34"/>
      <c r="S93" s="35"/>
      <c r="T93" s="34"/>
      <c r="U93" s="35"/>
      <c r="V93" s="34"/>
      <c r="W93" s="35"/>
      <c r="X93" s="34"/>
      <c r="Y93" s="35"/>
      <c r="Z93" s="34"/>
      <c r="AA93" s="35"/>
      <c r="AB93" s="34"/>
      <c r="AC93" s="35"/>
      <c r="AD93" s="34"/>
      <c r="AE93" s="35"/>
      <c r="AF93" s="30"/>
      <c r="AG93" s="13"/>
    </row>
    <row r="94" spans="1:33" outlineLevel="1">
      <c r="A94" s="4">
        <v>52020</v>
      </c>
      <c r="B94" s="4" t="s">
        <v>30</v>
      </c>
      <c r="C94" s="5"/>
      <c r="D94" s="2"/>
      <c r="E94" s="6"/>
      <c r="F94" s="7"/>
      <c r="G94" s="8">
        <v>0</v>
      </c>
      <c r="H94" s="7"/>
      <c r="I94" s="8">
        <v>0</v>
      </c>
      <c r="J94" s="7"/>
      <c r="K94" s="8">
        <v>0</v>
      </c>
      <c r="L94" s="7"/>
      <c r="M94" s="8">
        <v>0</v>
      </c>
      <c r="N94" s="7"/>
      <c r="O94" s="8">
        <v>1578.51</v>
      </c>
      <c r="P94" s="7"/>
      <c r="Q94" s="8">
        <v>3225.2</v>
      </c>
      <c r="R94" s="7"/>
      <c r="S94" s="8">
        <v>2995.97</v>
      </c>
      <c r="T94" s="7"/>
      <c r="U94" s="8">
        <v>2962.6</v>
      </c>
      <c r="V94" s="7"/>
      <c r="W94" s="8">
        <v>3286.61</v>
      </c>
      <c r="X94" s="7"/>
      <c r="Y94" s="8">
        <v>2924.82</v>
      </c>
      <c r="Z94" s="7"/>
      <c r="AA94" s="8">
        <v>2749.62</v>
      </c>
      <c r="AB94" s="7"/>
      <c r="AC94" s="8">
        <v>3241.98</v>
      </c>
      <c r="AD94" s="7"/>
      <c r="AE94" s="8">
        <f t="shared" ref="AE94:AE107" si="4">AC94+AA94+Y94+W94+U94+S94+Q94+O94+M94+K94+I94+G94</f>
        <v>22965.31</v>
      </c>
      <c r="AF94" s="9"/>
      <c r="AG94" s="10"/>
    </row>
    <row r="95" spans="1:33" outlineLevel="1">
      <c r="A95" s="4">
        <v>52025</v>
      </c>
      <c r="B95" s="4" t="s">
        <v>31</v>
      </c>
      <c r="C95" s="5"/>
      <c r="D95" s="2"/>
      <c r="E95" s="6"/>
      <c r="F95" s="7"/>
      <c r="G95" s="8">
        <v>0</v>
      </c>
      <c r="H95" s="7"/>
      <c r="I95" s="8">
        <v>0</v>
      </c>
      <c r="J95" s="7"/>
      <c r="K95" s="8">
        <v>0</v>
      </c>
      <c r="L95" s="7"/>
      <c r="M95" s="8">
        <v>0</v>
      </c>
      <c r="N95" s="7"/>
      <c r="O95" s="8">
        <v>477.12</v>
      </c>
      <c r="P95" s="7"/>
      <c r="Q95" s="8">
        <v>1120.07</v>
      </c>
      <c r="R95" s="7"/>
      <c r="S95" s="8">
        <v>1585.26</v>
      </c>
      <c r="T95" s="7"/>
      <c r="U95" s="8">
        <v>510.03</v>
      </c>
      <c r="V95" s="7"/>
      <c r="W95" s="8">
        <v>151.9</v>
      </c>
      <c r="X95" s="7"/>
      <c r="Y95" s="8">
        <v>444.31</v>
      </c>
      <c r="Z95" s="7"/>
      <c r="AA95" s="8">
        <v>35.17</v>
      </c>
      <c r="AB95" s="7"/>
      <c r="AC95" s="8">
        <v>416.19</v>
      </c>
      <c r="AD95" s="7"/>
      <c r="AE95" s="8">
        <f t="shared" si="4"/>
        <v>4740.05</v>
      </c>
      <c r="AF95" s="9"/>
      <c r="AG95" s="10"/>
    </row>
    <row r="96" spans="1:33" outlineLevel="1">
      <c r="A96" s="4">
        <v>52035</v>
      </c>
      <c r="B96" s="4" t="s">
        <v>32</v>
      </c>
      <c r="C96" s="5"/>
      <c r="D96" s="2"/>
      <c r="E96" s="6"/>
      <c r="F96" s="7"/>
      <c r="G96" s="8">
        <v>0</v>
      </c>
      <c r="H96" s="7"/>
      <c r="I96" s="8">
        <v>0</v>
      </c>
      <c r="J96" s="7"/>
      <c r="K96" s="8">
        <v>0</v>
      </c>
      <c r="L96" s="7"/>
      <c r="M96" s="8">
        <v>0</v>
      </c>
      <c r="N96" s="7"/>
      <c r="O96" s="8">
        <v>0</v>
      </c>
      <c r="P96" s="7"/>
      <c r="Q96" s="8">
        <v>0</v>
      </c>
      <c r="R96" s="7"/>
      <c r="S96" s="8">
        <v>0</v>
      </c>
      <c r="T96" s="7"/>
      <c r="U96" s="8">
        <v>0</v>
      </c>
      <c r="V96" s="7"/>
      <c r="W96" s="8">
        <v>1141.8599999999999</v>
      </c>
      <c r="X96" s="7"/>
      <c r="Y96" s="8">
        <v>0</v>
      </c>
      <c r="Z96" s="7"/>
      <c r="AA96" s="8">
        <v>0</v>
      </c>
      <c r="AB96" s="7"/>
      <c r="AC96" s="8">
        <v>0</v>
      </c>
      <c r="AD96" s="7"/>
      <c r="AE96" s="8">
        <f t="shared" si="4"/>
        <v>1141.8599999999999</v>
      </c>
      <c r="AF96" s="9"/>
      <c r="AG96" s="10"/>
    </row>
    <row r="97" spans="1:33" outlineLevel="1">
      <c r="A97" s="4">
        <v>52050</v>
      </c>
      <c r="B97" s="4" t="s">
        <v>34</v>
      </c>
      <c r="C97" s="5"/>
      <c r="D97" s="2"/>
      <c r="E97" s="6"/>
      <c r="F97" s="7"/>
      <c r="G97" s="8">
        <v>0</v>
      </c>
      <c r="H97" s="7"/>
      <c r="I97" s="8">
        <v>0</v>
      </c>
      <c r="J97" s="7"/>
      <c r="K97" s="8">
        <v>0</v>
      </c>
      <c r="L97" s="7"/>
      <c r="M97" s="8">
        <v>0</v>
      </c>
      <c r="N97" s="7"/>
      <c r="O97" s="8">
        <v>194.15</v>
      </c>
      <c r="P97" s="7"/>
      <c r="Q97" s="8">
        <v>389.83</v>
      </c>
      <c r="R97" s="7"/>
      <c r="S97" s="8">
        <v>380.1</v>
      </c>
      <c r="T97" s="7"/>
      <c r="U97" s="8">
        <v>287.37</v>
      </c>
      <c r="V97" s="7"/>
      <c r="W97" s="8">
        <v>381.6</v>
      </c>
      <c r="X97" s="7"/>
      <c r="Y97" s="8">
        <v>324.35000000000002</v>
      </c>
      <c r="Z97" s="7"/>
      <c r="AA97" s="8">
        <v>257.44</v>
      </c>
      <c r="AB97" s="7"/>
      <c r="AC97" s="8">
        <v>305.89</v>
      </c>
      <c r="AD97" s="7"/>
      <c r="AE97" s="8">
        <f t="shared" si="4"/>
        <v>2520.73</v>
      </c>
      <c r="AF97" s="9"/>
      <c r="AG97" s="10"/>
    </row>
    <row r="98" spans="1:33" outlineLevel="1">
      <c r="A98" s="4">
        <v>52060</v>
      </c>
      <c r="B98" s="4" t="s">
        <v>35</v>
      </c>
      <c r="C98" s="5"/>
      <c r="D98" s="2"/>
      <c r="E98" s="6"/>
      <c r="F98" s="7"/>
      <c r="G98" s="8">
        <v>0</v>
      </c>
      <c r="H98" s="7"/>
      <c r="I98" s="8">
        <v>0</v>
      </c>
      <c r="J98" s="7"/>
      <c r="K98" s="8">
        <v>0</v>
      </c>
      <c r="L98" s="7"/>
      <c r="M98" s="8">
        <v>0</v>
      </c>
      <c r="N98" s="7"/>
      <c r="O98" s="8">
        <v>-65.540000000000006</v>
      </c>
      <c r="P98" s="7"/>
      <c r="Q98" s="8">
        <v>868.92</v>
      </c>
      <c r="R98" s="7"/>
      <c r="S98" s="8">
        <v>868.92</v>
      </c>
      <c r="T98" s="7"/>
      <c r="U98" s="8">
        <v>868.92</v>
      </c>
      <c r="V98" s="7"/>
      <c r="W98" s="8">
        <v>803.38</v>
      </c>
      <c r="X98" s="7"/>
      <c r="Y98" s="8">
        <v>868.92</v>
      </c>
      <c r="Z98" s="7"/>
      <c r="AA98" s="8">
        <v>868.92</v>
      </c>
      <c r="AB98" s="7"/>
      <c r="AC98" s="8">
        <v>868.92</v>
      </c>
      <c r="AD98" s="7"/>
      <c r="AE98" s="8">
        <f t="shared" si="4"/>
        <v>5951.36</v>
      </c>
      <c r="AF98" s="9"/>
      <c r="AG98" s="10"/>
    </row>
    <row r="99" spans="1:33" outlineLevel="1">
      <c r="A99" s="4">
        <v>52065</v>
      </c>
      <c r="B99" s="4" t="s">
        <v>36</v>
      </c>
      <c r="C99" s="5"/>
      <c r="D99" s="2"/>
      <c r="E99" s="6"/>
      <c r="F99" s="7"/>
      <c r="G99" s="8">
        <v>0</v>
      </c>
      <c r="H99" s="7"/>
      <c r="I99" s="8">
        <v>0</v>
      </c>
      <c r="J99" s="7"/>
      <c r="K99" s="8">
        <v>0</v>
      </c>
      <c r="L99" s="7"/>
      <c r="M99" s="8">
        <v>0</v>
      </c>
      <c r="N99" s="7"/>
      <c r="O99" s="8">
        <v>0</v>
      </c>
      <c r="P99" s="7"/>
      <c r="Q99" s="8">
        <v>0</v>
      </c>
      <c r="R99" s="7"/>
      <c r="S99" s="8">
        <v>0</v>
      </c>
      <c r="T99" s="7"/>
      <c r="U99" s="8">
        <v>0</v>
      </c>
      <c r="V99" s="7"/>
      <c r="W99" s="8">
        <v>696.4</v>
      </c>
      <c r="X99" s="7"/>
      <c r="Y99" s="8">
        <v>0</v>
      </c>
      <c r="Z99" s="7"/>
      <c r="AA99" s="8">
        <v>108.46</v>
      </c>
      <c r="AB99" s="7"/>
      <c r="AC99" s="8">
        <v>139.66</v>
      </c>
      <c r="AD99" s="7"/>
      <c r="AE99" s="8">
        <f t="shared" si="4"/>
        <v>944.52</v>
      </c>
      <c r="AF99" s="9"/>
      <c r="AG99" s="10"/>
    </row>
    <row r="100" spans="1:33" outlineLevel="1">
      <c r="A100" s="4">
        <v>52120</v>
      </c>
      <c r="B100" s="4" t="s">
        <v>42</v>
      </c>
      <c r="C100" s="5"/>
      <c r="D100" s="2"/>
      <c r="E100" s="6"/>
      <c r="F100" s="7"/>
      <c r="G100" s="8">
        <v>0</v>
      </c>
      <c r="H100" s="7"/>
      <c r="I100" s="8">
        <v>0</v>
      </c>
      <c r="J100" s="7"/>
      <c r="K100" s="8">
        <v>800.15</v>
      </c>
      <c r="L100" s="7"/>
      <c r="M100" s="8">
        <v>4097.41</v>
      </c>
      <c r="N100" s="7"/>
      <c r="O100" s="8">
        <v>207.29</v>
      </c>
      <c r="P100" s="7"/>
      <c r="Q100" s="8">
        <v>3406.3</v>
      </c>
      <c r="R100" s="7"/>
      <c r="S100" s="8">
        <v>2873.16</v>
      </c>
      <c r="T100" s="7"/>
      <c r="U100" s="8">
        <v>1907.34</v>
      </c>
      <c r="V100" s="7"/>
      <c r="W100" s="8">
        <v>947.32</v>
      </c>
      <c r="X100" s="7"/>
      <c r="Y100" s="8">
        <v>319.08999999999997</v>
      </c>
      <c r="Z100" s="7"/>
      <c r="AA100" s="8">
        <v>336.06</v>
      </c>
      <c r="AB100" s="7"/>
      <c r="AC100" s="8">
        <v>674.79</v>
      </c>
      <c r="AD100" s="7"/>
      <c r="AE100" s="8">
        <f t="shared" si="4"/>
        <v>15568.91</v>
      </c>
      <c r="AF100" s="9"/>
      <c r="AG100" s="10"/>
    </row>
    <row r="101" spans="1:33" outlineLevel="1">
      <c r="A101" s="4">
        <v>52125</v>
      </c>
      <c r="B101" s="4" t="s">
        <v>43</v>
      </c>
      <c r="C101" s="5"/>
      <c r="D101" s="2"/>
      <c r="E101" s="6"/>
      <c r="F101" s="7"/>
      <c r="G101" s="8">
        <v>326.95</v>
      </c>
      <c r="H101" s="7"/>
      <c r="I101" s="8">
        <v>348.85</v>
      </c>
      <c r="J101" s="7"/>
      <c r="K101" s="8">
        <v>1224.8800000000001</v>
      </c>
      <c r="L101" s="7"/>
      <c r="M101" s="8">
        <v>1639.05</v>
      </c>
      <c r="N101" s="7"/>
      <c r="O101" s="8">
        <v>765.46</v>
      </c>
      <c r="P101" s="7"/>
      <c r="Q101" s="8">
        <v>1120.7</v>
      </c>
      <c r="R101" s="7"/>
      <c r="S101" s="8">
        <v>1262.8599999999999</v>
      </c>
      <c r="T101" s="7"/>
      <c r="U101" s="8">
        <v>920.3</v>
      </c>
      <c r="V101" s="7"/>
      <c r="W101" s="8">
        <v>691.3</v>
      </c>
      <c r="X101" s="7"/>
      <c r="Y101" s="8">
        <v>7.31</v>
      </c>
      <c r="Z101" s="7"/>
      <c r="AA101" s="8">
        <v>298.31</v>
      </c>
      <c r="AB101" s="7"/>
      <c r="AC101" s="8">
        <v>182.03</v>
      </c>
      <c r="AD101" s="7"/>
      <c r="AE101" s="8">
        <f t="shared" si="4"/>
        <v>8788</v>
      </c>
      <c r="AF101" s="9"/>
      <c r="AG101" s="10"/>
    </row>
    <row r="102" spans="1:33" outlineLevel="1">
      <c r="A102" s="4">
        <v>52135</v>
      </c>
      <c r="B102" s="4" t="s">
        <v>44</v>
      </c>
      <c r="C102" s="5"/>
      <c r="D102" s="2"/>
      <c r="E102" s="6"/>
      <c r="F102" s="7"/>
      <c r="G102" s="8">
        <v>443.05</v>
      </c>
      <c r="H102" s="7"/>
      <c r="I102" s="8">
        <v>297</v>
      </c>
      <c r="J102" s="7"/>
      <c r="K102" s="8">
        <v>259</v>
      </c>
      <c r="L102" s="7"/>
      <c r="M102" s="8">
        <v>237</v>
      </c>
      <c r="N102" s="7"/>
      <c r="O102" s="8">
        <v>212.71</v>
      </c>
      <c r="P102" s="7"/>
      <c r="Q102" s="8">
        <v>0</v>
      </c>
      <c r="R102" s="7"/>
      <c r="S102" s="8">
        <v>210</v>
      </c>
      <c r="T102" s="7"/>
      <c r="U102" s="8">
        <v>0</v>
      </c>
      <c r="V102" s="7"/>
      <c r="W102" s="8">
        <v>204.63</v>
      </c>
      <c r="X102" s="7"/>
      <c r="Y102" s="8">
        <v>204.63</v>
      </c>
      <c r="Z102" s="7"/>
      <c r="AA102" s="8">
        <v>204.63</v>
      </c>
      <c r="AB102" s="7"/>
      <c r="AC102" s="8">
        <v>0</v>
      </c>
      <c r="AD102" s="7"/>
      <c r="AE102" s="8">
        <f t="shared" si="4"/>
        <v>2272.65</v>
      </c>
      <c r="AF102" s="9"/>
      <c r="AG102" s="10"/>
    </row>
    <row r="103" spans="1:33" outlineLevel="1">
      <c r="A103" s="4">
        <v>52140</v>
      </c>
      <c r="B103" s="4" t="s">
        <v>45</v>
      </c>
      <c r="C103" s="5"/>
      <c r="D103" s="2"/>
      <c r="E103" s="6"/>
      <c r="F103" s="7"/>
      <c r="G103" s="8">
        <v>0</v>
      </c>
      <c r="H103" s="7"/>
      <c r="I103" s="8">
        <v>0</v>
      </c>
      <c r="J103" s="7"/>
      <c r="K103" s="8">
        <v>3219.29</v>
      </c>
      <c r="L103" s="7"/>
      <c r="M103" s="8">
        <v>1268.98</v>
      </c>
      <c r="N103" s="7"/>
      <c r="O103" s="8">
        <v>1891.88</v>
      </c>
      <c r="P103" s="7"/>
      <c r="Q103" s="8">
        <v>-450.37</v>
      </c>
      <c r="R103" s="7"/>
      <c r="S103" s="8">
        <v>1608.56</v>
      </c>
      <c r="T103" s="7"/>
      <c r="U103" s="8">
        <v>3207.02</v>
      </c>
      <c r="V103" s="7"/>
      <c r="W103" s="8">
        <v>902.61</v>
      </c>
      <c r="X103" s="7"/>
      <c r="Y103" s="8">
        <v>776.98</v>
      </c>
      <c r="Z103" s="7"/>
      <c r="AA103" s="8">
        <v>1840.38</v>
      </c>
      <c r="AB103" s="7"/>
      <c r="AC103" s="8">
        <v>539.91</v>
      </c>
      <c r="AD103" s="7"/>
      <c r="AE103" s="8">
        <f t="shared" si="4"/>
        <v>14805.239999999998</v>
      </c>
      <c r="AF103" s="9"/>
      <c r="AG103" s="10"/>
    </row>
    <row r="104" spans="1:33" outlineLevel="1">
      <c r="A104" s="4">
        <v>52142</v>
      </c>
      <c r="B104" s="4" t="s">
        <v>46</v>
      </c>
      <c r="C104" s="5"/>
      <c r="D104" s="2"/>
      <c r="E104" s="6"/>
      <c r="F104" s="7"/>
      <c r="G104" s="8">
        <v>6209.67</v>
      </c>
      <c r="H104" s="7"/>
      <c r="I104" s="8">
        <v>6400</v>
      </c>
      <c r="J104" s="7"/>
      <c r="K104" s="8">
        <v>3362.17</v>
      </c>
      <c r="L104" s="7"/>
      <c r="M104" s="8">
        <v>4748.8900000000003</v>
      </c>
      <c r="N104" s="7"/>
      <c r="O104" s="8">
        <v>4055.63</v>
      </c>
      <c r="P104" s="7"/>
      <c r="Q104" s="8">
        <v>4181.5600000000004</v>
      </c>
      <c r="R104" s="7"/>
      <c r="S104" s="8">
        <v>4076.32</v>
      </c>
      <c r="T104" s="7"/>
      <c r="U104" s="8">
        <v>3347.19</v>
      </c>
      <c r="V104" s="7"/>
      <c r="W104" s="8">
        <v>3773.87</v>
      </c>
      <c r="X104" s="7"/>
      <c r="Y104" s="8">
        <v>2980.9</v>
      </c>
      <c r="Z104" s="7"/>
      <c r="AA104" s="8">
        <v>2711.58</v>
      </c>
      <c r="AB104" s="7"/>
      <c r="AC104" s="8">
        <v>3120.1</v>
      </c>
      <c r="AD104" s="7"/>
      <c r="AE104" s="8">
        <f t="shared" si="4"/>
        <v>48967.880000000005</v>
      </c>
      <c r="AF104" s="9"/>
      <c r="AG104" s="10"/>
    </row>
    <row r="105" spans="1:33" outlineLevel="1">
      <c r="A105" s="4">
        <v>52146</v>
      </c>
      <c r="B105" s="4" t="s">
        <v>47</v>
      </c>
      <c r="C105" s="5"/>
      <c r="D105" s="2"/>
      <c r="E105" s="6"/>
      <c r="F105" s="7"/>
      <c r="G105" s="8">
        <v>94.83</v>
      </c>
      <c r="H105" s="7"/>
      <c r="I105" s="8">
        <v>112.82</v>
      </c>
      <c r="J105" s="7"/>
      <c r="K105" s="8">
        <v>8.4600000000000009</v>
      </c>
      <c r="L105" s="7"/>
      <c r="M105" s="8">
        <v>130.88</v>
      </c>
      <c r="N105" s="7"/>
      <c r="O105" s="8">
        <v>198.94</v>
      </c>
      <c r="P105" s="7"/>
      <c r="Q105" s="8">
        <v>145.83000000000001</v>
      </c>
      <c r="R105" s="7"/>
      <c r="S105" s="8">
        <v>349.44</v>
      </c>
      <c r="T105" s="7"/>
      <c r="U105" s="8">
        <v>5.09</v>
      </c>
      <c r="V105" s="7"/>
      <c r="W105" s="8">
        <v>451.41</v>
      </c>
      <c r="X105" s="7"/>
      <c r="Y105" s="8">
        <v>612.59</v>
      </c>
      <c r="Z105" s="7"/>
      <c r="AA105" s="8">
        <v>316.45</v>
      </c>
      <c r="AB105" s="7"/>
      <c r="AC105" s="8">
        <v>182.58</v>
      </c>
      <c r="AD105" s="7"/>
      <c r="AE105" s="8">
        <f t="shared" si="4"/>
        <v>2609.3200000000002</v>
      </c>
      <c r="AF105" s="9"/>
      <c r="AG105" s="10"/>
    </row>
    <row r="106" spans="1:33" outlineLevel="1">
      <c r="A106" s="4">
        <v>52147</v>
      </c>
      <c r="B106" s="4" t="s">
        <v>48</v>
      </c>
      <c r="C106" s="5"/>
      <c r="D106" s="2"/>
      <c r="E106" s="6"/>
      <c r="F106" s="7"/>
      <c r="G106" s="8">
        <v>0</v>
      </c>
      <c r="H106" s="7"/>
      <c r="I106" s="8">
        <v>0</v>
      </c>
      <c r="J106" s="7"/>
      <c r="K106" s="8">
        <v>0</v>
      </c>
      <c r="L106" s="7"/>
      <c r="M106" s="8">
        <v>264.94</v>
      </c>
      <c r="N106" s="7"/>
      <c r="O106" s="8">
        <v>330.59</v>
      </c>
      <c r="P106" s="7"/>
      <c r="Q106" s="8">
        <v>824.64</v>
      </c>
      <c r="R106" s="7"/>
      <c r="S106" s="8">
        <v>816.28</v>
      </c>
      <c r="T106" s="7"/>
      <c r="U106" s="8">
        <v>1749.2</v>
      </c>
      <c r="V106" s="7"/>
      <c r="W106" s="8">
        <v>258.48</v>
      </c>
      <c r="X106" s="7"/>
      <c r="Y106" s="8">
        <v>2432.37</v>
      </c>
      <c r="Z106" s="7"/>
      <c r="AA106" s="8">
        <v>9567.07</v>
      </c>
      <c r="AB106" s="7"/>
      <c r="AC106" s="8">
        <v>0</v>
      </c>
      <c r="AD106" s="7"/>
      <c r="AE106" s="8">
        <f t="shared" si="4"/>
        <v>16243.57</v>
      </c>
      <c r="AF106" s="9"/>
      <c r="AG106" s="10"/>
    </row>
    <row r="107" spans="1:33" outlineLevel="1">
      <c r="A107" s="4">
        <v>52182</v>
      </c>
      <c r="B107" s="4" t="s">
        <v>50</v>
      </c>
      <c r="C107" s="5"/>
      <c r="D107" s="2"/>
      <c r="E107" s="6"/>
      <c r="F107" s="7"/>
      <c r="G107" s="8">
        <v>590.4</v>
      </c>
      <c r="H107" s="7"/>
      <c r="I107" s="8">
        <v>325.2</v>
      </c>
      <c r="J107" s="7"/>
      <c r="K107" s="8">
        <v>0</v>
      </c>
      <c r="L107" s="7"/>
      <c r="M107" s="8">
        <v>1568.4</v>
      </c>
      <c r="N107" s="7"/>
      <c r="O107" s="8">
        <v>0</v>
      </c>
      <c r="P107" s="7"/>
      <c r="Q107" s="8">
        <v>0</v>
      </c>
      <c r="R107" s="7"/>
      <c r="S107" s="8">
        <v>0</v>
      </c>
      <c r="T107" s="7"/>
      <c r="U107" s="8">
        <v>0</v>
      </c>
      <c r="V107" s="7"/>
      <c r="W107" s="8">
        <v>0</v>
      </c>
      <c r="X107" s="7"/>
      <c r="Y107" s="8">
        <v>0</v>
      </c>
      <c r="Z107" s="7"/>
      <c r="AA107" s="8">
        <v>0</v>
      </c>
      <c r="AB107" s="7"/>
      <c r="AC107" s="8">
        <v>0</v>
      </c>
      <c r="AD107" s="7"/>
      <c r="AE107" s="8">
        <f t="shared" si="4"/>
        <v>2484</v>
      </c>
      <c r="AF107" s="9"/>
      <c r="AG107" s="10"/>
    </row>
    <row r="108" spans="1:33" s="6" customFormat="1" ht="5.0999999999999996" customHeight="1" outlineLevel="1">
      <c r="A108" s="5"/>
      <c r="B108" s="5"/>
      <c r="C108" s="5"/>
      <c r="D108" s="5"/>
      <c r="G108" s="36"/>
      <c r="H108" s="34"/>
      <c r="I108" s="36"/>
      <c r="J108" s="34"/>
      <c r="K108" s="36"/>
      <c r="L108" s="34"/>
      <c r="M108" s="36"/>
      <c r="N108" s="34"/>
      <c r="O108" s="36"/>
      <c r="P108" s="34"/>
      <c r="Q108" s="36"/>
      <c r="R108" s="34"/>
      <c r="S108" s="36"/>
      <c r="T108" s="34"/>
      <c r="U108" s="36"/>
      <c r="V108" s="34"/>
      <c r="W108" s="36"/>
      <c r="X108" s="34"/>
      <c r="Y108" s="36"/>
      <c r="Z108" s="34"/>
      <c r="AA108" s="36"/>
      <c r="AB108" s="34"/>
      <c r="AC108" s="36"/>
      <c r="AD108" s="34"/>
      <c r="AE108" s="36"/>
      <c r="AF108" s="30"/>
      <c r="AG108" s="13"/>
    </row>
    <row r="109" spans="1:33" s="6" customFormat="1" ht="15">
      <c r="C109" s="5" t="s">
        <v>51</v>
      </c>
      <c r="G109" s="33">
        <f>SUM(G93:G108)</f>
        <v>7664.9</v>
      </c>
      <c r="H109" s="34"/>
      <c r="I109" s="33">
        <f>SUM(I93:I108)</f>
        <v>7483.87</v>
      </c>
      <c r="J109" s="34"/>
      <c r="K109" s="33">
        <f>SUM(K93:K108)</f>
        <v>8873.9499999999989</v>
      </c>
      <c r="L109" s="34"/>
      <c r="M109" s="33">
        <f>SUM(M93:M108)</f>
        <v>13955.550000000001</v>
      </c>
      <c r="N109" s="34"/>
      <c r="O109" s="33">
        <f>SUM(O93:O108)</f>
        <v>9846.74</v>
      </c>
      <c r="P109" s="34"/>
      <c r="Q109" s="33">
        <f>SUM(Q93:Q108)</f>
        <v>14832.679999999998</v>
      </c>
      <c r="R109" s="34"/>
      <c r="S109" s="33">
        <f>SUM(S93:S108)</f>
        <v>17026.87</v>
      </c>
      <c r="T109" s="34"/>
      <c r="U109" s="33">
        <f>SUM(U93:U108)</f>
        <v>15765.060000000001</v>
      </c>
      <c r="V109" s="34"/>
      <c r="W109" s="33">
        <f>SUM(W93:W108)</f>
        <v>13691.369999999999</v>
      </c>
      <c r="X109" s="34"/>
      <c r="Y109" s="33">
        <f>SUM(Y93:Y108)</f>
        <v>11896.27</v>
      </c>
      <c r="Z109" s="34"/>
      <c r="AA109" s="33">
        <f>SUM(AA93:AA108)</f>
        <v>19294.09</v>
      </c>
      <c r="AB109" s="34"/>
      <c r="AC109" s="33">
        <f>SUM(AC93:AC108)</f>
        <v>9672.0499999999993</v>
      </c>
      <c r="AD109" s="34"/>
      <c r="AE109" s="33">
        <f>SUM(AE93:AE108)</f>
        <v>150003.4</v>
      </c>
      <c r="AF109" s="9"/>
      <c r="AG109" s="13"/>
    </row>
    <row r="110" spans="1:33" s="6" customFormat="1" ht="15" outlineLevel="1">
      <c r="G110" s="35"/>
      <c r="H110" s="34"/>
      <c r="I110" s="35"/>
      <c r="J110" s="34"/>
      <c r="K110" s="35"/>
      <c r="L110" s="34"/>
      <c r="M110" s="35"/>
      <c r="N110" s="34"/>
      <c r="O110" s="35"/>
      <c r="P110" s="34"/>
      <c r="Q110" s="35"/>
      <c r="R110" s="34"/>
      <c r="S110" s="35"/>
      <c r="T110" s="34"/>
      <c r="U110" s="35"/>
      <c r="V110" s="34"/>
      <c r="W110" s="35"/>
      <c r="X110" s="34"/>
      <c r="Y110" s="35"/>
      <c r="Z110" s="34"/>
      <c r="AA110" s="35"/>
      <c r="AB110" s="34"/>
      <c r="AC110" s="35"/>
      <c r="AD110" s="34"/>
      <c r="AE110" s="35"/>
      <c r="AF110" s="30"/>
      <c r="AG110" s="13"/>
    </row>
    <row r="111" spans="1:33" s="6" customFormat="1" ht="15" outlineLevel="1">
      <c r="G111" s="35"/>
      <c r="H111" s="34"/>
      <c r="I111" s="35"/>
      <c r="J111" s="34"/>
      <c r="K111" s="35"/>
      <c r="L111" s="34"/>
      <c r="M111" s="35"/>
      <c r="N111" s="34"/>
      <c r="O111" s="35"/>
      <c r="P111" s="34"/>
      <c r="Q111" s="35"/>
      <c r="R111" s="34"/>
      <c r="S111" s="35"/>
      <c r="T111" s="34"/>
      <c r="U111" s="35"/>
      <c r="V111" s="34"/>
      <c r="W111" s="35"/>
      <c r="X111" s="34"/>
      <c r="Y111" s="35"/>
      <c r="Z111" s="34"/>
      <c r="AA111" s="35"/>
      <c r="AB111" s="34"/>
      <c r="AC111" s="35"/>
      <c r="AD111" s="34"/>
      <c r="AE111" s="35"/>
      <c r="AF111" s="30"/>
      <c r="AG111" s="13"/>
    </row>
    <row r="112" spans="1:33" outlineLevel="1">
      <c r="A112" s="4">
        <v>55125</v>
      </c>
      <c r="B112" s="4" t="s">
        <v>43</v>
      </c>
      <c r="C112" s="5"/>
      <c r="D112" s="2"/>
      <c r="E112" s="6"/>
      <c r="F112" s="7"/>
      <c r="G112" s="8">
        <v>0</v>
      </c>
      <c r="H112" s="7"/>
      <c r="I112" s="8">
        <v>0</v>
      </c>
      <c r="J112" s="7"/>
      <c r="K112" s="8">
        <v>0</v>
      </c>
      <c r="L112" s="7"/>
      <c r="M112" s="8">
        <v>0</v>
      </c>
      <c r="N112" s="7"/>
      <c r="O112" s="8">
        <v>0</v>
      </c>
      <c r="P112" s="7"/>
      <c r="Q112" s="8">
        <v>210</v>
      </c>
      <c r="R112" s="7"/>
      <c r="S112" s="8">
        <v>-210</v>
      </c>
      <c r="T112" s="7"/>
      <c r="U112" s="8">
        <v>210</v>
      </c>
      <c r="V112" s="7"/>
      <c r="W112" s="8">
        <v>0</v>
      </c>
      <c r="X112" s="7"/>
      <c r="Y112" s="8">
        <v>0</v>
      </c>
      <c r="Z112" s="7"/>
      <c r="AA112" s="8">
        <v>0</v>
      </c>
      <c r="AB112" s="7"/>
      <c r="AC112" s="8">
        <v>0</v>
      </c>
      <c r="AD112" s="7"/>
      <c r="AE112" s="8">
        <f>AC112+AA112+Y112+W112+U112+S112+Q112+O112+M112+K112+I112+G112</f>
        <v>210</v>
      </c>
      <c r="AF112" s="9"/>
      <c r="AG112" s="10"/>
    </row>
    <row r="113" spans="1:33" s="6" customFormat="1" ht="5.0999999999999996" customHeight="1" outlineLevel="1">
      <c r="A113" s="5"/>
      <c r="B113" s="5"/>
      <c r="C113" s="5"/>
      <c r="D113" s="5"/>
      <c r="G113" s="36"/>
      <c r="H113" s="34"/>
      <c r="I113" s="36"/>
      <c r="J113" s="34"/>
      <c r="K113" s="36"/>
      <c r="L113" s="34"/>
      <c r="M113" s="36"/>
      <c r="N113" s="34"/>
      <c r="O113" s="36"/>
      <c r="P113" s="34"/>
      <c r="Q113" s="36"/>
      <c r="R113" s="34"/>
      <c r="S113" s="36"/>
      <c r="T113" s="34"/>
      <c r="U113" s="36"/>
      <c r="V113" s="34"/>
      <c r="W113" s="36"/>
      <c r="X113" s="34"/>
      <c r="Y113" s="36"/>
      <c r="Z113" s="34"/>
      <c r="AA113" s="36"/>
      <c r="AB113" s="34"/>
      <c r="AC113" s="36"/>
      <c r="AD113" s="34"/>
      <c r="AE113" s="36"/>
      <c r="AF113" s="30"/>
      <c r="AG113" s="13"/>
    </row>
    <row r="114" spans="1:33" s="6" customFormat="1" ht="15">
      <c r="C114" s="5" t="s">
        <v>52</v>
      </c>
      <c r="G114" s="33">
        <f>SUM(G111:G113)</f>
        <v>0</v>
      </c>
      <c r="H114" s="34"/>
      <c r="I114" s="33">
        <f>SUM(I111:I113)</f>
        <v>0</v>
      </c>
      <c r="J114" s="34"/>
      <c r="K114" s="33">
        <f>SUM(K111:K113)</f>
        <v>0</v>
      </c>
      <c r="L114" s="34"/>
      <c r="M114" s="33">
        <f>SUM(M111:M113)</f>
        <v>0</v>
      </c>
      <c r="N114" s="34"/>
      <c r="O114" s="33">
        <f>SUM(O111:O113)</f>
        <v>0</v>
      </c>
      <c r="P114" s="34"/>
      <c r="Q114" s="33">
        <f>SUM(Q111:Q113)</f>
        <v>210</v>
      </c>
      <c r="R114" s="34"/>
      <c r="S114" s="33">
        <f>SUM(S111:S113)</f>
        <v>-210</v>
      </c>
      <c r="T114" s="34"/>
      <c r="U114" s="33">
        <f>SUM(U111:U113)</f>
        <v>210</v>
      </c>
      <c r="V114" s="34"/>
      <c r="W114" s="33">
        <f>SUM(W111:W113)</f>
        <v>0</v>
      </c>
      <c r="X114" s="34"/>
      <c r="Y114" s="33">
        <f>SUM(Y111:Y113)</f>
        <v>0</v>
      </c>
      <c r="Z114" s="34"/>
      <c r="AA114" s="33">
        <f>SUM(AA111:AA113)</f>
        <v>0</v>
      </c>
      <c r="AB114" s="34"/>
      <c r="AC114" s="33">
        <f>SUM(AC111:AC113)</f>
        <v>0</v>
      </c>
      <c r="AD114" s="34"/>
      <c r="AE114" s="33">
        <f>SUM(AE111:AE113)</f>
        <v>210</v>
      </c>
      <c r="AF114" s="9"/>
      <c r="AG114" s="13"/>
    </row>
    <row r="115" spans="1:33" s="6" customFormat="1" ht="15" outlineLevel="1">
      <c r="G115" s="35"/>
      <c r="H115" s="34"/>
      <c r="I115" s="35"/>
      <c r="J115" s="34"/>
      <c r="K115" s="35"/>
      <c r="L115" s="34"/>
      <c r="M115" s="35"/>
      <c r="N115" s="34"/>
      <c r="O115" s="35"/>
      <c r="P115" s="34"/>
      <c r="Q115" s="35"/>
      <c r="R115" s="34"/>
      <c r="S115" s="35"/>
      <c r="T115" s="34"/>
      <c r="U115" s="35"/>
      <c r="V115" s="34"/>
      <c r="W115" s="35"/>
      <c r="X115" s="34"/>
      <c r="Y115" s="35"/>
      <c r="Z115" s="34"/>
      <c r="AA115" s="35"/>
      <c r="AB115" s="34"/>
      <c r="AC115" s="35"/>
      <c r="AD115" s="34"/>
      <c r="AE115" s="35"/>
      <c r="AF115" s="30"/>
      <c r="AG115" s="13"/>
    </row>
    <row r="116" spans="1:33" s="6" customFormat="1" ht="15" outlineLevel="1">
      <c r="G116" s="35"/>
      <c r="H116" s="34"/>
      <c r="I116" s="35"/>
      <c r="J116" s="34"/>
      <c r="K116" s="35"/>
      <c r="L116" s="34"/>
      <c r="M116" s="35"/>
      <c r="N116" s="34"/>
      <c r="O116" s="35"/>
      <c r="P116" s="34"/>
      <c r="Q116" s="35"/>
      <c r="R116" s="34"/>
      <c r="S116" s="35"/>
      <c r="T116" s="34"/>
      <c r="U116" s="35"/>
      <c r="V116" s="34"/>
      <c r="W116" s="35"/>
      <c r="X116" s="34"/>
      <c r="Y116" s="35"/>
      <c r="Z116" s="34"/>
      <c r="AA116" s="35"/>
      <c r="AB116" s="34"/>
      <c r="AC116" s="35"/>
      <c r="AD116" s="34"/>
      <c r="AE116" s="35"/>
      <c r="AF116" s="30"/>
      <c r="AG116" s="13"/>
    </row>
    <row r="117" spans="1:33" outlineLevel="1">
      <c r="A117" s="4">
        <v>56010</v>
      </c>
      <c r="B117" s="4" t="s">
        <v>53</v>
      </c>
      <c r="C117" s="5"/>
      <c r="D117" s="2"/>
      <c r="E117" s="6"/>
      <c r="F117" s="7"/>
      <c r="G117" s="8">
        <v>5500</v>
      </c>
      <c r="H117" s="7"/>
      <c r="I117" s="8">
        <v>5250</v>
      </c>
      <c r="J117" s="7"/>
      <c r="K117" s="8">
        <v>5500</v>
      </c>
      <c r="L117" s="7"/>
      <c r="M117" s="8">
        <v>5750</v>
      </c>
      <c r="N117" s="7"/>
      <c r="O117" s="8">
        <v>5250</v>
      </c>
      <c r="P117" s="7"/>
      <c r="Q117" s="8">
        <v>5500</v>
      </c>
      <c r="R117" s="7"/>
      <c r="S117" s="8">
        <v>5500</v>
      </c>
      <c r="T117" s="7"/>
      <c r="U117" s="8">
        <v>5250</v>
      </c>
      <c r="V117" s="7"/>
      <c r="W117" s="8">
        <v>5750</v>
      </c>
      <c r="X117" s="7"/>
      <c r="Y117" s="8">
        <v>5343.75</v>
      </c>
      <c r="Z117" s="7"/>
      <c r="AA117" s="8">
        <v>5381.25</v>
      </c>
      <c r="AB117" s="7"/>
      <c r="AC117" s="8">
        <v>5893.75</v>
      </c>
      <c r="AD117" s="7"/>
      <c r="AE117" s="8">
        <f t="shared" ref="AE117:AE121" si="5">AC117+AA117+Y117+W117+U117+S117+Q117+O117+M117+K117+I117+G117</f>
        <v>65868.75</v>
      </c>
      <c r="AF117" s="9"/>
      <c r="AG117" s="10"/>
    </row>
    <row r="118" spans="1:33" outlineLevel="1">
      <c r="A118" s="4">
        <v>56050</v>
      </c>
      <c r="B118" s="4" t="s">
        <v>34</v>
      </c>
      <c r="C118" s="5"/>
      <c r="D118" s="2"/>
      <c r="E118" s="6"/>
      <c r="F118" s="7"/>
      <c r="G118" s="8">
        <v>561.91999999999996</v>
      </c>
      <c r="H118" s="7"/>
      <c r="I118" s="8">
        <v>534.66999999999996</v>
      </c>
      <c r="J118" s="7"/>
      <c r="K118" s="8">
        <v>483.49</v>
      </c>
      <c r="L118" s="7"/>
      <c r="M118" s="8">
        <v>501.29</v>
      </c>
      <c r="N118" s="7"/>
      <c r="O118" s="8">
        <v>377.35</v>
      </c>
      <c r="P118" s="7"/>
      <c r="Q118" s="8">
        <v>397.36</v>
      </c>
      <c r="R118" s="7"/>
      <c r="S118" s="8">
        <v>418.37</v>
      </c>
      <c r="T118" s="7"/>
      <c r="U118" s="8">
        <v>378.62</v>
      </c>
      <c r="V118" s="7"/>
      <c r="W118" s="8">
        <v>389.55</v>
      </c>
      <c r="X118" s="7"/>
      <c r="Y118" s="8">
        <v>511.44</v>
      </c>
      <c r="Z118" s="7"/>
      <c r="AA118" s="8">
        <v>454.7</v>
      </c>
      <c r="AB118" s="7"/>
      <c r="AC118" s="8">
        <v>456.45</v>
      </c>
      <c r="AD118" s="7"/>
      <c r="AE118" s="8">
        <f t="shared" si="5"/>
        <v>5465.21</v>
      </c>
      <c r="AF118" s="9"/>
      <c r="AG118" s="10"/>
    </row>
    <row r="119" spans="1:33" outlineLevel="1">
      <c r="A119" s="4">
        <v>56060</v>
      </c>
      <c r="B119" s="4" t="s">
        <v>35</v>
      </c>
      <c r="C119" s="5"/>
      <c r="D119" s="2"/>
      <c r="E119" s="6"/>
      <c r="F119" s="7"/>
      <c r="G119" s="8">
        <v>768.3</v>
      </c>
      <c r="H119" s="7"/>
      <c r="I119" s="8">
        <v>768.3</v>
      </c>
      <c r="J119" s="7"/>
      <c r="K119" s="8">
        <v>638.61</v>
      </c>
      <c r="L119" s="7"/>
      <c r="M119" s="8">
        <v>754.46</v>
      </c>
      <c r="N119" s="7"/>
      <c r="O119" s="8">
        <v>754.46</v>
      </c>
      <c r="P119" s="7"/>
      <c r="Q119" s="8">
        <v>754.46</v>
      </c>
      <c r="R119" s="7"/>
      <c r="S119" s="8">
        <v>754.46</v>
      </c>
      <c r="T119" s="7"/>
      <c r="U119" s="8">
        <v>754.46</v>
      </c>
      <c r="V119" s="7"/>
      <c r="W119" s="8">
        <v>631.69000000000005</v>
      </c>
      <c r="X119" s="7"/>
      <c r="Y119" s="8">
        <v>754.46</v>
      </c>
      <c r="Z119" s="7"/>
      <c r="AA119" s="8">
        <v>754.46</v>
      </c>
      <c r="AB119" s="7"/>
      <c r="AC119" s="8">
        <v>754.46</v>
      </c>
      <c r="AD119" s="7"/>
      <c r="AE119" s="8">
        <f t="shared" si="5"/>
        <v>8842.58</v>
      </c>
      <c r="AF119" s="9"/>
      <c r="AG119" s="10"/>
    </row>
    <row r="120" spans="1:33" outlineLevel="1">
      <c r="A120" s="4">
        <v>56065</v>
      </c>
      <c r="B120" s="4" t="s">
        <v>36</v>
      </c>
      <c r="C120" s="5"/>
      <c r="D120" s="2"/>
      <c r="E120" s="6"/>
      <c r="F120" s="7"/>
      <c r="G120" s="8">
        <v>0</v>
      </c>
      <c r="H120" s="7"/>
      <c r="I120" s="8">
        <v>194.09</v>
      </c>
      <c r="J120" s="7"/>
      <c r="K120" s="8">
        <v>-158.52000000000001</v>
      </c>
      <c r="L120" s="7"/>
      <c r="M120" s="8">
        <v>364.28</v>
      </c>
      <c r="N120" s="7"/>
      <c r="O120" s="8">
        <v>-423.96</v>
      </c>
      <c r="P120" s="7"/>
      <c r="Q120" s="8">
        <v>110.6</v>
      </c>
      <c r="R120" s="7"/>
      <c r="S120" s="8">
        <v>232.26</v>
      </c>
      <c r="T120" s="7"/>
      <c r="U120" s="8">
        <v>221.19</v>
      </c>
      <c r="V120" s="7"/>
      <c r="W120" s="8">
        <v>-847.92</v>
      </c>
      <c r="X120" s="7"/>
      <c r="Y120" s="8">
        <v>237.97</v>
      </c>
      <c r="Z120" s="7"/>
      <c r="AA120" s="8">
        <v>219.17</v>
      </c>
      <c r="AB120" s="7"/>
      <c r="AC120" s="8">
        <v>256.95999999999998</v>
      </c>
      <c r="AD120" s="7"/>
      <c r="AE120" s="8">
        <f t="shared" si="5"/>
        <v>406.12</v>
      </c>
      <c r="AF120" s="9"/>
      <c r="AG120" s="10"/>
    </row>
    <row r="121" spans="1:33" outlineLevel="1">
      <c r="A121" s="4">
        <v>56201</v>
      </c>
      <c r="B121" s="4" t="s">
        <v>285</v>
      </c>
      <c r="C121" s="5"/>
      <c r="D121" s="2"/>
      <c r="E121" s="6"/>
      <c r="F121" s="7"/>
      <c r="G121" s="8">
        <v>0</v>
      </c>
      <c r="H121" s="7"/>
      <c r="I121" s="8">
        <v>0</v>
      </c>
      <c r="J121" s="7"/>
      <c r="K121" s="8">
        <v>0</v>
      </c>
      <c r="L121" s="7"/>
      <c r="M121" s="8">
        <v>0</v>
      </c>
      <c r="N121" s="7"/>
      <c r="O121" s="8">
        <v>0</v>
      </c>
      <c r="P121" s="7"/>
      <c r="Q121" s="8">
        <v>59.66</v>
      </c>
      <c r="R121" s="7"/>
      <c r="S121" s="8">
        <v>0</v>
      </c>
      <c r="T121" s="7"/>
      <c r="U121" s="8">
        <v>0</v>
      </c>
      <c r="V121" s="7"/>
      <c r="W121" s="8">
        <v>0</v>
      </c>
      <c r="X121" s="7"/>
      <c r="Y121" s="8">
        <v>0</v>
      </c>
      <c r="Z121" s="7"/>
      <c r="AA121" s="8">
        <v>0</v>
      </c>
      <c r="AB121" s="7"/>
      <c r="AC121" s="8">
        <v>0</v>
      </c>
      <c r="AD121" s="7"/>
      <c r="AE121" s="8">
        <f t="shared" si="5"/>
        <v>59.66</v>
      </c>
      <c r="AF121" s="9"/>
      <c r="AG121" s="10"/>
    </row>
    <row r="122" spans="1:33" s="6" customFormat="1" ht="5.0999999999999996" customHeight="1" outlineLevel="1">
      <c r="A122" s="5"/>
      <c r="B122" s="5"/>
      <c r="C122" s="5"/>
      <c r="D122" s="5"/>
      <c r="G122" s="36"/>
      <c r="H122" s="34"/>
      <c r="I122" s="36"/>
      <c r="J122" s="34"/>
      <c r="K122" s="36"/>
      <c r="L122" s="34"/>
      <c r="M122" s="36"/>
      <c r="N122" s="34"/>
      <c r="O122" s="36"/>
      <c r="P122" s="34"/>
      <c r="Q122" s="36"/>
      <c r="R122" s="34"/>
      <c r="S122" s="36"/>
      <c r="T122" s="34"/>
      <c r="U122" s="36"/>
      <c r="V122" s="34"/>
      <c r="W122" s="36"/>
      <c r="X122" s="34"/>
      <c r="Y122" s="36"/>
      <c r="Z122" s="34"/>
      <c r="AA122" s="36"/>
      <c r="AB122" s="34"/>
      <c r="AC122" s="36"/>
      <c r="AD122" s="34"/>
      <c r="AE122" s="36"/>
      <c r="AF122" s="30"/>
      <c r="AG122" s="13"/>
    </row>
    <row r="123" spans="1:33" s="6" customFormat="1" ht="15">
      <c r="C123" s="5" t="s">
        <v>54</v>
      </c>
      <c r="G123" s="33">
        <f>SUM(G116:G122)</f>
        <v>6830.22</v>
      </c>
      <c r="H123" s="34"/>
      <c r="I123" s="33">
        <f>SUM(I116:I122)</f>
        <v>6747.06</v>
      </c>
      <c r="J123" s="34"/>
      <c r="K123" s="33">
        <f>SUM(K116:K122)</f>
        <v>6463.579999999999</v>
      </c>
      <c r="L123" s="34"/>
      <c r="M123" s="33">
        <f>SUM(M116:M122)</f>
        <v>7370.03</v>
      </c>
      <c r="N123" s="34"/>
      <c r="O123" s="33">
        <f>SUM(O116:O122)</f>
        <v>5957.85</v>
      </c>
      <c r="P123" s="34"/>
      <c r="Q123" s="33">
        <f>SUM(Q116:Q122)</f>
        <v>6822.08</v>
      </c>
      <c r="R123" s="34"/>
      <c r="S123" s="33">
        <f>SUM(S116:S122)</f>
        <v>6905.09</v>
      </c>
      <c r="T123" s="34"/>
      <c r="U123" s="33">
        <f>SUM(U116:U122)</f>
        <v>6604.2699999999995</v>
      </c>
      <c r="V123" s="34"/>
      <c r="W123" s="33">
        <f>SUM(W116:W122)</f>
        <v>5923.32</v>
      </c>
      <c r="X123" s="34"/>
      <c r="Y123" s="33">
        <f>SUM(Y116:Y122)</f>
        <v>6847.62</v>
      </c>
      <c r="Z123" s="34"/>
      <c r="AA123" s="33">
        <f>SUM(AA116:AA122)</f>
        <v>6809.58</v>
      </c>
      <c r="AB123" s="34"/>
      <c r="AC123" s="33">
        <f>SUM(AC116:AC122)</f>
        <v>7361.62</v>
      </c>
      <c r="AD123" s="34"/>
      <c r="AE123" s="33">
        <f>SUM(AE116:AE122)</f>
        <v>80642.320000000007</v>
      </c>
      <c r="AF123" s="9"/>
      <c r="AG123" s="13"/>
    </row>
    <row r="124" spans="1:33" s="6" customFormat="1" ht="15" outlineLevel="1">
      <c r="G124" s="35"/>
      <c r="H124" s="34"/>
      <c r="I124" s="35"/>
      <c r="J124" s="34"/>
      <c r="K124" s="35"/>
      <c r="L124" s="34"/>
      <c r="M124" s="35"/>
      <c r="N124" s="34"/>
      <c r="O124" s="35"/>
      <c r="P124" s="34"/>
      <c r="Q124" s="35"/>
      <c r="R124" s="34"/>
      <c r="S124" s="35"/>
      <c r="T124" s="34"/>
      <c r="U124" s="35"/>
      <c r="V124" s="34"/>
      <c r="W124" s="35"/>
      <c r="X124" s="34"/>
      <c r="Y124" s="35"/>
      <c r="Z124" s="34"/>
      <c r="AA124" s="35"/>
      <c r="AB124" s="34"/>
      <c r="AC124" s="35"/>
      <c r="AD124" s="34"/>
      <c r="AE124" s="35"/>
      <c r="AF124" s="30"/>
      <c r="AG124" s="13"/>
    </row>
    <row r="125" spans="1:33" s="6" customFormat="1" ht="15" outlineLevel="1">
      <c r="G125" s="35"/>
      <c r="H125" s="34"/>
      <c r="I125" s="35"/>
      <c r="J125" s="34"/>
      <c r="K125" s="35"/>
      <c r="L125" s="34"/>
      <c r="M125" s="35"/>
      <c r="N125" s="34"/>
      <c r="O125" s="35"/>
      <c r="P125" s="34"/>
      <c r="Q125" s="35"/>
      <c r="R125" s="34"/>
      <c r="S125" s="35"/>
      <c r="T125" s="34"/>
      <c r="U125" s="35"/>
      <c r="V125" s="34"/>
      <c r="W125" s="35"/>
      <c r="X125" s="34"/>
      <c r="Y125" s="35"/>
      <c r="Z125" s="34"/>
      <c r="AA125" s="35"/>
      <c r="AB125" s="34"/>
      <c r="AC125" s="35"/>
      <c r="AD125" s="34"/>
      <c r="AE125" s="35"/>
      <c r="AF125" s="30"/>
      <c r="AG125" s="13"/>
    </row>
    <row r="126" spans="1:33" outlineLevel="1">
      <c r="A126" s="4">
        <v>57147</v>
      </c>
      <c r="B126" s="4" t="s">
        <v>55</v>
      </c>
      <c r="C126" s="5"/>
      <c r="D126" s="2"/>
      <c r="E126" s="6"/>
      <c r="F126" s="7"/>
      <c r="G126" s="8">
        <v>0</v>
      </c>
      <c r="H126" s="7"/>
      <c r="I126" s="8">
        <v>89.4</v>
      </c>
      <c r="J126" s="7"/>
      <c r="K126" s="8">
        <v>0</v>
      </c>
      <c r="L126" s="7"/>
      <c r="M126" s="8">
        <v>88.32</v>
      </c>
      <c r="N126" s="7"/>
      <c r="O126" s="8">
        <v>0</v>
      </c>
      <c r="P126" s="7"/>
      <c r="Q126" s="8">
        <v>0</v>
      </c>
      <c r="R126" s="7"/>
      <c r="S126" s="8">
        <v>59.24</v>
      </c>
      <c r="T126" s="7"/>
      <c r="U126" s="8">
        <v>0</v>
      </c>
      <c r="V126" s="7"/>
      <c r="W126" s="8">
        <v>271.41000000000003</v>
      </c>
      <c r="X126" s="7"/>
      <c r="Y126" s="8">
        <v>0</v>
      </c>
      <c r="Z126" s="7"/>
      <c r="AA126" s="8">
        <v>0</v>
      </c>
      <c r="AB126" s="7"/>
      <c r="AC126" s="8">
        <v>0</v>
      </c>
      <c r="AD126" s="7"/>
      <c r="AE126" s="8">
        <f t="shared" ref="AE126:AE132" si="6">AC126+AA126+Y126+W126+U126+S126+Q126+O126+M126+K126+I126+G126</f>
        <v>508.37</v>
      </c>
      <c r="AF126" s="9"/>
      <c r="AG126" s="10"/>
    </row>
    <row r="127" spans="1:33" outlineLevel="1">
      <c r="A127" s="4">
        <v>57170</v>
      </c>
      <c r="B127" s="4" t="s">
        <v>56</v>
      </c>
      <c r="C127" s="5"/>
      <c r="D127" s="2"/>
      <c r="E127" s="6"/>
      <c r="F127" s="7"/>
      <c r="G127" s="8">
        <v>1250</v>
      </c>
      <c r="H127" s="7"/>
      <c r="I127" s="8">
        <v>500</v>
      </c>
      <c r="J127" s="7"/>
      <c r="K127" s="8">
        <v>1250</v>
      </c>
      <c r="L127" s="7"/>
      <c r="M127" s="8">
        <v>750</v>
      </c>
      <c r="N127" s="7"/>
      <c r="O127" s="8">
        <v>750</v>
      </c>
      <c r="P127" s="7"/>
      <c r="Q127" s="8">
        <v>750</v>
      </c>
      <c r="R127" s="7"/>
      <c r="S127" s="8">
        <v>850</v>
      </c>
      <c r="T127" s="7"/>
      <c r="U127" s="8">
        <v>850</v>
      </c>
      <c r="V127" s="7"/>
      <c r="W127" s="8">
        <v>850</v>
      </c>
      <c r="X127" s="7"/>
      <c r="Y127" s="8">
        <v>850</v>
      </c>
      <c r="Z127" s="7"/>
      <c r="AA127" s="8">
        <v>850</v>
      </c>
      <c r="AB127" s="7"/>
      <c r="AC127" s="8">
        <v>850</v>
      </c>
      <c r="AD127" s="7"/>
      <c r="AE127" s="8">
        <f t="shared" si="6"/>
        <v>10350</v>
      </c>
      <c r="AF127" s="9"/>
      <c r="AG127" s="10"/>
    </row>
    <row r="128" spans="1:33" outlineLevel="1">
      <c r="A128" s="4">
        <v>57254</v>
      </c>
      <c r="B128" s="4" t="s">
        <v>57</v>
      </c>
      <c r="C128" s="5"/>
      <c r="D128" s="2"/>
      <c r="E128" s="6"/>
      <c r="F128" s="7"/>
      <c r="G128" s="8">
        <v>546.97</v>
      </c>
      <c r="H128" s="7"/>
      <c r="I128" s="8">
        <v>447.68</v>
      </c>
      <c r="J128" s="7"/>
      <c r="K128" s="8">
        <v>316.37</v>
      </c>
      <c r="L128" s="7"/>
      <c r="M128" s="8">
        <v>606.32000000000005</v>
      </c>
      <c r="N128" s="7"/>
      <c r="O128" s="8">
        <v>388.04</v>
      </c>
      <c r="P128" s="7"/>
      <c r="Q128" s="8">
        <v>433.84</v>
      </c>
      <c r="R128" s="7"/>
      <c r="S128" s="8">
        <v>326.47000000000003</v>
      </c>
      <c r="T128" s="7"/>
      <c r="U128" s="8">
        <v>498.57</v>
      </c>
      <c r="V128" s="7"/>
      <c r="W128" s="8">
        <v>421.42</v>
      </c>
      <c r="X128" s="7"/>
      <c r="Y128" s="8">
        <v>609.16</v>
      </c>
      <c r="Z128" s="7"/>
      <c r="AA128" s="8">
        <v>364.4</v>
      </c>
      <c r="AB128" s="7"/>
      <c r="AC128" s="8">
        <v>339.01</v>
      </c>
      <c r="AD128" s="7"/>
      <c r="AE128" s="8">
        <f t="shared" si="6"/>
        <v>5298.2500000000009</v>
      </c>
      <c r="AF128" s="9"/>
      <c r="AG128" s="10"/>
    </row>
    <row r="129" spans="1:33" outlineLevel="1">
      <c r="A129" s="4">
        <v>57280</v>
      </c>
      <c r="B129" s="4" t="s">
        <v>58</v>
      </c>
      <c r="C129" s="5"/>
      <c r="D129" s="2"/>
      <c r="E129" s="6"/>
      <c r="F129" s="7"/>
      <c r="G129" s="8">
        <v>110</v>
      </c>
      <c r="H129" s="7"/>
      <c r="I129" s="8">
        <v>68</v>
      </c>
      <c r="J129" s="7"/>
      <c r="K129" s="8">
        <v>0</v>
      </c>
      <c r="L129" s="7"/>
      <c r="M129" s="8">
        <v>0</v>
      </c>
      <c r="N129" s="7"/>
      <c r="O129" s="8">
        <v>0</v>
      </c>
      <c r="P129" s="7"/>
      <c r="Q129" s="8">
        <v>0</v>
      </c>
      <c r="R129" s="7"/>
      <c r="S129" s="8">
        <v>43.11</v>
      </c>
      <c r="T129" s="7"/>
      <c r="U129" s="8">
        <v>0</v>
      </c>
      <c r="V129" s="7"/>
      <c r="W129" s="8">
        <v>0</v>
      </c>
      <c r="X129" s="7"/>
      <c r="Y129" s="8">
        <v>465.05</v>
      </c>
      <c r="Z129" s="7"/>
      <c r="AA129" s="8">
        <v>132.63999999999999</v>
      </c>
      <c r="AB129" s="7"/>
      <c r="AC129" s="8">
        <v>933.84</v>
      </c>
      <c r="AD129" s="7"/>
      <c r="AE129" s="8">
        <f t="shared" si="6"/>
        <v>1752.6399999999999</v>
      </c>
      <c r="AF129" s="9"/>
      <c r="AG129" s="10"/>
    </row>
    <row r="130" spans="1:33" outlineLevel="1">
      <c r="A130" s="4">
        <v>57324</v>
      </c>
      <c r="B130" s="4" t="s">
        <v>59</v>
      </c>
      <c r="C130" s="5"/>
      <c r="D130" s="2"/>
      <c r="E130" s="6"/>
      <c r="F130" s="7"/>
      <c r="G130" s="8">
        <v>0</v>
      </c>
      <c r="H130" s="7"/>
      <c r="I130" s="8">
        <v>456.75</v>
      </c>
      <c r="J130" s="7"/>
      <c r="K130" s="8">
        <v>0</v>
      </c>
      <c r="L130" s="7"/>
      <c r="M130" s="8">
        <v>0</v>
      </c>
      <c r="N130" s="7"/>
      <c r="O130" s="8">
        <v>0</v>
      </c>
      <c r="P130" s="7"/>
      <c r="Q130" s="8">
        <v>0</v>
      </c>
      <c r="R130" s="7"/>
      <c r="S130" s="8">
        <v>0</v>
      </c>
      <c r="T130" s="7"/>
      <c r="U130" s="8">
        <v>0</v>
      </c>
      <c r="V130" s="7"/>
      <c r="W130" s="8">
        <v>0</v>
      </c>
      <c r="X130" s="7"/>
      <c r="Y130" s="8">
        <v>0</v>
      </c>
      <c r="Z130" s="7"/>
      <c r="AA130" s="8">
        <v>0</v>
      </c>
      <c r="AB130" s="7"/>
      <c r="AC130" s="8">
        <v>0</v>
      </c>
      <c r="AD130" s="7"/>
      <c r="AE130" s="8">
        <f t="shared" si="6"/>
        <v>456.75</v>
      </c>
      <c r="AF130" s="9"/>
      <c r="AG130" s="10"/>
    </row>
    <row r="131" spans="1:33" outlineLevel="1">
      <c r="A131" s="4">
        <v>57357</v>
      </c>
      <c r="B131" s="4" t="s">
        <v>60</v>
      </c>
      <c r="C131" s="5"/>
      <c r="D131" s="2"/>
      <c r="E131" s="6"/>
      <c r="F131" s="7"/>
      <c r="G131" s="8">
        <v>577.5</v>
      </c>
      <c r="H131" s="7"/>
      <c r="I131" s="8">
        <v>40</v>
      </c>
      <c r="J131" s="7"/>
      <c r="K131" s="8">
        <v>0</v>
      </c>
      <c r="L131" s="7"/>
      <c r="M131" s="8">
        <v>167.31</v>
      </c>
      <c r="N131" s="7"/>
      <c r="O131" s="8">
        <v>0</v>
      </c>
      <c r="P131" s="7"/>
      <c r="Q131" s="8">
        <v>107.7</v>
      </c>
      <c r="R131" s="7"/>
      <c r="S131" s="8">
        <v>0</v>
      </c>
      <c r="T131" s="7"/>
      <c r="U131" s="8">
        <v>110</v>
      </c>
      <c r="V131" s="7"/>
      <c r="W131" s="8">
        <v>172.32</v>
      </c>
      <c r="X131" s="7"/>
      <c r="Y131" s="8">
        <v>70</v>
      </c>
      <c r="Z131" s="7"/>
      <c r="AA131" s="8">
        <v>75</v>
      </c>
      <c r="AB131" s="7"/>
      <c r="AC131" s="8">
        <v>0</v>
      </c>
      <c r="AD131" s="7"/>
      <c r="AE131" s="8">
        <f t="shared" si="6"/>
        <v>1319.83</v>
      </c>
      <c r="AF131" s="9"/>
      <c r="AG131" s="10"/>
    </row>
    <row r="132" spans="1:33" outlineLevel="1">
      <c r="A132" s="4">
        <v>57370</v>
      </c>
      <c r="B132" s="4" t="s">
        <v>284</v>
      </c>
      <c r="C132" s="5"/>
      <c r="D132" s="2"/>
      <c r="E132" s="6"/>
      <c r="F132" s="7"/>
      <c r="G132" s="8">
        <v>0</v>
      </c>
      <c r="H132" s="7"/>
      <c r="I132" s="8">
        <v>0</v>
      </c>
      <c r="J132" s="7"/>
      <c r="K132" s="8">
        <v>0</v>
      </c>
      <c r="L132" s="7"/>
      <c r="M132" s="8">
        <v>150</v>
      </c>
      <c r="N132" s="7"/>
      <c r="O132" s="8">
        <v>0</v>
      </c>
      <c r="P132" s="7"/>
      <c r="Q132" s="8">
        <v>0</v>
      </c>
      <c r="R132" s="7"/>
      <c r="S132" s="8">
        <v>0</v>
      </c>
      <c r="T132" s="7"/>
      <c r="U132" s="8">
        <v>0</v>
      </c>
      <c r="V132" s="7"/>
      <c r="W132" s="8">
        <v>0</v>
      </c>
      <c r="X132" s="7"/>
      <c r="Y132" s="8">
        <v>0</v>
      </c>
      <c r="Z132" s="7"/>
      <c r="AA132" s="8">
        <v>0</v>
      </c>
      <c r="AB132" s="7"/>
      <c r="AC132" s="8">
        <v>0</v>
      </c>
      <c r="AD132" s="7"/>
      <c r="AE132" s="8">
        <f t="shared" si="6"/>
        <v>150</v>
      </c>
      <c r="AF132" s="9"/>
      <c r="AG132" s="10"/>
    </row>
    <row r="133" spans="1:33" s="6" customFormat="1" ht="5.0999999999999996" customHeight="1" outlineLevel="1">
      <c r="A133" s="5"/>
      <c r="B133" s="5"/>
      <c r="C133" s="5"/>
      <c r="D133" s="5"/>
      <c r="G133" s="36"/>
      <c r="H133" s="34"/>
      <c r="I133" s="36"/>
      <c r="J133" s="34"/>
      <c r="K133" s="36"/>
      <c r="L133" s="34"/>
      <c r="M133" s="36"/>
      <c r="N133" s="34"/>
      <c r="O133" s="36"/>
      <c r="P133" s="34"/>
      <c r="Q133" s="36"/>
      <c r="R133" s="34"/>
      <c r="S133" s="36"/>
      <c r="T133" s="34"/>
      <c r="U133" s="36"/>
      <c r="V133" s="34"/>
      <c r="W133" s="36"/>
      <c r="X133" s="34"/>
      <c r="Y133" s="36"/>
      <c r="Z133" s="34"/>
      <c r="AA133" s="36"/>
      <c r="AB133" s="34"/>
      <c r="AC133" s="36"/>
      <c r="AD133" s="34"/>
      <c r="AE133" s="36"/>
      <c r="AF133" s="30"/>
      <c r="AG133" s="13"/>
    </row>
    <row r="134" spans="1:33" s="6" customFormat="1" ht="15">
      <c r="C134" s="5" t="s">
        <v>61</v>
      </c>
      <c r="G134" s="33">
        <f>SUM(G125:G133)</f>
        <v>2484.4700000000003</v>
      </c>
      <c r="H134" s="34"/>
      <c r="I134" s="33">
        <f>SUM(I125:I133)</f>
        <v>1601.83</v>
      </c>
      <c r="J134" s="34"/>
      <c r="K134" s="33">
        <f>SUM(K125:K133)</f>
        <v>1566.37</v>
      </c>
      <c r="L134" s="34"/>
      <c r="M134" s="33">
        <f>SUM(M125:M133)</f>
        <v>1761.9499999999998</v>
      </c>
      <c r="N134" s="34"/>
      <c r="O134" s="33">
        <f>SUM(O125:O133)</f>
        <v>1138.04</v>
      </c>
      <c r="P134" s="34"/>
      <c r="Q134" s="33">
        <f>SUM(Q125:Q133)</f>
        <v>1291.54</v>
      </c>
      <c r="R134" s="34"/>
      <c r="S134" s="33">
        <f>SUM(S125:S133)</f>
        <v>1278.82</v>
      </c>
      <c r="T134" s="34"/>
      <c r="U134" s="33">
        <f>SUM(U125:U133)</f>
        <v>1458.57</v>
      </c>
      <c r="V134" s="34"/>
      <c r="W134" s="33">
        <f>SUM(W125:W133)</f>
        <v>1715.15</v>
      </c>
      <c r="X134" s="34"/>
      <c r="Y134" s="33">
        <f>SUM(Y125:Y133)</f>
        <v>1994.2099999999998</v>
      </c>
      <c r="Z134" s="34"/>
      <c r="AA134" s="33">
        <f>SUM(AA125:AA133)</f>
        <v>1422.04</v>
      </c>
      <c r="AB134" s="34"/>
      <c r="AC134" s="33">
        <f>SUM(AC125:AC133)</f>
        <v>2122.85</v>
      </c>
      <c r="AD134" s="34"/>
      <c r="AE134" s="33">
        <f>SUM(AE125:AE133)</f>
        <v>19835.840000000004</v>
      </c>
      <c r="AF134" s="9"/>
      <c r="AG134" s="13"/>
    </row>
    <row r="135" spans="1:33" s="6" customFormat="1" ht="15" outlineLevel="1">
      <c r="G135" s="35"/>
      <c r="H135" s="34"/>
      <c r="I135" s="35"/>
      <c r="J135" s="34"/>
      <c r="K135" s="35"/>
      <c r="L135" s="34"/>
      <c r="M135" s="35"/>
      <c r="N135" s="34"/>
      <c r="O135" s="35"/>
      <c r="P135" s="34"/>
      <c r="Q135" s="35"/>
      <c r="R135" s="34"/>
      <c r="S135" s="35"/>
      <c r="T135" s="34"/>
      <c r="U135" s="35"/>
      <c r="V135" s="34"/>
      <c r="W135" s="35"/>
      <c r="X135" s="34"/>
      <c r="Y135" s="35"/>
      <c r="Z135" s="34"/>
      <c r="AA135" s="35"/>
      <c r="AB135" s="34"/>
      <c r="AC135" s="35"/>
      <c r="AD135" s="34"/>
      <c r="AE135" s="35"/>
      <c r="AF135" s="30"/>
      <c r="AG135" s="13"/>
    </row>
    <row r="136" spans="1:33" s="6" customFormat="1" ht="15" outlineLevel="1">
      <c r="A136" s="11"/>
      <c r="B136" s="11"/>
      <c r="C136" s="11"/>
      <c r="D136" s="11"/>
      <c r="E136" s="11"/>
      <c r="F136" s="11"/>
      <c r="G136" s="42"/>
      <c r="H136" s="43"/>
      <c r="I136" s="42"/>
      <c r="J136" s="43"/>
      <c r="K136" s="42"/>
      <c r="L136" s="43"/>
      <c r="M136" s="42"/>
      <c r="N136" s="43"/>
      <c r="O136" s="42"/>
      <c r="P136" s="43"/>
      <c r="Q136" s="42"/>
      <c r="R136" s="43"/>
      <c r="S136" s="42"/>
      <c r="T136" s="43"/>
      <c r="U136" s="42"/>
      <c r="V136" s="43"/>
      <c r="W136" s="42"/>
      <c r="X136" s="43"/>
      <c r="Y136" s="42"/>
      <c r="Z136" s="43"/>
      <c r="AA136" s="42"/>
      <c r="AB136" s="43"/>
      <c r="AC136" s="42"/>
      <c r="AD136" s="43"/>
      <c r="AE136" s="42"/>
      <c r="AF136" s="11"/>
      <c r="AG136" s="11"/>
    </row>
    <row r="137" spans="1:33" s="6" customFormat="1" ht="4.5" customHeight="1" outlineLevel="1">
      <c r="A137" s="37"/>
      <c r="G137" s="36"/>
      <c r="H137" s="34"/>
      <c r="I137" s="36"/>
      <c r="J137" s="34"/>
      <c r="K137" s="36"/>
      <c r="L137" s="34"/>
      <c r="M137" s="36"/>
      <c r="N137" s="34"/>
      <c r="O137" s="36"/>
      <c r="P137" s="34"/>
      <c r="Q137" s="36"/>
      <c r="R137" s="34"/>
      <c r="S137" s="36"/>
      <c r="T137" s="34"/>
      <c r="U137" s="36"/>
      <c r="V137" s="34"/>
      <c r="W137" s="36"/>
      <c r="X137" s="34"/>
      <c r="Y137" s="36"/>
      <c r="Z137" s="34"/>
      <c r="AA137" s="36"/>
      <c r="AB137" s="34"/>
      <c r="AC137" s="36"/>
      <c r="AD137" s="34"/>
      <c r="AE137" s="36"/>
      <c r="AF137" s="30"/>
      <c r="AG137" s="13"/>
    </row>
    <row r="138" spans="1:33" s="6" customFormat="1" ht="15">
      <c r="C138" s="6" t="s">
        <v>62</v>
      </c>
      <c r="G138" s="33">
        <f>SUM(G136:G137)</f>
        <v>0</v>
      </c>
      <c r="H138" s="34"/>
      <c r="I138" s="33">
        <f>SUM(I136:I137)</f>
        <v>0</v>
      </c>
      <c r="J138" s="34"/>
      <c r="K138" s="33">
        <f>SUM(K136:K137)</f>
        <v>0</v>
      </c>
      <c r="L138" s="34"/>
      <c r="M138" s="33">
        <f>SUM(M136:M137)</f>
        <v>0</v>
      </c>
      <c r="N138" s="34"/>
      <c r="O138" s="33">
        <f>SUM(O136:O137)</f>
        <v>0</v>
      </c>
      <c r="P138" s="34"/>
      <c r="Q138" s="33">
        <f>SUM(Q136:Q137)</f>
        <v>0</v>
      </c>
      <c r="R138" s="34"/>
      <c r="S138" s="33">
        <f>SUM(S136:S137)</f>
        <v>0</v>
      </c>
      <c r="T138" s="34"/>
      <c r="U138" s="33">
        <f>SUM(U136:U137)</f>
        <v>0</v>
      </c>
      <c r="V138" s="34"/>
      <c r="W138" s="33">
        <f>SUM(W136:W137)</f>
        <v>0</v>
      </c>
      <c r="X138" s="34"/>
      <c r="Y138" s="33">
        <f>SUM(Y136:Y137)</f>
        <v>0</v>
      </c>
      <c r="Z138" s="34"/>
      <c r="AA138" s="33">
        <f>SUM(AA136:AA137)</f>
        <v>0</v>
      </c>
      <c r="AB138" s="34"/>
      <c r="AC138" s="33">
        <f>SUM(AC136:AC137)</f>
        <v>0</v>
      </c>
      <c r="AD138" s="34"/>
      <c r="AE138" s="33">
        <f>SUM(AE136:AE137)</f>
        <v>0</v>
      </c>
      <c r="AF138" s="9"/>
      <c r="AG138" s="13"/>
    </row>
    <row r="139" spans="1:33" s="6" customFormat="1" ht="15" outlineLevel="1">
      <c r="G139" s="35"/>
      <c r="H139" s="34"/>
      <c r="I139" s="35"/>
      <c r="J139" s="34"/>
      <c r="K139" s="35"/>
      <c r="L139" s="34"/>
      <c r="M139" s="35"/>
      <c r="N139" s="34"/>
      <c r="O139" s="35"/>
      <c r="P139" s="34"/>
      <c r="Q139" s="35"/>
      <c r="R139" s="34"/>
      <c r="S139" s="35"/>
      <c r="T139" s="34"/>
      <c r="U139" s="35"/>
      <c r="V139" s="34"/>
      <c r="W139" s="35"/>
      <c r="X139" s="34"/>
      <c r="Y139" s="35"/>
      <c r="Z139" s="34"/>
      <c r="AA139" s="35"/>
      <c r="AB139" s="34"/>
      <c r="AC139" s="35"/>
      <c r="AD139" s="34"/>
      <c r="AE139" s="35"/>
      <c r="AF139" s="30"/>
      <c r="AG139" s="13"/>
    </row>
    <row r="140" spans="1:33" s="6" customFormat="1" ht="15" outlineLevel="1">
      <c r="G140" s="35"/>
      <c r="H140" s="34"/>
      <c r="I140" s="35"/>
      <c r="J140" s="34"/>
      <c r="K140" s="35"/>
      <c r="L140" s="34"/>
      <c r="M140" s="35"/>
      <c r="N140" s="34"/>
      <c r="O140" s="35"/>
      <c r="P140" s="34"/>
      <c r="Q140" s="35"/>
      <c r="R140" s="34"/>
      <c r="S140" s="35"/>
      <c r="T140" s="34"/>
      <c r="U140" s="35"/>
      <c r="V140" s="34"/>
      <c r="W140" s="35"/>
      <c r="X140" s="34"/>
      <c r="Y140" s="35"/>
      <c r="Z140" s="34"/>
      <c r="AA140" s="35"/>
      <c r="AB140" s="34"/>
      <c r="AC140" s="35"/>
      <c r="AD140" s="34"/>
      <c r="AE140" s="35"/>
      <c r="AF140" s="30"/>
      <c r="AG140" s="13"/>
    </row>
    <row r="141" spans="1:33" outlineLevel="1">
      <c r="A141" s="4">
        <v>59340</v>
      </c>
      <c r="B141" s="4" t="s">
        <v>63</v>
      </c>
      <c r="C141" s="5"/>
      <c r="D141" s="2"/>
      <c r="E141" s="6"/>
      <c r="F141" s="7"/>
      <c r="G141" s="8">
        <v>137.49</v>
      </c>
      <c r="H141" s="7"/>
      <c r="I141" s="8">
        <v>137.49</v>
      </c>
      <c r="J141" s="7"/>
      <c r="K141" s="8">
        <v>137.49</v>
      </c>
      <c r="L141" s="7"/>
      <c r="M141" s="8">
        <v>137.49</v>
      </c>
      <c r="N141" s="7"/>
      <c r="O141" s="8">
        <v>137.49</v>
      </c>
      <c r="P141" s="7"/>
      <c r="Q141" s="8">
        <v>137.49</v>
      </c>
      <c r="R141" s="7"/>
      <c r="S141" s="8">
        <v>137.49</v>
      </c>
      <c r="T141" s="7"/>
      <c r="U141" s="8">
        <v>137.49</v>
      </c>
      <c r="V141" s="7"/>
      <c r="W141" s="8">
        <v>137.49</v>
      </c>
      <c r="X141" s="7"/>
      <c r="Y141" s="8">
        <v>667.54</v>
      </c>
      <c r="Z141" s="7"/>
      <c r="AA141" s="8">
        <v>667.54</v>
      </c>
      <c r="AB141" s="7"/>
      <c r="AC141" s="8">
        <v>667.54</v>
      </c>
      <c r="AD141" s="7"/>
      <c r="AE141" s="8">
        <f t="shared" ref="AE141:AE142" si="7">AC141+AA141+Y141+W141+U141+S141+Q141+O141+M141+K141+I141+G141</f>
        <v>3240.0299999999979</v>
      </c>
      <c r="AF141" s="9"/>
      <c r="AG141" s="10"/>
    </row>
    <row r="142" spans="1:33" outlineLevel="1">
      <c r="A142" s="4">
        <v>59400</v>
      </c>
      <c r="B142" s="4" t="s">
        <v>283</v>
      </c>
      <c r="C142" s="5"/>
      <c r="D142" s="2"/>
      <c r="E142" s="6"/>
      <c r="F142" s="7"/>
      <c r="G142" s="8">
        <v>0</v>
      </c>
      <c r="H142" s="7"/>
      <c r="I142" s="8">
        <v>0</v>
      </c>
      <c r="J142" s="7"/>
      <c r="K142" s="8">
        <v>0</v>
      </c>
      <c r="L142" s="7"/>
      <c r="M142" s="8">
        <v>0</v>
      </c>
      <c r="N142" s="7"/>
      <c r="O142" s="8">
        <v>901.07</v>
      </c>
      <c r="P142" s="7"/>
      <c r="Q142" s="8">
        <v>0</v>
      </c>
      <c r="R142" s="7"/>
      <c r="S142" s="8">
        <v>0</v>
      </c>
      <c r="T142" s="7"/>
      <c r="U142" s="8">
        <v>0</v>
      </c>
      <c r="V142" s="7"/>
      <c r="W142" s="8">
        <v>0</v>
      </c>
      <c r="X142" s="7"/>
      <c r="Y142" s="8">
        <v>0</v>
      </c>
      <c r="Z142" s="7"/>
      <c r="AA142" s="8">
        <v>0</v>
      </c>
      <c r="AB142" s="7"/>
      <c r="AC142" s="8">
        <v>0</v>
      </c>
      <c r="AD142" s="7"/>
      <c r="AE142" s="8">
        <f t="shared" si="7"/>
        <v>901.07</v>
      </c>
      <c r="AF142" s="9"/>
      <c r="AG142" s="10"/>
    </row>
    <row r="143" spans="1:33" s="6" customFormat="1" ht="5.0999999999999996" customHeight="1" outlineLevel="1">
      <c r="A143" s="5"/>
      <c r="B143" s="5"/>
      <c r="C143" s="5"/>
      <c r="D143" s="5"/>
      <c r="G143" s="36"/>
      <c r="H143" s="34"/>
      <c r="I143" s="36"/>
      <c r="J143" s="34"/>
      <c r="K143" s="36"/>
      <c r="L143" s="34"/>
      <c r="M143" s="36"/>
      <c r="N143" s="34"/>
      <c r="O143" s="36"/>
      <c r="P143" s="34"/>
      <c r="Q143" s="36"/>
      <c r="R143" s="34"/>
      <c r="S143" s="36"/>
      <c r="T143" s="34"/>
      <c r="U143" s="36"/>
      <c r="V143" s="34"/>
      <c r="W143" s="36"/>
      <c r="X143" s="34"/>
      <c r="Y143" s="36"/>
      <c r="Z143" s="34"/>
      <c r="AA143" s="36"/>
      <c r="AB143" s="34"/>
      <c r="AC143" s="36"/>
      <c r="AD143" s="34"/>
      <c r="AE143" s="36"/>
      <c r="AF143" s="30"/>
      <c r="AG143" s="13"/>
    </row>
    <row r="144" spans="1:33" s="6" customFormat="1" ht="15">
      <c r="C144" s="5" t="s">
        <v>64</v>
      </c>
      <c r="G144" s="33">
        <f>SUM(G140:G143)</f>
        <v>137.49</v>
      </c>
      <c r="H144" s="34"/>
      <c r="I144" s="33">
        <f>SUM(I140:I143)</f>
        <v>137.49</v>
      </c>
      <c r="J144" s="34"/>
      <c r="K144" s="33">
        <f>SUM(K140:K143)</f>
        <v>137.49</v>
      </c>
      <c r="L144" s="34"/>
      <c r="M144" s="33">
        <f>SUM(M140:M143)</f>
        <v>137.49</v>
      </c>
      <c r="N144" s="34"/>
      <c r="O144" s="33">
        <f>SUM(O140:O143)</f>
        <v>1038.56</v>
      </c>
      <c r="P144" s="34"/>
      <c r="Q144" s="33">
        <f>SUM(Q140:Q143)</f>
        <v>137.49</v>
      </c>
      <c r="R144" s="34"/>
      <c r="S144" s="33">
        <f>SUM(S140:S143)</f>
        <v>137.49</v>
      </c>
      <c r="T144" s="34"/>
      <c r="U144" s="33">
        <f>SUM(U140:U143)</f>
        <v>137.49</v>
      </c>
      <c r="V144" s="34"/>
      <c r="W144" s="33">
        <f>SUM(W140:W143)</f>
        <v>137.49</v>
      </c>
      <c r="X144" s="34"/>
      <c r="Y144" s="33">
        <f>SUM(Y140:Y143)</f>
        <v>667.54</v>
      </c>
      <c r="Z144" s="34"/>
      <c r="AA144" s="33">
        <f>SUM(AA140:AA143)</f>
        <v>667.54</v>
      </c>
      <c r="AB144" s="34"/>
      <c r="AC144" s="33">
        <f>SUM(AC140:AC143)</f>
        <v>667.54</v>
      </c>
      <c r="AD144" s="34"/>
      <c r="AE144" s="33">
        <f>SUM(AE140:AE143)</f>
        <v>4141.0999999999976</v>
      </c>
      <c r="AF144" s="9"/>
      <c r="AG144" s="13"/>
    </row>
    <row r="145" spans="1:33" s="6" customFormat="1" ht="15" outlineLevel="1">
      <c r="G145" s="35"/>
      <c r="H145" s="34"/>
      <c r="I145" s="35"/>
      <c r="J145" s="34"/>
      <c r="K145" s="35"/>
      <c r="L145" s="34"/>
      <c r="M145" s="35"/>
      <c r="N145" s="34"/>
      <c r="O145" s="35"/>
      <c r="P145" s="34"/>
      <c r="Q145" s="35"/>
      <c r="R145" s="34"/>
      <c r="S145" s="35"/>
      <c r="T145" s="34"/>
      <c r="U145" s="35"/>
      <c r="V145" s="34"/>
      <c r="W145" s="35"/>
      <c r="X145" s="34"/>
      <c r="Y145" s="35"/>
      <c r="Z145" s="34"/>
      <c r="AA145" s="35"/>
      <c r="AB145" s="34"/>
      <c r="AC145" s="35"/>
      <c r="AD145" s="34"/>
      <c r="AE145" s="35"/>
      <c r="AF145" s="30"/>
      <c r="AG145" s="13"/>
    </row>
    <row r="146" spans="1:33" outlineLevel="1">
      <c r="A146" s="4">
        <v>91010</v>
      </c>
      <c r="B146" s="4" t="s">
        <v>65</v>
      </c>
      <c r="C146" s="5"/>
      <c r="D146" s="2"/>
      <c r="E146" s="6"/>
      <c r="F146" s="7"/>
      <c r="G146" s="8">
        <v>0</v>
      </c>
      <c r="H146" s="7"/>
      <c r="I146" s="8">
        <v>0</v>
      </c>
      <c r="J146" s="7"/>
      <c r="K146" s="8">
        <v>0</v>
      </c>
      <c r="L146" s="7"/>
      <c r="M146" s="8">
        <v>0</v>
      </c>
      <c r="N146" s="7"/>
      <c r="O146" s="8">
        <v>0</v>
      </c>
      <c r="P146" s="7"/>
      <c r="Q146" s="8">
        <v>0</v>
      </c>
      <c r="R146" s="7"/>
      <c r="S146" s="8">
        <v>0</v>
      </c>
      <c r="T146" s="7"/>
      <c r="U146" s="8">
        <v>0</v>
      </c>
      <c r="V146" s="7"/>
      <c r="W146" s="8">
        <v>0</v>
      </c>
      <c r="X146" s="7"/>
      <c r="Y146" s="8">
        <v>0</v>
      </c>
      <c r="Z146" s="7"/>
      <c r="AA146" s="8">
        <v>-1659.9</v>
      </c>
      <c r="AB146" s="7"/>
      <c r="AC146" s="8">
        <v>12396.41</v>
      </c>
      <c r="AD146" s="7"/>
      <c r="AE146" s="8">
        <f>AC146+AA146+Y146+W146+U146+S146+Q146+O146+M146+K146+I146+G146</f>
        <v>10736.51</v>
      </c>
      <c r="AF146" s="9"/>
      <c r="AG146" s="10"/>
    </row>
    <row r="147" spans="1:33" s="6" customFormat="1" ht="5.0999999999999996" customHeight="1" outlineLevel="1">
      <c r="A147" s="5"/>
      <c r="B147" s="5"/>
      <c r="C147" s="5"/>
      <c r="D147" s="5"/>
      <c r="G147" s="36"/>
      <c r="H147" s="34"/>
      <c r="I147" s="36"/>
      <c r="J147" s="34"/>
      <c r="K147" s="36"/>
      <c r="L147" s="34"/>
      <c r="M147" s="36"/>
      <c r="N147" s="34"/>
      <c r="O147" s="36"/>
      <c r="P147" s="34"/>
      <c r="Q147" s="36"/>
      <c r="R147" s="34"/>
      <c r="S147" s="36"/>
      <c r="T147" s="34"/>
      <c r="U147" s="36"/>
      <c r="V147" s="34"/>
      <c r="W147" s="36"/>
      <c r="X147" s="34"/>
      <c r="Y147" s="36"/>
      <c r="Z147" s="34"/>
      <c r="AA147" s="36"/>
      <c r="AB147" s="34"/>
      <c r="AC147" s="36"/>
      <c r="AD147" s="34"/>
      <c r="AE147" s="36"/>
      <c r="AF147" s="30"/>
      <c r="AG147" s="13"/>
    </row>
    <row r="148" spans="1:33" s="6" customFormat="1" ht="15">
      <c r="C148" s="4" t="s">
        <v>66</v>
      </c>
      <c r="G148" s="33">
        <f>SUM(G146:G147)</f>
        <v>0</v>
      </c>
      <c r="H148" s="34"/>
      <c r="I148" s="33">
        <f>SUM(I146:I147)</f>
        <v>0</v>
      </c>
      <c r="J148" s="34"/>
      <c r="K148" s="33">
        <f>SUM(K146:K147)</f>
        <v>0</v>
      </c>
      <c r="L148" s="34"/>
      <c r="M148" s="33">
        <f>SUM(M146:M147)</f>
        <v>0</v>
      </c>
      <c r="N148" s="34"/>
      <c r="O148" s="33">
        <f>SUM(O146:O147)</f>
        <v>0</v>
      </c>
      <c r="P148" s="34"/>
      <c r="Q148" s="33">
        <f>SUM(Q146:Q147)</f>
        <v>0</v>
      </c>
      <c r="R148" s="34"/>
      <c r="S148" s="33">
        <f>SUM(S146:S147)</f>
        <v>0</v>
      </c>
      <c r="T148" s="34"/>
      <c r="U148" s="33">
        <f>SUM(U146:U147)</f>
        <v>0</v>
      </c>
      <c r="V148" s="34"/>
      <c r="W148" s="33">
        <f>SUM(W146:W147)</f>
        <v>0</v>
      </c>
      <c r="X148" s="34"/>
      <c r="Y148" s="33">
        <f>SUM(Y146:Y147)</f>
        <v>0</v>
      </c>
      <c r="Z148" s="34"/>
      <c r="AA148" s="33">
        <f>SUM(AA146:AA147)</f>
        <v>-1659.9</v>
      </c>
      <c r="AB148" s="34"/>
      <c r="AC148" s="33">
        <f>SUM(AC146:AC147)</f>
        <v>12396.41</v>
      </c>
      <c r="AD148" s="34"/>
      <c r="AE148" s="33">
        <f>SUM(AE146:AE147)</f>
        <v>10736.51</v>
      </c>
      <c r="AF148" s="9"/>
      <c r="AG148" s="13"/>
    </row>
    <row r="149" spans="1:33" s="6" customFormat="1" ht="7.5" customHeight="1">
      <c r="G149" s="35"/>
      <c r="H149" s="34"/>
      <c r="I149" s="35"/>
      <c r="J149" s="34"/>
      <c r="K149" s="35"/>
      <c r="L149" s="34"/>
      <c r="M149" s="35"/>
      <c r="N149" s="34"/>
      <c r="O149" s="35"/>
      <c r="P149" s="34"/>
      <c r="Q149" s="35"/>
      <c r="R149" s="34"/>
      <c r="S149" s="35"/>
      <c r="T149" s="34"/>
      <c r="U149" s="35"/>
      <c r="V149" s="34"/>
      <c r="W149" s="35"/>
      <c r="X149" s="34"/>
      <c r="Y149" s="35"/>
      <c r="Z149" s="34"/>
      <c r="AA149" s="35"/>
      <c r="AB149" s="34"/>
      <c r="AC149" s="35"/>
      <c r="AD149" s="34"/>
      <c r="AE149" s="35"/>
      <c r="AF149" s="30"/>
      <c r="AG149" s="13"/>
    </row>
    <row r="150" spans="1:33" s="6" customFormat="1" ht="15">
      <c r="B150" s="41" t="s">
        <v>67</v>
      </c>
      <c r="G150" s="39">
        <f>+G87+G91+G109+G114+G123+G134+G144+G138+G148</f>
        <v>35029.21</v>
      </c>
      <c r="H150" s="34"/>
      <c r="I150" s="39">
        <f>+I87+I91+I109+I114+I123+I134+I144+I138+I148</f>
        <v>33713.74</v>
      </c>
      <c r="J150" s="34"/>
      <c r="K150" s="39">
        <f>+K87+K91+K109+K114+K123+K134+K144+K138+K148</f>
        <v>34338.629999999997</v>
      </c>
      <c r="L150" s="34"/>
      <c r="M150" s="39">
        <f>+M87+M91+M109+M114+M123+M134+M144+M138+M148</f>
        <v>41958.409999999996</v>
      </c>
      <c r="N150" s="34"/>
      <c r="O150" s="39">
        <f>+O87+O91+O109+O114+O123+O134+O144+O138+O148</f>
        <v>36797.32</v>
      </c>
      <c r="P150" s="34"/>
      <c r="Q150" s="39">
        <f>+Q87+Q91+Q109+Q114+Q123+Q134+Q144+Q138+Q148</f>
        <v>43743.420000000006</v>
      </c>
      <c r="R150" s="34"/>
      <c r="S150" s="39">
        <f>+S87+S91+S109+S114+S123+S134+S144+S138+S148</f>
        <v>43111.319999999992</v>
      </c>
      <c r="T150" s="34"/>
      <c r="U150" s="39">
        <f>+U87+U91+U109+U114+U123+U134+U144+U138+U148</f>
        <v>38958.489999999991</v>
      </c>
      <c r="V150" s="34"/>
      <c r="W150" s="39">
        <f>+W87+W91+W109+W114+W123+W134+W144+W138+W148</f>
        <v>39103.18</v>
      </c>
      <c r="X150" s="34"/>
      <c r="Y150" s="39">
        <f>+Y87+Y91+Y109+Y114+Y123+Y134+Y144+Y138+Y148</f>
        <v>40510.240000000005</v>
      </c>
      <c r="Z150" s="34"/>
      <c r="AA150" s="39">
        <f>+AA87+AA91+AA109+AA114+AA123+AA134+AA144+AA138+AA148</f>
        <v>42736.88</v>
      </c>
      <c r="AB150" s="34"/>
      <c r="AC150" s="39">
        <f>+AC87+AC91+AC109+AC114+AC123+AC134+AC144+AC138+AC148</f>
        <v>47709.399999999994</v>
      </c>
      <c r="AD150" s="34"/>
      <c r="AE150" s="39">
        <f>+AE87+AE91+AE109+AE114+AE123+AE134+AE144+AE138+AE148</f>
        <v>477710.24</v>
      </c>
      <c r="AF150" s="9"/>
      <c r="AG150" s="13"/>
    </row>
    <row r="151" spans="1:33" s="6" customFormat="1" ht="7.5" customHeight="1">
      <c r="G151" s="35"/>
      <c r="H151" s="34"/>
      <c r="I151" s="35"/>
      <c r="J151" s="34"/>
      <c r="K151" s="35"/>
      <c r="L151" s="34"/>
      <c r="M151" s="35"/>
      <c r="N151" s="34"/>
      <c r="O151" s="35"/>
      <c r="P151" s="34"/>
      <c r="Q151" s="35"/>
      <c r="R151" s="34"/>
      <c r="S151" s="35"/>
      <c r="T151" s="34"/>
      <c r="U151" s="35"/>
      <c r="V151" s="34"/>
      <c r="W151" s="35"/>
      <c r="X151" s="34"/>
      <c r="Y151" s="35"/>
      <c r="Z151" s="34"/>
      <c r="AA151" s="35"/>
      <c r="AB151" s="34"/>
      <c r="AC151" s="35"/>
      <c r="AD151" s="34"/>
      <c r="AE151" s="35"/>
      <c r="AF151" s="30"/>
      <c r="AG151" s="13"/>
    </row>
    <row r="152" spans="1:33" s="6" customFormat="1" ht="15">
      <c r="B152" s="41" t="s">
        <v>68</v>
      </c>
      <c r="G152" s="39">
        <f>G72-G150</f>
        <v>19524.660000000003</v>
      </c>
      <c r="H152" s="34"/>
      <c r="I152" s="39">
        <f>I72-I150</f>
        <v>19317.960000000006</v>
      </c>
      <c r="J152" s="34"/>
      <c r="K152" s="39">
        <f>K72-K150</f>
        <v>20169.629999999997</v>
      </c>
      <c r="L152" s="34"/>
      <c r="M152" s="39">
        <f>M72-M150</f>
        <v>11157.170000000006</v>
      </c>
      <c r="N152" s="34"/>
      <c r="O152" s="39">
        <f>O72-O150</f>
        <v>20541.5</v>
      </c>
      <c r="P152" s="34"/>
      <c r="Q152" s="39">
        <f>Q72-Q150</f>
        <v>25178.700000000004</v>
      </c>
      <c r="R152" s="34"/>
      <c r="S152" s="39">
        <f>S72-S150</f>
        <v>22028.840000000011</v>
      </c>
      <c r="T152" s="34"/>
      <c r="U152" s="39">
        <f>U72-U150</f>
        <v>22123.509999999995</v>
      </c>
      <c r="V152" s="34"/>
      <c r="W152" s="39">
        <f>W72-W150</f>
        <v>28123.609999999993</v>
      </c>
      <c r="X152" s="34"/>
      <c r="Y152" s="39">
        <f>Y72-Y150</f>
        <v>17068.210000000006</v>
      </c>
      <c r="Z152" s="34"/>
      <c r="AA152" s="39">
        <f>AA72-AA150</f>
        <v>12254.219999999994</v>
      </c>
      <c r="AB152" s="34"/>
      <c r="AC152" s="39">
        <f>AC72-AC150</f>
        <v>12034.990000000005</v>
      </c>
      <c r="AD152" s="34"/>
      <c r="AE152" s="39">
        <f>AE72-AE150</f>
        <v>229523.00000000012</v>
      </c>
      <c r="AF152" s="9"/>
      <c r="AG152" s="13"/>
    </row>
    <row r="153" spans="1:33" s="6" customFormat="1" ht="7.5" customHeight="1">
      <c r="G153" s="35"/>
      <c r="H153" s="34"/>
      <c r="I153" s="35"/>
      <c r="J153" s="34"/>
      <c r="K153" s="35"/>
      <c r="L153" s="34"/>
      <c r="M153" s="35"/>
      <c r="N153" s="34"/>
      <c r="O153" s="35"/>
      <c r="P153" s="34"/>
      <c r="Q153" s="35"/>
      <c r="R153" s="34"/>
      <c r="S153" s="35"/>
      <c r="T153" s="34"/>
      <c r="U153" s="35"/>
      <c r="V153" s="34"/>
      <c r="W153" s="35"/>
      <c r="X153" s="34"/>
      <c r="Y153" s="35"/>
      <c r="Z153" s="34"/>
      <c r="AA153" s="35"/>
      <c r="AB153" s="34"/>
      <c r="AC153" s="35"/>
      <c r="AD153" s="34"/>
      <c r="AE153" s="35"/>
      <c r="AF153" s="30"/>
      <c r="AG153" s="13"/>
    </row>
    <row r="154" spans="1:33" s="6" customFormat="1" ht="15" outlineLevel="1">
      <c r="G154" s="35"/>
      <c r="H154" s="34"/>
      <c r="I154" s="35"/>
      <c r="J154" s="34"/>
      <c r="K154" s="35"/>
      <c r="L154" s="34"/>
      <c r="M154" s="35"/>
      <c r="N154" s="34"/>
      <c r="O154" s="35"/>
      <c r="P154" s="34"/>
      <c r="Q154" s="35"/>
      <c r="R154" s="34"/>
      <c r="S154" s="35"/>
      <c r="T154" s="34"/>
      <c r="U154" s="35"/>
      <c r="V154" s="34"/>
      <c r="W154" s="35"/>
      <c r="X154" s="34"/>
      <c r="Y154" s="35"/>
      <c r="Z154" s="34"/>
      <c r="AA154" s="35"/>
      <c r="AB154" s="34"/>
      <c r="AC154" s="35"/>
      <c r="AD154" s="34"/>
      <c r="AE154" s="35"/>
      <c r="AF154" s="30"/>
      <c r="AG154" s="13"/>
    </row>
    <row r="155" spans="1:33" outlineLevel="1">
      <c r="A155" s="4"/>
      <c r="B155" s="4"/>
      <c r="C155" s="5"/>
      <c r="D155" s="2"/>
      <c r="E155" s="6"/>
      <c r="F155" s="7"/>
      <c r="G155" s="8"/>
      <c r="H155" s="7"/>
      <c r="I155" s="8"/>
      <c r="J155" s="7"/>
      <c r="K155" s="8"/>
      <c r="L155" s="7"/>
      <c r="M155" s="8"/>
      <c r="N155" s="7"/>
      <c r="O155" s="8"/>
      <c r="P155" s="7"/>
      <c r="Q155" s="8"/>
      <c r="R155" s="7"/>
      <c r="S155" s="8"/>
      <c r="T155" s="7"/>
      <c r="U155" s="8"/>
      <c r="V155" s="7"/>
      <c r="W155" s="8"/>
      <c r="X155" s="7"/>
      <c r="Y155" s="8"/>
      <c r="Z155" s="7"/>
      <c r="AA155" s="8"/>
      <c r="AB155" s="7"/>
      <c r="AC155" s="8"/>
      <c r="AD155" s="7"/>
      <c r="AE155" s="8"/>
      <c r="AF155" s="9"/>
      <c r="AG155" s="10"/>
    </row>
    <row r="156" spans="1:33" s="6" customFormat="1" ht="5.0999999999999996" customHeight="1" outlineLevel="1">
      <c r="A156" s="5"/>
      <c r="B156" s="5"/>
      <c r="C156" s="5"/>
      <c r="D156" s="5"/>
      <c r="G156" s="36"/>
      <c r="H156" s="34"/>
      <c r="I156" s="36"/>
      <c r="J156" s="34"/>
      <c r="K156" s="36"/>
      <c r="L156" s="34"/>
      <c r="M156" s="36"/>
      <c r="N156" s="34"/>
      <c r="O156" s="36"/>
      <c r="P156" s="34"/>
      <c r="Q156" s="36"/>
      <c r="R156" s="34"/>
      <c r="S156" s="36"/>
      <c r="T156" s="34"/>
      <c r="U156" s="36"/>
      <c r="V156" s="34"/>
      <c r="W156" s="36"/>
      <c r="X156" s="34"/>
      <c r="Y156" s="36"/>
      <c r="Z156" s="34"/>
      <c r="AA156" s="36"/>
      <c r="AB156" s="34"/>
      <c r="AC156" s="36"/>
      <c r="AD156" s="34"/>
      <c r="AE156" s="36"/>
      <c r="AF156" s="30"/>
      <c r="AG156" s="13"/>
    </row>
    <row r="157" spans="1:33" s="6" customFormat="1" ht="15">
      <c r="C157" s="5" t="s">
        <v>69</v>
      </c>
      <c r="G157" s="33">
        <f>SUM(G154:G156)</f>
        <v>0</v>
      </c>
      <c r="H157" s="34"/>
      <c r="I157" s="33">
        <f>SUM(I154:I156)</f>
        <v>0</v>
      </c>
      <c r="J157" s="34"/>
      <c r="K157" s="33">
        <f>SUM(K154:K156)</f>
        <v>0</v>
      </c>
      <c r="L157" s="34"/>
      <c r="M157" s="33">
        <f>SUM(M154:M156)</f>
        <v>0</v>
      </c>
      <c r="N157" s="34"/>
      <c r="O157" s="33">
        <f>SUM(O154:O156)</f>
        <v>0</v>
      </c>
      <c r="P157" s="34"/>
      <c r="Q157" s="33">
        <f>SUM(Q154:Q156)</f>
        <v>0</v>
      </c>
      <c r="R157" s="34"/>
      <c r="S157" s="33">
        <f>SUM(S154:S156)</f>
        <v>0</v>
      </c>
      <c r="T157" s="34"/>
      <c r="U157" s="33">
        <f>SUM(U154:U156)</f>
        <v>0</v>
      </c>
      <c r="V157" s="34"/>
      <c r="W157" s="33">
        <f>SUM(W154:W156)</f>
        <v>0</v>
      </c>
      <c r="X157" s="34"/>
      <c r="Y157" s="33">
        <f>SUM(Y154:Y156)</f>
        <v>0</v>
      </c>
      <c r="Z157" s="34"/>
      <c r="AA157" s="33">
        <f>SUM(AA154:AA156)</f>
        <v>0</v>
      </c>
      <c r="AB157" s="34"/>
      <c r="AC157" s="33">
        <f>SUM(AC154:AC156)</f>
        <v>0</v>
      </c>
      <c r="AD157" s="34"/>
      <c r="AE157" s="33">
        <f>SUM(AE154:AE156)</f>
        <v>0</v>
      </c>
      <c r="AF157" s="9"/>
      <c r="AG157" s="13"/>
    </row>
    <row r="158" spans="1:33" s="6" customFormat="1" ht="15" outlineLevel="1">
      <c r="G158" s="35"/>
      <c r="H158" s="34"/>
      <c r="I158" s="35"/>
      <c r="J158" s="34"/>
      <c r="K158" s="35"/>
      <c r="L158" s="34"/>
      <c r="M158" s="35"/>
      <c r="N158" s="34"/>
      <c r="O158" s="35"/>
      <c r="P158" s="34"/>
      <c r="Q158" s="35"/>
      <c r="R158" s="34"/>
      <c r="S158" s="35"/>
      <c r="T158" s="34"/>
      <c r="U158" s="35"/>
      <c r="V158" s="34"/>
      <c r="W158" s="35"/>
      <c r="X158" s="34"/>
      <c r="Y158" s="35"/>
      <c r="Z158" s="34"/>
      <c r="AA158" s="35"/>
      <c r="AB158" s="34"/>
      <c r="AC158" s="35"/>
      <c r="AD158" s="34"/>
      <c r="AE158" s="35"/>
      <c r="AF158" s="30"/>
      <c r="AG158" s="13"/>
    </row>
    <row r="159" spans="1:33" s="6" customFormat="1" ht="15" outlineLevel="1">
      <c r="G159" s="35"/>
      <c r="H159" s="34"/>
      <c r="I159" s="35"/>
      <c r="J159" s="34"/>
      <c r="K159" s="35"/>
      <c r="L159" s="34"/>
      <c r="M159" s="35"/>
      <c r="N159" s="34"/>
      <c r="O159" s="35"/>
      <c r="P159" s="34"/>
      <c r="Q159" s="35"/>
      <c r="R159" s="34"/>
      <c r="S159" s="35"/>
      <c r="T159" s="34"/>
      <c r="U159" s="35"/>
      <c r="V159" s="34"/>
      <c r="W159" s="35"/>
      <c r="X159" s="34"/>
      <c r="Y159" s="35"/>
      <c r="Z159" s="34"/>
      <c r="AA159" s="35"/>
      <c r="AB159" s="34"/>
      <c r="AC159" s="35"/>
      <c r="AD159" s="34"/>
      <c r="AE159" s="35"/>
      <c r="AF159" s="30"/>
      <c r="AG159" s="13"/>
    </row>
    <row r="160" spans="1:33" outlineLevel="1">
      <c r="A160" s="4">
        <v>70010</v>
      </c>
      <c r="B160" s="4" t="s">
        <v>53</v>
      </c>
      <c r="C160" s="5"/>
      <c r="D160" s="2"/>
      <c r="E160" s="6"/>
      <c r="F160" s="7"/>
      <c r="G160" s="8">
        <v>1408.7</v>
      </c>
      <c r="H160" s="7"/>
      <c r="I160" s="8">
        <v>1397.43</v>
      </c>
      <c r="J160" s="7"/>
      <c r="K160" s="8">
        <v>2050.87</v>
      </c>
      <c r="L160" s="7"/>
      <c r="M160" s="8">
        <v>2086.9</v>
      </c>
      <c r="N160" s="7"/>
      <c r="O160" s="8">
        <v>2060.73</v>
      </c>
      <c r="P160" s="7"/>
      <c r="Q160" s="8">
        <v>2081.94</v>
      </c>
      <c r="R160" s="7"/>
      <c r="S160" s="8">
        <v>2086.7199999999998</v>
      </c>
      <c r="T160" s="7"/>
      <c r="U160" s="8">
        <v>2063.79</v>
      </c>
      <c r="V160" s="7"/>
      <c r="W160" s="8">
        <v>2268.54</v>
      </c>
      <c r="X160" s="7"/>
      <c r="Y160" s="8">
        <v>2259.4299999999998</v>
      </c>
      <c r="Z160" s="7"/>
      <c r="AA160" s="8">
        <v>2260.6999999999998</v>
      </c>
      <c r="AB160" s="7"/>
      <c r="AC160" s="8">
        <v>2302.73</v>
      </c>
      <c r="AD160" s="7"/>
      <c r="AE160" s="8">
        <f t="shared" ref="AE160:AE194" si="8">AC160+AA160+Y160+W160+U160+S160+Q160+O160+M160+K160+I160+G160</f>
        <v>24328.480000000003</v>
      </c>
      <c r="AF160" s="9"/>
      <c r="AG160" s="10"/>
    </row>
    <row r="161" spans="1:33" outlineLevel="1">
      <c r="A161" s="4">
        <v>70020</v>
      </c>
      <c r="B161" s="4" t="s">
        <v>30</v>
      </c>
      <c r="C161" s="5"/>
      <c r="D161" s="2"/>
      <c r="E161" s="6"/>
      <c r="F161" s="7"/>
      <c r="G161" s="8">
        <v>4672.68</v>
      </c>
      <c r="H161" s="7"/>
      <c r="I161" s="8">
        <v>2273.33</v>
      </c>
      <c r="J161" s="7"/>
      <c r="K161" s="8">
        <v>2697.61</v>
      </c>
      <c r="L161" s="7"/>
      <c r="M161" s="8">
        <v>2779.62</v>
      </c>
      <c r="N161" s="7"/>
      <c r="O161" s="8">
        <v>2570.9</v>
      </c>
      <c r="P161" s="7"/>
      <c r="Q161" s="8">
        <v>2757.84</v>
      </c>
      <c r="R161" s="7"/>
      <c r="S161" s="8">
        <v>2639.52</v>
      </c>
      <c r="T161" s="7"/>
      <c r="U161" s="8">
        <v>1409.99</v>
      </c>
      <c r="V161" s="7"/>
      <c r="W161" s="8">
        <v>2717.4</v>
      </c>
      <c r="X161" s="7"/>
      <c r="Y161" s="8">
        <v>2539.02</v>
      </c>
      <c r="Z161" s="7"/>
      <c r="AA161" s="8">
        <v>2111.2199999999998</v>
      </c>
      <c r="AB161" s="7"/>
      <c r="AC161" s="8">
        <v>2781.15</v>
      </c>
      <c r="AD161" s="7"/>
      <c r="AE161" s="8">
        <f t="shared" si="8"/>
        <v>31950.28</v>
      </c>
      <c r="AF161" s="9"/>
      <c r="AG161" s="10"/>
    </row>
    <row r="162" spans="1:33" outlineLevel="1">
      <c r="A162" s="4">
        <v>70025</v>
      </c>
      <c r="B162" s="4" t="s">
        <v>31</v>
      </c>
      <c r="C162" s="5"/>
      <c r="D162" s="2"/>
      <c r="E162" s="6"/>
      <c r="F162" s="7"/>
      <c r="G162" s="8">
        <v>891.42</v>
      </c>
      <c r="H162" s="7"/>
      <c r="I162" s="8">
        <v>1068.74</v>
      </c>
      <c r="J162" s="7"/>
      <c r="K162" s="8">
        <v>615.36</v>
      </c>
      <c r="L162" s="7"/>
      <c r="M162" s="8">
        <v>382.65</v>
      </c>
      <c r="N162" s="7"/>
      <c r="O162" s="8">
        <v>484.53</v>
      </c>
      <c r="P162" s="7"/>
      <c r="Q162" s="8">
        <v>298.31</v>
      </c>
      <c r="R162" s="7"/>
      <c r="S162" s="8">
        <v>395.54</v>
      </c>
      <c r="T162" s="7"/>
      <c r="U162" s="8">
        <v>91.53</v>
      </c>
      <c r="V162" s="7"/>
      <c r="W162" s="8">
        <v>126.02</v>
      </c>
      <c r="X162" s="7"/>
      <c r="Y162" s="8">
        <v>298.37</v>
      </c>
      <c r="Z162" s="7"/>
      <c r="AA162" s="8">
        <v>297.93</v>
      </c>
      <c r="AB162" s="7"/>
      <c r="AC162" s="8">
        <v>380.94</v>
      </c>
      <c r="AD162" s="7"/>
      <c r="AE162" s="8">
        <f t="shared" si="8"/>
        <v>5331.34</v>
      </c>
      <c r="AF162" s="9"/>
      <c r="AG162" s="10"/>
    </row>
    <row r="163" spans="1:33" outlineLevel="1">
      <c r="A163" s="4">
        <v>70036</v>
      </c>
      <c r="B163" s="4" t="s">
        <v>33</v>
      </c>
      <c r="C163" s="5"/>
      <c r="D163" s="2"/>
      <c r="E163" s="6"/>
      <c r="F163" s="7"/>
      <c r="G163" s="8">
        <v>220</v>
      </c>
      <c r="H163" s="7"/>
      <c r="I163" s="8">
        <v>75</v>
      </c>
      <c r="J163" s="7"/>
      <c r="K163" s="8">
        <v>325</v>
      </c>
      <c r="L163" s="7"/>
      <c r="M163" s="8">
        <v>195</v>
      </c>
      <c r="N163" s="7"/>
      <c r="O163" s="8">
        <v>0</v>
      </c>
      <c r="P163" s="7"/>
      <c r="Q163" s="8">
        <v>150</v>
      </c>
      <c r="R163" s="7"/>
      <c r="S163" s="8">
        <v>720</v>
      </c>
      <c r="T163" s="7"/>
      <c r="U163" s="8">
        <v>125</v>
      </c>
      <c r="V163" s="7"/>
      <c r="W163" s="8">
        <v>290</v>
      </c>
      <c r="X163" s="7"/>
      <c r="Y163" s="8">
        <v>545</v>
      </c>
      <c r="Z163" s="7"/>
      <c r="AA163" s="8">
        <v>470</v>
      </c>
      <c r="AB163" s="7"/>
      <c r="AC163" s="8">
        <v>195</v>
      </c>
      <c r="AD163" s="7"/>
      <c r="AE163" s="8">
        <f t="shared" si="8"/>
        <v>3310</v>
      </c>
      <c r="AF163" s="9"/>
      <c r="AG163" s="10"/>
    </row>
    <row r="164" spans="1:33" outlineLevel="1">
      <c r="A164" s="4">
        <v>70050</v>
      </c>
      <c r="B164" s="4" t="s">
        <v>34</v>
      </c>
      <c r="C164" s="5"/>
      <c r="D164" s="2"/>
      <c r="E164" s="6"/>
      <c r="F164" s="7"/>
      <c r="G164" s="8">
        <v>793.67</v>
      </c>
      <c r="H164" s="7"/>
      <c r="I164" s="8">
        <v>459.8</v>
      </c>
      <c r="J164" s="7"/>
      <c r="K164" s="8">
        <v>511.47</v>
      </c>
      <c r="L164" s="7"/>
      <c r="M164" s="8">
        <v>484.79</v>
      </c>
      <c r="N164" s="7"/>
      <c r="O164" s="8">
        <v>423.22</v>
      </c>
      <c r="P164" s="7"/>
      <c r="Q164" s="8">
        <v>439.98</v>
      </c>
      <c r="R164" s="7"/>
      <c r="S164" s="8">
        <v>497.49</v>
      </c>
      <c r="T164" s="7"/>
      <c r="U164" s="8">
        <v>368.38</v>
      </c>
      <c r="V164" s="7"/>
      <c r="W164" s="8">
        <v>461.44</v>
      </c>
      <c r="X164" s="7"/>
      <c r="Y164" s="8">
        <v>550</v>
      </c>
      <c r="Z164" s="7"/>
      <c r="AA164" s="8">
        <v>519.41</v>
      </c>
      <c r="AB164" s="7"/>
      <c r="AC164" s="8">
        <v>509.25</v>
      </c>
      <c r="AD164" s="7"/>
      <c r="AE164" s="8">
        <f t="shared" si="8"/>
        <v>6018.9000000000005</v>
      </c>
      <c r="AF164" s="9"/>
      <c r="AG164" s="10"/>
    </row>
    <row r="165" spans="1:33" outlineLevel="1">
      <c r="A165" s="4">
        <v>70060</v>
      </c>
      <c r="B165" s="4" t="s">
        <v>35</v>
      </c>
      <c r="C165" s="5"/>
      <c r="D165" s="2"/>
      <c r="E165" s="6"/>
      <c r="F165" s="7"/>
      <c r="G165" s="8">
        <v>2218.08</v>
      </c>
      <c r="H165" s="7"/>
      <c r="I165" s="8">
        <v>1218.17</v>
      </c>
      <c r="J165" s="7"/>
      <c r="K165" s="8">
        <v>1341.78</v>
      </c>
      <c r="L165" s="7"/>
      <c r="M165" s="8">
        <v>1347.77</v>
      </c>
      <c r="N165" s="7"/>
      <c r="O165" s="8">
        <v>1348.17</v>
      </c>
      <c r="P165" s="7"/>
      <c r="Q165" s="8">
        <v>1349.92</v>
      </c>
      <c r="R165" s="7"/>
      <c r="S165" s="8">
        <v>1349.92</v>
      </c>
      <c r="T165" s="7"/>
      <c r="U165" s="8">
        <v>1350.56</v>
      </c>
      <c r="V165" s="7"/>
      <c r="W165" s="8">
        <v>1375.79</v>
      </c>
      <c r="X165" s="7"/>
      <c r="Y165" s="8">
        <v>1382.46</v>
      </c>
      <c r="Z165" s="7"/>
      <c r="AA165" s="8">
        <v>1410</v>
      </c>
      <c r="AB165" s="7"/>
      <c r="AC165" s="8">
        <v>1411.57</v>
      </c>
      <c r="AD165" s="7"/>
      <c r="AE165" s="8">
        <f t="shared" si="8"/>
        <v>17104.190000000002</v>
      </c>
      <c r="AF165" s="9"/>
      <c r="AG165" s="10"/>
    </row>
    <row r="166" spans="1:33" outlineLevel="1">
      <c r="A166" s="4">
        <v>70065</v>
      </c>
      <c r="B166" s="4" t="s">
        <v>36</v>
      </c>
      <c r="C166" s="5"/>
      <c r="D166" s="2"/>
      <c r="E166" s="6"/>
      <c r="F166" s="7"/>
      <c r="G166" s="8">
        <v>256.22000000000003</v>
      </c>
      <c r="H166" s="7"/>
      <c r="I166" s="8">
        <v>83.89</v>
      </c>
      <c r="J166" s="7"/>
      <c r="K166" s="8">
        <v>47.55</v>
      </c>
      <c r="L166" s="7"/>
      <c r="M166" s="8">
        <v>65.56</v>
      </c>
      <c r="N166" s="7"/>
      <c r="O166" s="8">
        <v>60.59</v>
      </c>
      <c r="P166" s="7"/>
      <c r="Q166" s="8">
        <v>45.17</v>
      </c>
      <c r="R166" s="7"/>
      <c r="S166" s="8">
        <v>90.67</v>
      </c>
      <c r="T166" s="7"/>
      <c r="U166" s="8">
        <v>31.81</v>
      </c>
      <c r="V166" s="7"/>
      <c r="W166" s="8">
        <v>40.36</v>
      </c>
      <c r="X166" s="7"/>
      <c r="Y166" s="8">
        <v>172.02</v>
      </c>
      <c r="Z166" s="7"/>
      <c r="AA166" s="8">
        <v>254.93</v>
      </c>
      <c r="AB166" s="7"/>
      <c r="AC166" s="8">
        <v>136.35</v>
      </c>
      <c r="AD166" s="7"/>
      <c r="AE166" s="8">
        <f t="shared" si="8"/>
        <v>1285.1199999999999</v>
      </c>
      <c r="AF166" s="9"/>
      <c r="AG166" s="10"/>
    </row>
    <row r="167" spans="1:33" outlineLevel="1">
      <c r="A167" s="4">
        <v>70070</v>
      </c>
      <c r="B167" s="4" t="s">
        <v>70</v>
      </c>
      <c r="C167" s="5"/>
      <c r="D167" s="2"/>
      <c r="E167" s="6"/>
      <c r="F167" s="7"/>
      <c r="G167" s="8">
        <v>0.57999999999999996</v>
      </c>
      <c r="H167" s="7"/>
      <c r="I167" s="8">
        <v>16.11</v>
      </c>
      <c r="J167" s="7"/>
      <c r="K167" s="8">
        <v>0.73</v>
      </c>
      <c r="L167" s="7"/>
      <c r="M167" s="8">
        <v>0.41</v>
      </c>
      <c r="N167" s="7"/>
      <c r="O167" s="8">
        <v>0.41</v>
      </c>
      <c r="P167" s="7"/>
      <c r="Q167" s="8">
        <v>0.41</v>
      </c>
      <c r="R167" s="7"/>
      <c r="S167" s="8">
        <v>0.6</v>
      </c>
      <c r="T167" s="7"/>
      <c r="U167" s="8">
        <v>0.57999999999999996</v>
      </c>
      <c r="V167" s="7"/>
      <c r="W167" s="8">
        <v>0.45</v>
      </c>
      <c r="X167" s="7"/>
      <c r="Y167" s="8">
        <v>1.59</v>
      </c>
      <c r="Z167" s="7"/>
      <c r="AA167" s="8">
        <v>443.17</v>
      </c>
      <c r="AB167" s="7"/>
      <c r="AC167" s="8">
        <v>0.67</v>
      </c>
      <c r="AD167" s="7"/>
      <c r="AE167" s="8">
        <f t="shared" si="8"/>
        <v>465.71000000000009</v>
      </c>
      <c r="AF167" s="9"/>
      <c r="AG167" s="10"/>
    </row>
    <row r="168" spans="1:33" outlineLevel="1">
      <c r="A168" s="4">
        <v>70086</v>
      </c>
      <c r="B168" s="4" t="s">
        <v>37</v>
      </c>
      <c r="C168" s="5"/>
      <c r="D168" s="2"/>
      <c r="E168" s="6"/>
      <c r="F168" s="7"/>
      <c r="G168" s="8">
        <v>109</v>
      </c>
      <c r="H168" s="7"/>
      <c r="I168" s="8">
        <v>0</v>
      </c>
      <c r="J168" s="7"/>
      <c r="K168" s="8">
        <v>0</v>
      </c>
      <c r="L168" s="7"/>
      <c r="M168" s="8">
        <v>40</v>
      </c>
      <c r="N168" s="7"/>
      <c r="O168" s="8">
        <v>0</v>
      </c>
      <c r="P168" s="7"/>
      <c r="Q168" s="8">
        <v>0</v>
      </c>
      <c r="R168" s="7"/>
      <c r="S168" s="8">
        <v>0</v>
      </c>
      <c r="T168" s="7"/>
      <c r="U168" s="8">
        <v>0</v>
      </c>
      <c r="V168" s="7"/>
      <c r="W168" s="8">
        <v>0</v>
      </c>
      <c r="X168" s="7"/>
      <c r="Y168" s="8">
        <v>0</v>
      </c>
      <c r="Z168" s="7"/>
      <c r="AA168" s="8">
        <v>0</v>
      </c>
      <c r="AB168" s="7"/>
      <c r="AC168" s="8">
        <v>0</v>
      </c>
      <c r="AD168" s="7"/>
      <c r="AE168" s="8">
        <f t="shared" si="8"/>
        <v>149</v>
      </c>
      <c r="AF168" s="9"/>
      <c r="AG168" s="10"/>
    </row>
    <row r="169" spans="1:33" outlineLevel="1">
      <c r="A169" s="4">
        <v>70095</v>
      </c>
      <c r="B169" s="4" t="s">
        <v>71</v>
      </c>
      <c r="C169" s="5"/>
      <c r="D169" s="2"/>
      <c r="E169" s="6"/>
      <c r="F169" s="7"/>
      <c r="G169" s="8">
        <v>0</v>
      </c>
      <c r="H169" s="7"/>
      <c r="I169" s="8">
        <v>0</v>
      </c>
      <c r="J169" s="7"/>
      <c r="K169" s="8">
        <v>0</v>
      </c>
      <c r="L169" s="7"/>
      <c r="M169" s="8">
        <v>53.85</v>
      </c>
      <c r="N169" s="7"/>
      <c r="O169" s="8">
        <v>200.27</v>
      </c>
      <c r="P169" s="7"/>
      <c r="Q169" s="8">
        <v>0</v>
      </c>
      <c r="R169" s="7"/>
      <c r="S169" s="8">
        <v>75.540000000000006</v>
      </c>
      <c r="T169" s="7"/>
      <c r="U169" s="8">
        <v>390</v>
      </c>
      <c r="V169" s="7"/>
      <c r="W169" s="8">
        <v>123.2</v>
      </c>
      <c r="X169" s="7"/>
      <c r="Y169" s="8">
        <v>11.47</v>
      </c>
      <c r="Z169" s="7"/>
      <c r="AA169" s="8">
        <v>0</v>
      </c>
      <c r="AB169" s="7"/>
      <c r="AC169" s="8">
        <v>109.97</v>
      </c>
      <c r="AD169" s="7"/>
      <c r="AE169" s="8">
        <f t="shared" si="8"/>
        <v>964.3</v>
      </c>
      <c r="AF169" s="9"/>
      <c r="AG169" s="10"/>
    </row>
    <row r="170" spans="1:33" outlineLevel="1">
      <c r="A170" s="4">
        <v>70110</v>
      </c>
      <c r="B170" s="4" t="s">
        <v>72</v>
      </c>
      <c r="C170" s="5"/>
      <c r="D170" s="2"/>
      <c r="E170" s="6"/>
      <c r="F170" s="7"/>
      <c r="G170" s="8">
        <v>200</v>
      </c>
      <c r="H170" s="7"/>
      <c r="I170" s="8">
        <v>0</v>
      </c>
      <c r="J170" s="7"/>
      <c r="K170" s="8">
        <v>0</v>
      </c>
      <c r="L170" s="7"/>
      <c r="M170" s="8">
        <v>0</v>
      </c>
      <c r="N170" s="7"/>
      <c r="O170" s="8">
        <v>0</v>
      </c>
      <c r="P170" s="7"/>
      <c r="Q170" s="8">
        <v>0</v>
      </c>
      <c r="R170" s="7"/>
      <c r="S170" s="8">
        <v>0</v>
      </c>
      <c r="T170" s="7"/>
      <c r="U170" s="8">
        <v>0</v>
      </c>
      <c r="V170" s="7"/>
      <c r="W170" s="8">
        <v>500</v>
      </c>
      <c r="X170" s="7"/>
      <c r="Y170" s="8">
        <v>0</v>
      </c>
      <c r="Z170" s="7"/>
      <c r="AA170" s="8">
        <v>0</v>
      </c>
      <c r="AB170" s="7"/>
      <c r="AC170" s="8">
        <v>220</v>
      </c>
      <c r="AD170" s="7"/>
      <c r="AE170" s="8">
        <f t="shared" si="8"/>
        <v>920</v>
      </c>
      <c r="AF170" s="9"/>
      <c r="AG170" s="10"/>
    </row>
    <row r="171" spans="1:33" outlineLevel="1">
      <c r="A171" s="4">
        <v>70116</v>
      </c>
      <c r="B171" s="4" t="s">
        <v>73</v>
      </c>
      <c r="C171" s="5"/>
      <c r="D171" s="2"/>
      <c r="E171" s="6"/>
      <c r="F171" s="7"/>
      <c r="G171" s="8">
        <v>11.45</v>
      </c>
      <c r="H171" s="7"/>
      <c r="I171" s="8">
        <v>10.64</v>
      </c>
      <c r="J171" s="7"/>
      <c r="K171" s="8">
        <v>15.81</v>
      </c>
      <c r="L171" s="7"/>
      <c r="M171" s="8">
        <v>9.48</v>
      </c>
      <c r="N171" s="7"/>
      <c r="O171" s="8">
        <v>9.49</v>
      </c>
      <c r="P171" s="7"/>
      <c r="Q171" s="8">
        <v>9.4</v>
      </c>
      <c r="R171" s="7"/>
      <c r="S171" s="8">
        <v>9.5399999999999991</v>
      </c>
      <c r="T171" s="7"/>
      <c r="U171" s="8">
        <v>9.15</v>
      </c>
      <c r="V171" s="7"/>
      <c r="W171" s="8">
        <v>13.43</v>
      </c>
      <c r="X171" s="7"/>
      <c r="Y171" s="8">
        <v>12.23</v>
      </c>
      <c r="Z171" s="7"/>
      <c r="AA171" s="8">
        <v>13.29</v>
      </c>
      <c r="AB171" s="7"/>
      <c r="AC171" s="8">
        <v>12.74</v>
      </c>
      <c r="AD171" s="7"/>
      <c r="AE171" s="8">
        <f t="shared" si="8"/>
        <v>136.65</v>
      </c>
      <c r="AF171" s="9"/>
      <c r="AG171" s="10"/>
    </row>
    <row r="172" spans="1:33" outlineLevel="1">
      <c r="A172" s="4">
        <v>70147</v>
      </c>
      <c r="B172" s="4" t="s">
        <v>74</v>
      </c>
      <c r="C172" s="5"/>
      <c r="D172" s="2"/>
      <c r="E172" s="6"/>
      <c r="F172" s="7"/>
      <c r="G172" s="8">
        <v>392.15</v>
      </c>
      <c r="H172" s="7"/>
      <c r="I172" s="8">
        <v>83.86</v>
      </c>
      <c r="J172" s="7"/>
      <c r="K172" s="8">
        <v>50.41</v>
      </c>
      <c r="L172" s="7"/>
      <c r="M172" s="8">
        <v>0</v>
      </c>
      <c r="N172" s="7"/>
      <c r="O172" s="8">
        <v>46.39</v>
      </c>
      <c r="P172" s="7"/>
      <c r="Q172" s="8">
        <v>319.32</v>
      </c>
      <c r="R172" s="7"/>
      <c r="S172" s="8">
        <v>442.83</v>
      </c>
      <c r="T172" s="7"/>
      <c r="U172" s="8">
        <v>370</v>
      </c>
      <c r="V172" s="7"/>
      <c r="W172" s="8">
        <v>771.5</v>
      </c>
      <c r="X172" s="7"/>
      <c r="Y172" s="8">
        <v>-30</v>
      </c>
      <c r="Z172" s="7"/>
      <c r="AA172" s="8">
        <v>1026.95</v>
      </c>
      <c r="AB172" s="7"/>
      <c r="AC172" s="8">
        <v>370</v>
      </c>
      <c r="AD172" s="7"/>
      <c r="AE172" s="8">
        <f t="shared" si="8"/>
        <v>3843.41</v>
      </c>
      <c r="AF172" s="9"/>
      <c r="AG172" s="10"/>
    </row>
    <row r="173" spans="1:33" outlineLevel="1">
      <c r="A173" s="4">
        <v>70148</v>
      </c>
      <c r="B173" s="4" t="s">
        <v>75</v>
      </c>
      <c r="C173" s="5"/>
      <c r="D173" s="2"/>
      <c r="E173" s="6"/>
      <c r="F173" s="7"/>
      <c r="G173" s="8">
        <v>387.91</v>
      </c>
      <c r="H173" s="7"/>
      <c r="I173" s="8">
        <v>340.99</v>
      </c>
      <c r="J173" s="7"/>
      <c r="K173" s="8">
        <v>854.84</v>
      </c>
      <c r="L173" s="7"/>
      <c r="M173" s="8">
        <v>1105.55</v>
      </c>
      <c r="N173" s="7"/>
      <c r="O173" s="8">
        <v>487.51</v>
      </c>
      <c r="P173" s="7"/>
      <c r="Q173" s="8">
        <v>214.29</v>
      </c>
      <c r="R173" s="7"/>
      <c r="S173" s="8">
        <v>232.66</v>
      </c>
      <c r="T173" s="7"/>
      <c r="U173" s="8">
        <v>216.48</v>
      </c>
      <c r="V173" s="7"/>
      <c r="W173" s="8">
        <v>313.83</v>
      </c>
      <c r="X173" s="7"/>
      <c r="Y173" s="8">
        <v>303.22000000000003</v>
      </c>
      <c r="Z173" s="7"/>
      <c r="AA173" s="8">
        <v>529.29999999999995</v>
      </c>
      <c r="AB173" s="7"/>
      <c r="AC173" s="8">
        <v>384.58</v>
      </c>
      <c r="AD173" s="7"/>
      <c r="AE173" s="8">
        <f t="shared" si="8"/>
        <v>5371.16</v>
      </c>
      <c r="AF173" s="9"/>
      <c r="AG173" s="10"/>
    </row>
    <row r="174" spans="1:33" outlineLevel="1">
      <c r="A174" s="4">
        <v>70150</v>
      </c>
      <c r="B174" s="4" t="s">
        <v>76</v>
      </c>
      <c r="C174" s="5"/>
      <c r="D174" s="2"/>
      <c r="E174" s="6"/>
      <c r="F174" s="7"/>
      <c r="G174" s="8">
        <v>247.22</v>
      </c>
      <c r="H174" s="7"/>
      <c r="I174" s="8">
        <v>300</v>
      </c>
      <c r="J174" s="7"/>
      <c r="K174" s="8">
        <v>-117.38</v>
      </c>
      <c r="L174" s="7"/>
      <c r="M174" s="8">
        <v>225</v>
      </c>
      <c r="N174" s="7"/>
      <c r="O174" s="8">
        <v>-76.459999999999994</v>
      </c>
      <c r="P174" s="7"/>
      <c r="Q174" s="8">
        <v>350</v>
      </c>
      <c r="R174" s="7"/>
      <c r="S174" s="8">
        <v>-192.21</v>
      </c>
      <c r="T174" s="7"/>
      <c r="U174" s="8">
        <v>0</v>
      </c>
      <c r="V174" s="7"/>
      <c r="W174" s="8">
        <v>324.27</v>
      </c>
      <c r="X174" s="7"/>
      <c r="Y174" s="8">
        <v>0</v>
      </c>
      <c r="Z174" s="7"/>
      <c r="AA174" s="8">
        <v>477.21</v>
      </c>
      <c r="AB174" s="7"/>
      <c r="AC174" s="8">
        <v>0</v>
      </c>
      <c r="AD174" s="7"/>
      <c r="AE174" s="8">
        <f t="shared" si="8"/>
        <v>1537.6499999999999</v>
      </c>
      <c r="AF174" s="9"/>
      <c r="AG174" s="10"/>
    </row>
    <row r="175" spans="1:33" outlineLevel="1">
      <c r="A175" s="4">
        <v>70165</v>
      </c>
      <c r="B175" s="4" t="s">
        <v>77</v>
      </c>
      <c r="C175" s="5"/>
      <c r="D175" s="2"/>
      <c r="E175" s="6"/>
      <c r="F175" s="7"/>
      <c r="G175" s="8">
        <v>1441.92</v>
      </c>
      <c r="H175" s="7"/>
      <c r="I175" s="8">
        <v>471.52</v>
      </c>
      <c r="J175" s="7"/>
      <c r="K175" s="8">
        <v>403.33</v>
      </c>
      <c r="L175" s="7"/>
      <c r="M175" s="8">
        <v>434.44</v>
      </c>
      <c r="N175" s="7"/>
      <c r="O175" s="8">
        <v>276.38</v>
      </c>
      <c r="P175" s="7"/>
      <c r="Q175" s="8">
        <v>500</v>
      </c>
      <c r="R175" s="7"/>
      <c r="S175" s="8">
        <v>292.61</v>
      </c>
      <c r="T175" s="7"/>
      <c r="U175" s="8">
        <v>409</v>
      </c>
      <c r="V175" s="7"/>
      <c r="W175" s="8">
        <v>442.29</v>
      </c>
      <c r="X175" s="7"/>
      <c r="Y175" s="8">
        <v>447.91</v>
      </c>
      <c r="Z175" s="7"/>
      <c r="AA175" s="8">
        <v>459.69</v>
      </c>
      <c r="AB175" s="7"/>
      <c r="AC175" s="8">
        <v>447.5</v>
      </c>
      <c r="AD175" s="7"/>
      <c r="AE175" s="8">
        <f t="shared" si="8"/>
        <v>6026.59</v>
      </c>
      <c r="AF175" s="9"/>
      <c r="AG175" s="10"/>
    </row>
    <row r="176" spans="1:33" outlineLevel="1">
      <c r="A176" s="4">
        <v>70167</v>
      </c>
      <c r="B176" s="4" t="s">
        <v>78</v>
      </c>
      <c r="C176" s="5"/>
      <c r="D176" s="2"/>
      <c r="E176" s="6"/>
      <c r="F176" s="7"/>
      <c r="G176" s="8">
        <v>251.94</v>
      </c>
      <c r="H176" s="7"/>
      <c r="I176" s="8">
        <v>192.06</v>
      </c>
      <c r="J176" s="7"/>
      <c r="K176" s="8">
        <v>283.11</v>
      </c>
      <c r="L176" s="7"/>
      <c r="M176" s="8">
        <v>267.66000000000003</v>
      </c>
      <c r="N176" s="7"/>
      <c r="O176" s="8">
        <v>201.7</v>
      </c>
      <c r="P176" s="7"/>
      <c r="Q176" s="8">
        <v>231.6</v>
      </c>
      <c r="R176" s="7"/>
      <c r="S176" s="8">
        <v>231.6</v>
      </c>
      <c r="T176" s="7"/>
      <c r="U176" s="8">
        <v>171.54</v>
      </c>
      <c r="V176" s="7"/>
      <c r="W176" s="8">
        <v>171.54</v>
      </c>
      <c r="X176" s="7"/>
      <c r="Y176" s="8">
        <v>172.44</v>
      </c>
      <c r="Z176" s="7"/>
      <c r="AA176" s="8">
        <v>172.74</v>
      </c>
      <c r="AB176" s="7"/>
      <c r="AC176" s="8">
        <v>157.22999999999999</v>
      </c>
      <c r="AD176" s="7"/>
      <c r="AE176" s="8">
        <f t="shared" si="8"/>
        <v>2505.16</v>
      </c>
      <c r="AF176" s="9"/>
      <c r="AG176" s="10"/>
    </row>
    <row r="177" spans="1:33" outlineLevel="1">
      <c r="A177" s="4">
        <v>70175</v>
      </c>
      <c r="B177" s="4" t="s">
        <v>49</v>
      </c>
      <c r="C177" s="5"/>
      <c r="D177" s="2"/>
      <c r="E177" s="6"/>
      <c r="F177" s="7"/>
      <c r="G177" s="8">
        <v>0</v>
      </c>
      <c r="H177" s="7"/>
      <c r="I177" s="8">
        <v>0</v>
      </c>
      <c r="J177" s="7"/>
      <c r="K177" s="8">
        <v>0</v>
      </c>
      <c r="L177" s="7"/>
      <c r="M177" s="8">
        <v>0</v>
      </c>
      <c r="N177" s="7"/>
      <c r="O177" s="8">
        <v>253.78</v>
      </c>
      <c r="P177" s="7"/>
      <c r="Q177" s="8">
        <v>178.78</v>
      </c>
      <c r="R177" s="7"/>
      <c r="S177" s="8">
        <v>178.78</v>
      </c>
      <c r="T177" s="7"/>
      <c r="U177" s="8">
        <v>178.78</v>
      </c>
      <c r="V177" s="7"/>
      <c r="W177" s="8">
        <v>178.78</v>
      </c>
      <c r="X177" s="7"/>
      <c r="Y177" s="8">
        <v>178.78</v>
      </c>
      <c r="Z177" s="7"/>
      <c r="AA177" s="8">
        <v>178.78</v>
      </c>
      <c r="AB177" s="7"/>
      <c r="AC177" s="8">
        <v>357.56</v>
      </c>
      <c r="AD177" s="7"/>
      <c r="AE177" s="8">
        <f t="shared" si="8"/>
        <v>1684.02</v>
      </c>
      <c r="AF177" s="9"/>
      <c r="AG177" s="10"/>
    </row>
    <row r="178" spans="1:33" outlineLevel="1">
      <c r="A178" s="4">
        <v>70185</v>
      </c>
      <c r="B178" s="4" t="s">
        <v>79</v>
      </c>
      <c r="C178" s="5"/>
      <c r="D178" s="2"/>
      <c r="E178" s="6"/>
      <c r="F178" s="7"/>
      <c r="G178" s="8">
        <v>0</v>
      </c>
      <c r="H178" s="7"/>
      <c r="I178" s="8">
        <v>81.900000000000006</v>
      </c>
      <c r="J178" s="7"/>
      <c r="K178" s="8">
        <v>0</v>
      </c>
      <c r="L178" s="7"/>
      <c r="M178" s="8">
        <v>196</v>
      </c>
      <c r="N178" s="7"/>
      <c r="O178" s="8">
        <v>294</v>
      </c>
      <c r="P178" s="7"/>
      <c r="Q178" s="8">
        <v>0</v>
      </c>
      <c r="R178" s="7"/>
      <c r="S178" s="8">
        <v>0</v>
      </c>
      <c r="T178" s="7"/>
      <c r="U178" s="8">
        <v>105.55</v>
      </c>
      <c r="V178" s="7"/>
      <c r="W178" s="8">
        <v>0</v>
      </c>
      <c r="X178" s="7"/>
      <c r="Y178" s="8">
        <v>0</v>
      </c>
      <c r="Z178" s="7"/>
      <c r="AA178" s="8">
        <v>0</v>
      </c>
      <c r="AB178" s="7"/>
      <c r="AC178" s="8">
        <v>0</v>
      </c>
      <c r="AD178" s="7"/>
      <c r="AE178" s="8">
        <f t="shared" si="8"/>
        <v>677.44999999999993</v>
      </c>
      <c r="AF178" s="9"/>
      <c r="AG178" s="10"/>
    </row>
    <row r="179" spans="1:33" outlineLevel="1">
      <c r="A179" s="4">
        <v>70200</v>
      </c>
      <c r="B179" s="4" t="s">
        <v>80</v>
      </c>
      <c r="C179" s="5"/>
      <c r="D179" s="2"/>
      <c r="E179" s="6"/>
      <c r="F179" s="7"/>
      <c r="G179" s="8">
        <v>0</v>
      </c>
      <c r="H179" s="7"/>
      <c r="I179" s="8">
        <v>0</v>
      </c>
      <c r="J179" s="7"/>
      <c r="K179" s="8">
        <v>0</v>
      </c>
      <c r="L179" s="7"/>
      <c r="M179" s="8">
        <v>0</v>
      </c>
      <c r="N179" s="7"/>
      <c r="O179" s="8">
        <v>0</v>
      </c>
      <c r="P179" s="7"/>
      <c r="Q179" s="8">
        <v>50</v>
      </c>
      <c r="R179" s="7"/>
      <c r="S179" s="8">
        <v>-50</v>
      </c>
      <c r="T179" s="7"/>
      <c r="U179" s="8">
        <v>0</v>
      </c>
      <c r="V179" s="7"/>
      <c r="W179" s="8">
        <v>0</v>
      </c>
      <c r="X179" s="7"/>
      <c r="Y179" s="8">
        <v>0</v>
      </c>
      <c r="Z179" s="7"/>
      <c r="AA179" s="8">
        <v>0</v>
      </c>
      <c r="AB179" s="7"/>
      <c r="AC179" s="8">
        <v>0</v>
      </c>
      <c r="AD179" s="7"/>
      <c r="AE179" s="8">
        <f t="shared" si="8"/>
        <v>0</v>
      </c>
      <c r="AF179" s="9"/>
      <c r="AG179" s="10"/>
    </row>
    <row r="180" spans="1:33" outlineLevel="1">
      <c r="A180" s="4">
        <v>70201</v>
      </c>
      <c r="B180" s="4" t="s">
        <v>81</v>
      </c>
      <c r="C180" s="5"/>
      <c r="D180" s="2"/>
      <c r="E180" s="6"/>
      <c r="F180" s="7"/>
      <c r="G180" s="8">
        <v>97.32</v>
      </c>
      <c r="H180" s="7"/>
      <c r="I180" s="8">
        <v>0</v>
      </c>
      <c r="J180" s="7"/>
      <c r="K180" s="8">
        <v>156.86000000000001</v>
      </c>
      <c r="L180" s="7"/>
      <c r="M180" s="8">
        <v>32.75</v>
      </c>
      <c r="N180" s="7"/>
      <c r="O180" s="8">
        <v>32.950000000000003</v>
      </c>
      <c r="P180" s="7"/>
      <c r="Q180" s="8">
        <v>52.62</v>
      </c>
      <c r="R180" s="7"/>
      <c r="S180" s="8">
        <v>265.2</v>
      </c>
      <c r="T180" s="7"/>
      <c r="U180" s="8">
        <v>0</v>
      </c>
      <c r="V180" s="7"/>
      <c r="W180" s="8">
        <v>26.03</v>
      </c>
      <c r="X180" s="7"/>
      <c r="Y180" s="8">
        <v>522.73</v>
      </c>
      <c r="Z180" s="7"/>
      <c r="AA180" s="8">
        <v>-91.64</v>
      </c>
      <c r="AB180" s="7"/>
      <c r="AC180" s="8">
        <v>180.12</v>
      </c>
      <c r="AD180" s="7"/>
      <c r="AE180" s="8">
        <f t="shared" si="8"/>
        <v>1274.94</v>
      </c>
      <c r="AF180" s="9"/>
      <c r="AG180" s="10"/>
    </row>
    <row r="181" spans="1:33" outlineLevel="1">
      <c r="A181" s="4">
        <v>70202</v>
      </c>
      <c r="B181" s="4" t="s">
        <v>82</v>
      </c>
      <c r="C181" s="5"/>
      <c r="D181" s="2"/>
      <c r="E181" s="6"/>
      <c r="F181" s="7"/>
      <c r="G181" s="8">
        <v>0</v>
      </c>
      <c r="H181" s="7"/>
      <c r="I181" s="8">
        <v>0</v>
      </c>
      <c r="J181" s="7"/>
      <c r="K181" s="8">
        <v>0</v>
      </c>
      <c r="L181" s="7"/>
      <c r="M181" s="8">
        <v>0</v>
      </c>
      <c r="N181" s="7"/>
      <c r="O181" s="8">
        <v>0</v>
      </c>
      <c r="P181" s="7"/>
      <c r="Q181" s="8">
        <v>0</v>
      </c>
      <c r="R181" s="7"/>
      <c r="S181" s="8">
        <v>0</v>
      </c>
      <c r="T181" s="7"/>
      <c r="U181" s="8">
        <v>0</v>
      </c>
      <c r="V181" s="7"/>
      <c r="W181" s="8">
        <v>390.2</v>
      </c>
      <c r="X181" s="7"/>
      <c r="Y181" s="8">
        <v>66.239999999999995</v>
      </c>
      <c r="Z181" s="7"/>
      <c r="AA181" s="8">
        <v>-66.239999999999995</v>
      </c>
      <c r="AB181" s="7"/>
      <c r="AC181" s="8">
        <v>20.43</v>
      </c>
      <c r="AD181" s="7"/>
      <c r="AE181" s="8">
        <f t="shared" si="8"/>
        <v>410.63</v>
      </c>
      <c r="AF181" s="9"/>
      <c r="AG181" s="10"/>
    </row>
    <row r="182" spans="1:33" outlineLevel="1">
      <c r="A182" s="4">
        <v>70203</v>
      </c>
      <c r="B182" s="4" t="s">
        <v>83</v>
      </c>
      <c r="C182" s="5"/>
      <c r="D182" s="2"/>
      <c r="E182" s="6"/>
      <c r="F182" s="7"/>
      <c r="G182" s="8">
        <v>950.48</v>
      </c>
      <c r="H182" s="7"/>
      <c r="I182" s="8">
        <v>0</v>
      </c>
      <c r="J182" s="7"/>
      <c r="K182" s="8">
        <v>0</v>
      </c>
      <c r="L182" s="7"/>
      <c r="M182" s="8">
        <v>0</v>
      </c>
      <c r="N182" s="7"/>
      <c r="O182" s="8">
        <v>0</v>
      </c>
      <c r="P182" s="7"/>
      <c r="Q182" s="8">
        <v>0</v>
      </c>
      <c r="R182" s="7"/>
      <c r="S182" s="8">
        <v>0</v>
      </c>
      <c r="T182" s="7"/>
      <c r="U182" s="8">
        <v>0</v>
      </c>
      <c r="V182" s="7"/>
      <c r="W182" s="8">
        <v>0</v>
      </c>
      <c r="X182" s="7"/>
      <c r="Y182" s="8">
        <v>0</v>
      </c>
      <c r="Z182" s="7"/>
      <c r="AA182" s="8">
        <v>0</v>
      </c>
      <c r="AB182" s="7"/>
      <c r="AC182" s="8">
        <v>0</v>
      </c>
      <c r="AD182" s="7"/>
      <c r="AE182" s="8">
        <f t="shared" si="8"/>
        <v>950.48</v>
      </c>
      <c r="AF182" s="9"/>
      <c r="AG182" s="10"/>
    </row>
    <row r="183" spans="1:33" outlineLevel="1">
      <c r="A183" s="4">
        <v>70205</v>
      </c>
      <c r="B183" s="4" t="s">
        <v>84</v>
      </c>
      <c r="C183" s="5"/>
      <c r="D183" s="2"/>
      <c r="E183" s="6"/>
      <c r="F183" s="7"/>
      <c r="G183" s="8">
        <v>13.34</v>
      </c>
      <c r="H183" s="7"/>
      <c r="I183" s="8">
        <v>0</v>
      </c>
      <c r="J183" s="7"/>
      <c r="K183" s="8">
        <v>372.83</v>
      </c>
      <c r="L183" s="7"/>
      <c r="M183" s="8">
        <v>226.55</v>
      </c>
      <c r="N183" s="7"/>
      <c r="O183" s="8">
        <v>0</v>
      </c>
      <c r="P183" s="7"/>
      <c r="Q183" s="8">
        <v>550.16</v>
      </c>
      <c r="R183" s="7"/>
      <c r="S183" s="8">
        <v>26.68</v>
      </c>
      <c r="T183" s="7"/>
      <c r="U183" s="8">
        <v>0</v>
      </c>
      <c r="V183" s="7"/>
      <c r="W183" s="8">
        <v>13.34</v>
      </c>
      <c r="X183" s="7"/>
      <c r="Y183" s="8">
        <v>0</v>
      </c>
      <c r="Z183" s="7"/>
      <c r="AA183" s="8">
        <v>0</v>
      </c>
      <c r="AB183" s="7"/>
      <c r="AC183" s="8">
        <v>328.43</v>
      </c>
      <c r="AD183" s="7"/>
      <c r="AE183" s="8">
        <f t="shared" si="8"/>
        <v>1531.3299999999997</v>
      </c>
      <c r="AF183" s="9"/>
      <c r="AG183" s="10"/>
    </row>
    <row r="184" spans="1:33" outlineLevel="1">
      <c r="A184" s="4">
        <v>70210</v>
      </c>
      <c r="B184" s="4" t="s">
        <v>85</v>
      </c>
      <c r="C184" s="5"/>
      <c r="D184" s="2"/>
      <c r="E184" s="6"/>
      <c r="F184" s="7"/>
      <c r="G184" s="8">
        <v>32.31</v>
      </c>
      <c r="H184" s="7"/>
      <c r="I184" s="8">
        <v>0</v>
      </c>
      <c r="J184" s="7"/>
      <c r="K184" s="8">
        <v>469.15</v>
      </c>
      <c r="L184" s="7"/>
      <c r="M184" s="8">
        <v>795.35</v>
      </c>
      <c r="N184" s="7"/>
      <c r="O184" s="8">
        <v>20.48</v>
      </c>
      <c r="P184" s="7"/>
      <c r="Q184" s="8">
        <v>721.9</v>
      </c>
      <c r="R184" s="7"/>
      <c r="S184" s="8">
        <v>116.78</v>
      </c>
      <c r="T184" s="7"/>
      <c r="U184" s="8">
        <v>23.21</v>
      </c>
      <c r="V184" s="7"/>
      <c r="W184" s="8">
        <v>9.68</v>
      </c>
      <c r="X184" s="7"/>
      <c r="Y184" s="8">
        <v>0</v>
      </c>
      <c r="Z184" s="7"/>
      <c r="AA184" s="8">
        <v>0</v>
      </c>
      <c r="AB184" s="7"/>
      <c r="AC184" s="8">
        <v>35.840000000000003</v>
      </c>
      <c r="AD184" s="7"/>
      <c r="AE184" s="8">
        <f t="shared" si="8"/>
        <v>2224.6999999999998</v>
      </c>
      <c r="AF184" s="9"/>
      <c r="AG184" s="10"/>
    </row>
    <row r="185" spans="1:33" outlineLevel="1">
      <c r="A185" s="4">
        <v>70214</v>
      </c>
      <c r="B185" s="4" t="s">
        <v>86</v>
      </c>
      <c r="C185" s="5"/>
      <c r="D185" s="2"/>
      <c r="E185" s="6"/>
      <c r="F185" s="7"/>
      <c r="G185" s="8">
        <v>238.95</v>
      </c>
      <c r="H185" s="7"/>
      <c r="I185" s="8">
        <v>217.69</v>
      </c>
      <c r="J185" s="7"/>
      <c r="K185" s="8">
        <v>211.47</v>
      </c>
      <c r="L185" s="7"/>
      <c r="M185" s="8">
        <v>303.97000000000003</v>
      </c>
      <c r="N185" s="7"/>
      <c r="O185" s="8">
        <v>281.16000000000003</v>
      </c>
      <c r="P185" s="7"/>
      <c r="Q185" s="8">
        <v>286.23</v>
      </c>
      <c r="R185" s="7"/>
      <c r="S185" s="8">
        <v>302.04000000000002</v>
      </c>
      <c r="T185" s="7"/>
      <c r="U185" s="8">
        <v>291.97000000000003</v>
      </c>
      <c r="V185" s="7"/>
      <c r="W185" s="8">
        <v>277.19</v>
      </c>
      <c r="X185" s="7"/>
      <c r="Y185" s="8">
        <v>344.62</v>
      </c>
      <c r="Z185" s="7"/>
      <c r="AA185" s="8">
        <v>334.93</v>
      </c>
      <c r="AB185" s="7"/>
      <c r="AC185" s="8">
        <v>342.74</v>
      </c>
      <c r="AD185" s="7"/>
      <c r="AE185" s="8">
        <f t="shared" si="8"/>
        <v>3432.96</v>
      </c>
      <c r="AF185" s="9"/>
      <c r="AG185" s="10"/>
    </row>
    <row r="186" spans="1:33" outlineLevel="1">
      <c r="A186" s="4">
        <v>70230</v>
      </c>
      <c r="B186" s="4" t="s">
        <v>88</v>
      </c>
      <c r="C186" s="5"/>
      <c r="D186" s="2"/>
      <c r="E186" s="6"/>
      <c r="F186" s="7"/>
      <c r="G186" s="8">
        <v>0</v>
      </c>
      <c r="H186" s="7"/>
      <c r="I186" s="8">
        <v>0</v>
      </c>
      <c r="J186" s="7"/>
      <c r="K186" s="8">
        <v>2031.25</v>
      </c>
      <c r="L186" s="7"/>
      <c r="M186" s="8">
        <v>0</v>
      </c>
      <c r="N186" s="7"/>
      <c r="O186" s="8">
        <v>0</v>
      </c>
      <c r="P186" s="7"/>
      <c r="Q186" s="8">
        <v>0</v>
      </c>
      <c r="R186" s="7"/>
      <c r="S186" s="8">
        <v>0</v>
      </c>
      <c r="T186" s="7"/>
      <c r="U186" s="8">
        <v>0</v>
      </c>
      <c r="V186" s="7"/>
      <c r="W186" s="8">
        <v>0</v>
      </c>
      <c r="X186" s="7"/>
      <c r="Y186" s="8">
        <v>0</v>
      </c>
      <c r="Z186" s="7"/>
      <c r="AA186" s="8">
        <v>0</v>
      </c>
      <c r="AB186" s="7"/>
      <c r="AC186" s="8">
        <v>0</v>
      </c>
      <c r="AD186" s="7"/>
      <c r="AE186" s="8">
        <f t="shared" si="8"/>
        <v>2031.25</v>
      </c>
      <c r="AF186" s="9"/>
      <c r="AG186" s="10"/>
    </row>
    <row r="187" spans="1:33" outlineLevel="1">
      <c r="A187" s="4">
        <v>70235</v>
      </c>
      <c r="B187" s="4" t="s">
        <v>89</v>
      </c>
      <c r="C187" s="5"/>
      <c r="D187" s="2"/>
      <c r="E187" s="6"/>
      <c r="F187" s="7"/>
      <c r="G187" s="8">
        <v>0</v>
      </c>
      <c r="H187" s="7"/>
      <c r="I187" s="8">
        <v>36.5</v>
      </c>
      <c r="J187" s="7"/>
      <c r="K187" s="8">
        <v>0</v>
      </c>
      <c r="L187" s="7"/>
      <c r="M187" s="8">
        <v>0</v>
      </c>
      <c r="N187" s="7"/>
      <c r="O187" s="8">
        <v>657.12</v>
      </c>
      <c r="P187" s="7"/>
      <c r="Q187" s="8">
        <v>73</v>
      </c>
      <c r="R187" s="7"/>
      <c r="S187" s="8">
        <v>-73</v>
      </c>
      <c r="T187" s="7"/>
      <c r="U187" s="8">
        <v>73</v>
      </c>
      <c r="V187" s="7"/>
      <c r="W187" s="8">
        <v>0</v>
      </c>
      <c r="X187" s="7"/>
      <c r="Y187" s="8">
        <v>0</v>
      </c>
      <c r="Z187" s="7"/>
      <c r="AA187" s="8">
        <v>0</v>
      </c>
      <c r="AB187" s="7"/>
      <c r="AC187" s="8">
        <v>0</v>
      </c>
      <c r="AD187" s="7"/>
      <c r="AE187" s="8">
        <f t="shared" si="8"/>
        <v>766.62</v>
      </c>
      <c r="AF187" s="9"/>
      <c r="AG187" s="10"/>
    </row>
    <row r="188" spans="1:33" outlineLevel="1">
      <c r="A188" s="4">
        <v>70245</v>
      </c>
      <c r="B188" s="4" t="s">
        <v>90</v>
      </c>
      <c r="C188" s="5"/>
      <c r="D188" s="2"/>
      <c r="E188" s="6"/>
      <c r="F188" s="7"/>
      <c r="G188" s="8">
        <v>13.63</v>
      </c>
      <c r="H188" s="7"/>
      <c r="I188" s="8">
        <v>17.07</v>
      </c>
      <c r="J188" s="7"/>
      <c r="K188" s="8">
        <v>17.010000000000002</v>
      </c>
      <c r="L188" s="7"/>
      <c r="M188" s="8">
        <v>17.010000000000002</v>
      </c>
      <c r="N188" s="7"/>
      <c r="O188" s="8">
        <v>20.47</v>
      </c>
      <c r="P188" s="7"/>
      <c r="Q188" s="8">
        <v>20.37</v>
      </c>
      <c r="R188" s="7"/>
      <c r="S188" s="8">
        <v>20.56</v>
      </c>
      <c r="T188" s="7"/>
      <c r="U188" s="8">
        <v>20.56</v>
      </c>
      <c r="V188" s="7"/>
      <c r="W188" s="8">
        <v>20.51</v>
      </c>
      <c r="X188" s="7"/>
      <c r="Y188" s="8">
        <v>23.94</v>
      </c>
      <c r="Z188" s="7"/>
      <c r="AA188" s="8">
        <v>20.47</v>
      </c>
      <c r="AB188" s="7"/>
      <c r="AC188" s="8">
        <v>20.78</v>
      </c>
      <c r="AD188" s="7"/>
      <c r="AE188" s="8">
        <f t="shared" si="8"/>
        <v>232.37999999999997</v>
      </c>
      <c r="AF188" s="9"/>
      <c r="AG188" s="10"/>
    </row>
    <row r="189" spans="1:33" outlineLevel="1">
      <c r="A189" s="4">
        <v>70255</v>
      </c>
      <c r="B189" s="4" t="s">
        <v>91</v>
      </c>
      <c r="C189" s="5"/>
      <c r="D189" s="2"/>
      <c r="E189" s="6"/>
      <c r="F189" s="7"/>
      <c r="G189" s="8">
        <v>0</v>
      </c>
      <c r="H189" s="7"/>
      <c r="I189" s="8">
        <v>0</v>
      </c>
      <c r="J189" s="7"/>
      <c r="K189" s="8">
        <v>0</v>
      </c>
      <c r="L189" s="7"/>
      <c r="M189" s="8">
        <v>185.27</v>
      </c>
      <c r="N189" s="7"/>
      <c r="O189" s="8">
        <v>0</v>
      </c>
      <c r="P189" s="7"/>
      <c r="Q189" s="8">
        <v>0</v>
      </c>
      <c r="R189" s="7"/>
      <c r="S189" s="8">
        <v>0</v>
      </c>
      <c r="T189" s="7"/>
      <c r="U189" s="8">
        <v>0</v>
      </c>
      <c r="V189" s="7"/>
      <c r="W189" s="8">
        <v>0</v>
      </c>
      <c r="X189" s="7"/>
      <c r="Y189" s="8">
        <v>0</v>
      </c>
      <c r="Z189" s="7"/>
      <c r="AA189" s="8">
        <v>0</v>
      </c>
      <c r="AB189" s="7"/>
      <c r="AC189" s="8">
        <v>0</v>
      </c>
      <c r="AD189" s="7"/>
      <c r="AE189" s="8">
        <f t="shared" si="8"/>
        <v>185.27</v>
      </c>
      <c r="AF189" s="9"/>
      <c r="AG189" s="10"/>
    </row>
    <row r="190" spans="1:33" outlineLevel="1">
      <c r="A190" s="4">
        <v>70300</v>
      </c>
      <c r="B190" s="4" t="s">
        <v>177</v>
      </c>
      <c r="C190" s="5"/>
      <c r="D190" s="2"/>
      <c r="E190" s="6"/>
      <c r="F190" s="7"/>
      <c r="G190" s="8">
        <v>0</v>
      </c>
      <c r="H190" s="7"/>
      <c r="I190" s="8">
        <v>0</v>
      </c>
      <c r="J190" s="7"/>
      <c r="K190" s="8">
        <v>0</v>
      </c>
      <c r="L190" s="7"/>
      <c r="M190" s="8">
        <v>0</v>
      </c>
      <c r="N190" s="7"/>
      <c r="O190" s="8">
        <v>0</v>
      </c>
      <c r="P190" s="7"/>
      <c r="Q190" s="8">
        <v>0</v>
      </c>
      <c r="R190" s="7"/>
      <c r="S190" s="8">
        <v>0</v>
      </c>
      <c r="T190" s="7"/>
      <c r="U190" s="8">
        <v>0</v>
      </c>
      <c r="V190" s="7"/>
      <c r="W190" s="8">
        <v>0</v>
      </c>
      <c r="X190" s="7"/>
      <c r="Y190" s="8">
        <v>966.47</v>
      </c>
      <c r="Z190" s="7"/>
      <c r="AA190" s="8">
        <v>966.47</v>
      </c>
      <c r="AB190" s="7"/>
      <c r="AC190" s="8">
        <v>966.47</v>
      </c>
      <c r="AD190" s="7"/>
      <c r="AE190" s="8">
        <f t="shared" si="8"/>
        <v>2899.41</v>
      </c>
      <c r="AF190" s="9"/>
      <c r="AG190" s="10"/>
    </row>
    <row r="191" spans="1:33" outlineLevel="1">
      <c r="A191" s="4">
        <v>70310</v>
      </c>
      <c r="B191" s="4" t="s">
        <v>93</v>
      </c>
      <c r="C191" s="5"/>
      <c r="D191" s="2"/>
      <c r="E191" s="6"/>
      <c r="F191" s="7"/>
      <c r="G191" s="8">
        <v>5827</v>
      </c>
      <c r="H191" s="7"/>
      <c r="I191" s="8">
        <v>250.64</v>
      </c>
      <c r="J191" s="7"/>
      <c r="K191" s="8">
        <v>2188.79</v>
      </c>
      <c r="L191" s="7"/>
      <c r="M191" s="8">
        <v>340.29</v>
      </c>
      <c r="N191" s="7"/>
      <c r="O191" s="8">
        <v>6077.19</v>
      </c>
      <c r="P191" s="7"/>
      <c r="Q191" s="8">
        <v>57.85</v>
      </c>
      <c r="R191" s="7"/>
      <c r="S191" s="8">
        <v>-314.27</v>
      </c>
      <c r="T191" s="7"/>
      <c r="U191" s="8">
        <v>-683.03</v>
      </c>
      <c r="V191" s="7"/>
      <c r="W191" s="8">
        <v>-1516.01</v>
      </c>
      <c r="X191" s="7"/>
      <c r="Y191" s="8">
        <v>535.79999999999995</v>
      </c>
      <c r="Z191" s="7"/>
      <c r="AA191" s="8">
        <v>1722.26</v>
      </c>
      <c r="AB191" s="7"/>
      <c r="AC191" s="8">
        <v>1712.49</v>
      </c>
      <c r="AD191" s="7"/>
      <c r="AE191" s="8">
        <f t="shared" si="8"/>
        <v>16199</v>
      </c>
      <c r="AF191" s="9"/>
      <c r="AG191" s="10"/>
    </row>
    <row r="192" spans="1:33" outlineLevel="1">
      <c r="A192" s="4">
        <v>70320</v>
      </c>
      <c r="B192" s="4" t="s">
        <v>94</v>
      </c>
      <c r="C192" s="5"/>
      <c r="D192" s="2"/>
      <c r="E192" s="6"/>
      <c r="F192" s="7"/>
      <c r="G192" s="8">
        <v>-17.09</v>
      </c>
      <c r="H192" s="7"/>
      <c r="I192" s="8">
        <v>126.03</v>
      </c>
      <c r="J192" s="7"/>
      <c r="K192" s="8">
        <v>152.83000000000001</v>
      </c>
      <c r="L192" s="7"/>
      <c r="M192" s="8">
        <v>391.19</v>
      </c>
      <c r="N192" s="7"/>
      <c r="O192" s="8">
        <v>176.78</v>
      </c>
      <c r="P192" s="7"/>
      <c r="Q192" s="8">
        <v>36.119999999999997</v>
      </c>
      <c r="R192" s="7"/>
      <c r="S192" s="8">
        <v>143.96</v>
      </c>
      <c r="T192" s="7"/>
      <c r="U192" s="8">
        <v>263.08999999999997</v>
      </c>
      <c r="V192" s="7"/>
      <c r="W192" s="8">
        <v>73.92</v>
      </c>
      <c r="X192" s="7"/>
      <c r="Y192" s="8">
        <v>84.26</v>
      </c>
      <c r="Z192" s="7"/>
      <c r="AA192" s="8">
        <v>50.4</v>
      </c>
      <c r="AB192" s="7"/>
      <c r="AC192" s="8">
        <v>76.099999999999994</v>
      </c>
      <c r="AD192" s="7"/>
      <c r="AE192" s="8">
        <f t="shared" si="8"/>
        <v>1557.59</v>
      </c>
      <c r="AF192" s="9"/>
      <c r="AG192" s="10"/>
    </row>
    <row r="193" spans="1:33" outlineLevel="1">
      <c r="A193" s="4">
        <v>70335</v>
      </c>
      <c r="B193" s="4" t="s">
        <v>196</v>
      </c>
      <c r="C193" s="5"/>
      <c r="D193" s="2"/>
      <c r="E193" s="6"/>
      <c r="F193" s="7"/>
      <c r="G193" s="8">
        <v>0</v>
      </c>
      <c r="H193" s="7"/>
      <c r="I193" s="8">
        <v>0</v>
      </c>
      <c r="J193" s="7"/>
      <c r="K193" s="8">
        <v>0</v>
      </c>
      <c r="L193" s="7"/>
      <c r="M193" s="8">
        <v>0</v>
      </c>
      <c r="N193" s="7"/>
      <c r="O193" s="8">
        <v>0</v>
      </c>
      <c r="P193" s="7"/>
      <c r="Q193" s="8">
        <v>0</v>
      </c>
      <c r="R193" s="7"/>
      <c r="S193" s="8">
        <v>0</v>
      </c>
      <c r="T193" s="7"/>
      <c r="U193" s="8">
        <v>0</v>
      </c>
      <c r="V193" s="7"/>
      <c r="W193" s="8">
        <v>0</v>
      </c>
      <c r="X193" s="7"/>
      <c r="Y193" s="8">
        <v>0</v>
      </c>
      <c r="Z193" s="7"/>
      <c r="AA193" s="8">
        <v>0</v>
      </c>
      <c r="AB193" s="7"/>
      <c r="AC193" s="8">
        <v>-0.09</v>
      </c>
      <c r="AD193" s="7"/>
      <c r="AE193" s="8">
        <f t="shared" si="8"/>
        <v>-0.09</v>
      </c>
      <c r="AF193" s="9"/>
      <c r="AG193" s="10"/>
    </row>
    <row r="194" spans="1:33" outlineLevel="1">
      <c r="A194" s="4">
        <v>70336</v>
      </c>
      <c r="B194" s="4" t="s">
        <v>197</v>
      </c>
      <c r="C194" s="5"/>
      <c r="D194" s="2"/>
      <c r="E194" s="6"/>
      <c r="F194" s="7"/>
      <c r="G194" s="8">
        <v>0</v>
      </c>
      <c r="H194" s="7"/>
      <c r="I194" s="8">
        <v>0</v>
      </c>
      <c r="J194" s="7"/>
      <c r="K194" s="8">
        <v>0</v>
      </c>
      <c r="L194" s="7"/>
      <c r="M194" s="8">
        <v>87.32</v>
      </c>
      <c r="N194" s="7"/>
      <c r="O194" s="8">
        <v>0</v>
      </c>
      <c r="P194" s="7"/>
      <c r="Q194" s="8">
        <v>0</v>
      </c>
      <c r="R194" s="7"/>
      <c r="S194" s="8">
        <v>0</v>
      </c>
      <c r="T194" s="7"/>
      <c r="U194" s="8">
        <v>0</v>
      </c>
      <c r="V194" s="7"/>
      <c r="W194" s="8">
        <v>0</v>
      </c>
      <c r="X194" s="7"/>
      <c r="Y194" s="8">
        <v>0</v>
      </c>
      <c r="Z194" s="7"/>
      <c r="AA194" s="8">
        <v>0</v>
      </c>
      <c r="AB194" s="7"/>
      <c r="AC194" s="8">
        <v>0</v>
      </c>
      <c r="AD194" s="7"/>
      <c r="AE194" s="8">
        <f t="shared" si="8"/>
        <v>87.32</v>
      </c>
      <c r="AF194" s="9"/>
      <c r="AG194" s="10"/>
    </row>
    <row r="195" spans="1:33" s="6" customFormat="1" ht="5.0999999999999996" customHeight="1" outlineLevel="1">
      <c r="A195" s="5"/>
      <c r="B195" s="5"/>
      <c r="C195" s="5"/>
      <c r="D195" s="5"/>
      <c r="G195" s="36"/>
      <c r="H195" s="34"/>
      <c r="I195" s="36"/>
      <c r="J195" s="34"/>
      <c r="K195" s="36"/>
      <c r="L195" s="34"/>
      <c r="M195" s="36"/>
      <c r="N195" s="34"/>
      <c r="O195" s="36"/>
      <c r="P195" s="34"/>
      <c r="Q195" s="36"/>
      <c r="R195" s="34"/>
      <c r="S195" s="36"/>
      <c r="T195" s="34"/>
      <c r="U195" s="36"/>
      <c r="V195" s="34"/>
      <c r="W195" s="36"/>
      <c r="X195" s="34"/>
      <c r="Y195" s="36"/>
      <c r="Z195" s="34"/>
      <c r="AA195" s="36"/>
      <c r="AB195" s="34"/>
      <c r="AC195" s="36"/>
      <c r="AD195" s="34"/>
      <c r="AE195" s="36"/>
      <c r="AF195" s="30"/>
      <c r="AG195" s="13"/>
    </row>
    <row r="196" spans="1:33" s="6" customFormat="1" ht="15">
      <c r="C196" s="5" t="s">
        <v>95</v>
      </c>
      <c r="G196" s="33">
        <f>SUM(G159:G195)</f>
        <v>20658.879999999997</v>
      </c>
      <c r="H196" s="34"/>
      <c r="I196" s="33">
        <f>SUM(I159:I195)</f>
        <v>8721.369999999999</v>
      </c>
      <c r="J196" s="34"/>
      <c r="K196" s="33">
        <f>SUM(K159:K195)</f>
        <v>14680.679999999998</v>
      </c>
      <c r="L196" s="34"/>
      <c r="M196" s="33">
        <f>SUM(M159:M195)</f>
        <v>12054.380000000001</v>
      </c>
      <c r="N196" s="34"/>
      <c r="O196" s="33">
        <f>SUM(O159:O195)</f>
        <v>15907.76</v>
      </c>
      <c r="P196" s="34"/>
      <c r="Q196" s="33">
        <f>SUM(Q159:Q195)</f>
        <v>10775.210000000005</v>
      </c>
      <c r="R196" s="34"/>
      <c r="S196" s="33">
        <f>SUM(S159:S195)</f>
        <v>9489.7600000000039</v>
      </c>
      <c r="T196" s="34"/>
      <c r="U196" s="33">
        <f>SUM(U159:U195)</f>
        <v>7280.9400000000005</v>
      </c>
      <c r="V196" s="34"/>
      <c r="W196" s="33">
        <f>SUM(W159:W195)</f>
        <v>9413.7000000000062</v>
      </c>
      <c r="X196" s="34"/>
      <c r="Y196" s="33">
        <f>SUM(Y159:Y195)</f>
        <v>11388.000000000002</v>
      </c>
      <c r="Z196" s="34"/>
      <c r="AA196" s="33">
        <f>SUM(AA159:AA195)</f>
        <v>13561.97</v>
      </c>
      <c r="AB196" s="34"/>
      <c r="AC196" s="33">
        <f>SUM(AC159:AC195)</f>
        <v>13460.55</v>
      </c>
      <c r="AD196" s="34"/>
      <c r="AE196" s="33">
        <f>SUM(AE159:AE195)</f>
        <v>147393.20000000001</v>
      </c>
      <c r="AF196" s="9"/>
      <c r="AG196" s="13"/>
    </row>
    <row r="197" spans="1:33" s="6" customFormat="1" ht="15" outlineLevel="1">
      <c r="G197" s="35"/>
      <c r="H197" s="34"/>
      <c r="I197" s="35"/>
      <c r="J197" s="34"/>
      <c r="K197" s="35"/>
      <c r="L197" s="34"/>
      <c r="M197" s="35"/>
      <c r="N197" s="34"/>
      <c r="O197" s="35"/>
      <c r="P197" s="34"/>
      <c r="Q197" s="35"/>
      <c r="R197" s="34"/>
      <c r="S197" s="35"/>
      <c r="T197" s="34"/>
      <c r="U197" s="35"/>
      <c r="V197" s="34"/>
      <c r="W197" s="35"/>
      <c r="X197" s="34"/>
      <c r="Y197" s="35"/>
      <c r="Z197" s="34"/>
      <c r="AA197" s="35"/>
      <c r="AB197" s="34"/>
      <c r="AC197" s="35"/>
      <c r="AD197" s="34"/>
      <c r="AE197" s="35"/>
      <c r="AF197" s="30"/>
      <c r="AG197" s="13"/>
    </row>
    <row r="198" spans="1:33" outlineLevel="1">
      <c r="A198" s="4">
        <v>70149</v>
      </c>
      <c r="B198" s="4" t="s">
        <v>96</v>
      </c>
      <c r="C198" s="5"/>
      <c r="D198" s="2"/>
      <c r="E198" s="6"/>
      <c r="F198" s="7"/>
      <c r="G198" s="8">
        <v>2641.84</v>
      </c>
      <c r="H198" s="7"/>
      <c r="I198" s="8">
        <v>2641.83</v>
      </c>
      <c r="J198" s="7"/>
      <c r="K198" s="8">
        <v>2641.84</v>
      </c>
      <c r="L198" s="7"/>
      <c r="M198" s="8">
        <v>2641.83</v>
      </c>
      <c r="N198" s="7"/>
      <c r="O198" s="8">
        <v>2641.84</v>
      </c>
      <c r="P198" s="7"/>
      <c r="Q198" s="8">
        <v>2641.83</v>
      </c>
      <c r="R198" s="7"/>
      <c r="S198" s="8">
        <v>2641.84</v>
      </c>
      <c r="T198" s="7"/>
      <c r="U198" s="8">
        <v>2641.83</v>
      </c>
      <c r="V198" s="7"/>
      <c r="W198" s="8">
        <v>2641.84</v>
      </c>
      <c r="X198" s="7"/>
      <c r="Y198" s="8">
        <v>3279.91</v>
      </c>
      <c r="Z198" s="7"/>
      <c r="AA198" s="8">
        <v>3243.85</v>
      </c>
      <c r="AB198" s="7"/>
      <c r="AC198" s="8">
        <v>3298.53</v>
      </c>
      <c r="AD198" s="7"/>
      <c r="AE198" s="8">
        <f>AC198+AA198+Y198+W198+U198+S198+Q198+O198+M198+K198+I198+G198</f>
        <v>33598.81</v>
      </c>
      <c r="AF198" s="9"/>
      <c r="AG198" s="10"/>
    </row>
    <row r="199" spans="1:33" s="6" customFormat="1" ht="5.0999999999999996" customHeight="1" outlineLevel="1">
      <c r="A199" s="5"/>
      <c r="B199" s="5"/>
      <c r="C199" s="5"/>
      <c r="D199" s="5"/>
      <c r="G199" s="36"/>
      <c r="H199" s="34"/>
      <c r="I199" s="36"/>
      <c r="J199" s="34"/>
      <c r="K199" s="36"/>
      <c r="L199" s="34"/>
      <c r="M199" s="36"/>
      <c r="N199" s="34"/>
      <c r="O199" s="36"/>
      <c r="P199" s="34"/>
      <c r="Q199" s="36"/>
      <c r="R199" s="34"/>
      <c r="S199" s="36"/>
      <c r="T199" s="34"/>
      <c r="U199" s="36"/>
      <c r="V199" s="34"/>
      <c r="W199" s="36"/>
      <c r="X199" s="34"/>
      <c r="Y199" s="36"/>
      <c r="Z199" s="34"/>
      <c r="AA199" s="36"/>
      <c r="AB199" s="34"/>
      <c r="AC199" s="36"/>
      <c r="AD199" s="34"/>
      <c r="AE199" s="36"/>
      <c r="AF199" s="30"/>
      <c r="AG199" s="13"/>
    </row>
    <row r="200" spans="1:33" s="6" customFormat="1" ht="15">
      <c r="C200" s="4" t="s">
        <v>97</v>
      </c>
      <c r="G200" s="33">
        <f>SUM(G197:G199)</f>
        <v>2641.84</v>
      </c>
      <c r="H200" s="34"/>
      <c r="I200" s="33">
        <f>SUM(I197:I199)</f>
        <v>2641.83</v>
      </c>
      <c r="J200" s="34"/>
      <c r="K200" s="33">
        <f>SUM(K197:K199)</f>
        <v>2641.84</v>
      </c>
      <c r="L200" s="34"/>
      <c r="M200" s="33">
        <f>SUM(M197:M199)</f>
        <v>2641.83</v>
      </c>
      <c r="N200" s="34"/>
      <c r="O200" s="33">
        <f>SUM(O197:O199)</f>
        <v>2641.84</v>
      </c>
      <c r="P200" s="34"/>
      <c r="Q200" s="33">
        <f>SUM(Q197:Q199)</f>
        <v>2641.83</v>
      </c>
      <c r="R200" s="34"/>
      <c r="S200" s="33">
        <f>SUM(S197:S199)</f>
        <v>2641.84</v>
      </c>
      <c r="T200" s="34"/>
      <c r="U200" s="33">
        <f>SUM(U197:U199)</f>
        <v>2641.83</v>
      </c>
      <c r="V200" s="34"/>
      <c r="W200" s="33">
        <f>SUM(W197:W199)</f>
        <v>2641.84</v>
      </c>
      <c r="X200" s="34"/>
      <c r="Y200" s="33">
        <f>SUM(Y197:Y199)</f>
        <v>3279.91</v>
      </c>
      <c r="Z200" s="34"/>
      <c r="AA200" s="33">
        <f>SUM(AA197:AA199)</f>
        <v>3243.85</v>
      </c>
      <c r="AB200" s="34"/>
      <c r="AC200" s="33">
        <f>SUM(AC197:AC199)</f>
        <v>3298.53</v>
      </c>
      <c r="AD200" s="34"/>
      <c r="AE200" s="33">
        <f>SUM(AE197:AE199)</f>
        <v>33598.81</v>
      </c>
      <c r="AF200" s="9"/>
      <c r="AG200" s="13"/>
    </row>
    <row r="201" spans="1:33" s="6" customFormat="1" ht="7.5" customHeight="1">
      <c r="G201" s="35"/>
      <c r="H201" s="34"/>
      <c r="I201" s="35"/>
      <c r="J201" s="34"/>
      <c r="K201" s="35"/>
      <c r="L201" s="34"/>
      <c r="M201" s="35"/>
      <c r="N201" s="34"/>
      <c r="O201" s="35"/>
      <c r="P201" s="34"/>
      <c r="Q201" s="35"/>
      <c r="R201" s="34"/>
      <c r="S201" s="35"/>
      <c r="T201" s="34"/>
      <c r="U201" s="35"/>
      <c r="V201" s="34"/>
      <c r="W201" s="35"/>
      <c r="X201" s="34"/>
      <c r="Y201" s="35"/>
      <c r="Z201" s="34"/>
      <c r="AA201" s="35"/>
      <c r="AB201" s="34"/>
      <c r="AC201" s="35"/>
      <c r="AD201" s="34"/>
      <c r="AE201" s="35"/>
      <c r="AF201" s="30"/>
      <c r="AG201" s="13"/>
    </row>
    <row r="202" spans="1:33" s="6" customFormat="1" ht="15">
      <c r="B202" s="38" t="s">
        <v>98</v>
      </c>
      <c r="G202" s="39">
        <f>+G157+G196+G200</f>
        <v>23300.719999999998</v>
      </c>
      <c r="H202" s="34"/>
      <c r="I202" s="39">
        <f>+I157+I196+I200</f>
        <v>11363.199999999999</v>
      </c>
      <c r="J202" s="34"/>
      <c r="K202" s="39">
        <f>+K157+K196+K200</f>
        <v>17322.519999999997</v>
      </c>
      <c r="L202" s="34"/>
      <c r="M202" s="39">
        <f>+M157+M196+M200</f>
        <v>14696.210000000001</v>
      </c>
      <c r="N202" s="34"/>
      <c r="O202" s="39">
        <f>+O157+O196+O200</f>
        <v>18549.599999999999</v>
      </c>
      <c r="P202" s="34"/>
      <c r="Q202" s="39">
        <f>+Q157+Q196+Q200</f>
        <v>13417.040000000005</v>
      </c>
      <c r="R202" s="34"/>
      <c r="S202" s="39">
        <f>+S157+S196+S200</f>
        <v>12131.600000000004</v>
      </c>
      <c r="T202" s="34"/>
      <c r="U202" s="39">
        <f>+U157+U196+U200</f>
        <v>9922.77</v>
      </c>
      <c r="V202" s="34"/>
      <c r="W202" s="39">
        <f>+W157+W196+W200</f>
        <v>12055.540000000006</v>
      </c>
      <c r="X202" s="34"/>
      <c r="Y202" s="39">
        <f>+Y157+Y196+Y200</f>
        <v>14667.910000000002</v>
      </c>
      <c r="Z202" s="34"/>
      <c r="AA202" s="39">
        <f>+AA157+AA196+AA200</f>
        <v>16805.82</v>
      </c>
      <c r="AB202" s="34"/>
      <c r="AC202" s="39">
        <f>+AC157+AC196+AC200</f>
        <v>16759.079999999998</v>
      </c>
      <c r="AD202" s="34"/>
      <c r="AE202" s="39">
        <f>+AE157+AE196+AE200</f>
        <v>180992.01</v>
      </c>
      <c r="AF202" s="9"/>
      <c r="AG202" s="13"/>
    </row>
    <row r="203" spans="1:33" s="6" customFormat="1" ht="7.5" customHeight="1">
      <c r="G203" s="35"/>
      <c r="H203" s="34"/>
      <c r="I203" s="35"/>
      <c r="J203" s="34"/>
      <c r="K203" s="35"/>
      <c r="L203" s="34"/>
      <c r="M203" s="35"/>
      <c r="N203" s="34"/>
      <c r="O203" s="35"/>
      <c r="P203" s="34"/>
      <c r="Q203" s="35"/>
      <c r="R203" s="34"/>
      <c r="S203" s="35"/>
      <c r="T203" s="34"/>
      <c r="U203" s="35"/>
      <c r="V203" s="34"/>
      <c r="W203" s="35"/>
      <c r="X203" s="34"/>
      <c r="Y203" s="35"/>
      <c r="Z203" s="34"/>
      <c r="AA203" s="35"/>
      <c r="AB203" s="34"/>
      <c r="AC203" s="35"/>
      <c r="AD203" s="34"/>
      <c r="AE203" s="35"/>
      <c r="AF203" s="30"/>
      <c r="AG203" s="13"/>
    </row>
    <row r="204" spans="1:33" s="6" customFormat="1" ht="7.5" customHeight="1">
      <c r="A204" s="44"/>
      <c r="B204" s="44"/>
      <c r="C204" s="44"/>
      <c r="D204" s="44"/>
      <c r="E204" s="44"/>
      <c r="F204" s="44"/>
      <c r="G204" s="42"/>
      <c r="H204" s="34"/>
      <c r="I204" s="42"/>
      <c r="J204" s="34"/>
      <c r="K204" s="42"/>
      <c r="L204" s="34"/>
      <c r="M204" s="42"/>
      <c r="N204" s="34"/>
      <c r="O204" s="42"/>
      <c r="P204" s="34"/>
      <c r="Q204" s="42"/>
      <c r="R204" s="34"/>
      <c r="S204" s="42"/>
      <c r="T204" s="34"/>
      <c r="U204" s="42"/>
      <c r="V204" s="34"/>
      <c r="W204" s="42"/>
      <c r="X204" s="34"/>
      <c r="Y204" s="42"/>
      <c r="Z204" s="34"/>
      <c r="AA204" s="42"/>
      <c r="AB204" s="34"/>
      <c r="AC204" s="42"/>
      <c r="AD204" s="34"/>
      <c r="AE204" s="42"/>
      <c r="AF204" s="30"/>
      <c r="AG204" s="13"/>
    </row>
    <row r="205" spans="1:33" s="6" customFormat="1" ht="15">
      <c r="B205" s="45" t="s">
        <v>99</v>
      </c>
      <c r="C205" s="46"/>
      <c r="D205" s="46"/>
      <c r="E205" s="46"/>
      <c r="F205" s="46"/>
      <c r="G205" s="47">
        <f>+G152-G202</f>
        <v>-3776.059999999994</v>
      </c>
      <c r="H205" s="48"/>
      <c r="I205" s="47">
        <f>+I152-I202</f>
        <v>7954.7600000000075</v>
      </c>
      <c r="J205" s="49"/>
      <c r="K205" s="47">
        <f>+K152-K202</f>
        <v>2847.1100000000006</v>
      </c>
      <c r="L205" s="49"/>
      <c r="M205" s="47">
        <f>+M152-M202</f>
        <v>-3539.0399999999954</v>
      </c>
      <c r="N205" s="48"/>
      <c r="O205" s="47">
        <f>+O152-O202</f>
        <v>1991.9000000000015</v>
      </c>
      <c r="P205" s="49"/>
      <c r="Q205" s="47">
        <f>+Q152-Q202</f>
        <v>11761.66</v>
      </c>
      <c r="R205" s="49"/>
      <c r="S205" s="47">
        <f>+S152-S202</f>
        <v>9897.2400000000071</v>
      </c>
      <c r="T205" s="48"/>
      <c r="U205" s="47">
        <f>+U152-U202</f>
        <v>12200.739999999994</v>
      </c>
      <c r="V205" s="49"/>
      <c r="W205" s="47">
        <f>+W152-W202</f>
        <v>16068.069999999987</v>
      </c>
      <c r="X205" s="49"/>
      <c r="Y205" s="47">
        <f>+Y152-Y202</f>
        <v>2400.3000000000047</v>
      </c>
      <c r="Z205" s="48"/>
      <c r="AA205" s="47">
        <f>+AA152-AA202</f>
        <v>-4551.6000000000058</v>
      </c>
      <c r="AB205" s="49"/>
      <c r="AC205" s="47">
        <f>+AC152-AC202</f>
        <v>-4724.0899999999929</v>
      </c>
      <c r="AD205" s="49"/>
      <c r="AE205" s="47">
        <f>+AE152-AE202</f>
        <v>48530.990000000107</v>
      </c>
      <c r="AF205" s="9"/>
      <c r="AG205" s="50"/>
    </row>
    <row r="206" spans="1:33" s="6" customFormat="1" ht="6.75" customHeight="1">
      <c r="A206" s="51"/>
      <c r="B206" s="51"/>
      <c r="C206" s="51"/>
      <c r="D206" s="51"/>
      <c r="E206" s="51"/>
      <c r="F206" s="51"/>
      <c r="G206" s="52"/>
      <c r="H206" s="51"/>
      <c r="I206" s="52"/>
      <c r="J206" s="51"/>
      <c r="K206" s="52"/>
      <c r="L206" s="51"/>
      <c r="M206" s="52"/>
      <c r="N206" s="51"/>
      <c r="O206" s="52"/>
      <c r="P206" s="51"/>
      <c r="Q206" s="52"/>
      <c r="R206" s="51"/>
      <c r="S206" s="52"/>
      <c r="T206" s="51"/>
      <c r="U206" s="52"/>
      <c r="V206" s="51"/>
      <c r="W206" s="52"/>
      <c r="X206" s="51"/>
      <c r="Y206" s="52"/>
      <c r="Z206" s="51"/>
      <c r="AA206" s="52"/>
      <c r="AB206" s="51"/>
      <c r="AC206" s="52"/>
      <c r="AD206" s="51"/>
      <c r="AE206" s="52"/>
      <c r="AF206" s="53"/>
      <c r="AG206" s="13"/>
    </row>
    <row r="207" spans="1:33" s="6" customFormat="1" ht="15">
      <c r="B207" s="54" t="s">
        <v>100</v>
      </c>
      <c r="C207" s="55"/>
      <c r="D207" s="55"/>
      <c r="E207" s="55"/>
      <c r="F207" s="55"/>
      <c r="G207" s="56">
        <f>G205 +G144+SUMIF($A:$A,52141,G:G)+SUMIF($A:$A,52142,G:G)+SUMIF($A:$A,52143,G:G)+SUMIF($A:$A,55142,G:G)+SUMIF($A:$A,56142,G:G)+SUMIF($A:$A,70142,G:G)</f>
        <v>2571.1000000000058</v>
      </c>
      <c r="H207" s="55"/>
      <c r="I207" s="56">
        <f>I205 +I144+SUMIF($A:$A,52141,I:I)+SUMIF($A:$A,52142,I:I)+SUMIF($A:$A,52143,I:I)+SUMIF($A:$A,55142,I:I)+SUMIF($A:$A,56142,I:I)+SUMIF($A:$A,70142,I:I)</f>
        <v>14492.250000000007</v>
      </c>
      <c r="J207" s="55"/>
      <c r="K207" s="56">
        <f>K205 +K144+SUMIF($A:$A,52141,K:K)+SUMIF($A:$A,52142,K:K)+SUMIF($A:$A,52143,K:K)+SUMIF($A:$A,55142,K:K)+SUMIF($A:$A,56142,K:K)+SUMIF($A:$A,70142,K:K)</f>
        <v>6346.77</v>
      </c>
      <c r="L207" s="55"/>
      <c r="M207" s="56">
        <f>M205 +M144+SUMIF($A:$A,52141,M:M)+SUMIF($A:$A,52142,M:M)+SUMIF($A:$A,52143,M:M)+SUMIF($A:$A,55142,M:M)+SUMIF($A:$A,56142,M:M)+SUMIF($A:$A,70142,M:M)</f>
        <v>1347.3400000000047</v>
      </c>
      <c r="N207" s="55"/>
      <c r="O207" s="56">
        <f>O205 +O144+SUMIF($A:$A,52141,O:O)+SUMIF($A:$A,52142,O:O)+SUMIF($A:$A,52143,O:O)+SUMIF($A:$A,55142,O:O)+SUMIF($A:$A,56142,O:O)+SUMIF($A:$A,70142,O:O)</f>
        <v>7086.090000000002</v>
      </c>
      <c r="P207" s="55"/>
      <c r="Q207" s="56">
        <f>Q205 +Q144+SUMIF($A:$A,52141,Q:Q)+SUMIF($A:$A,52142,Q:Q)+SUMIF($A:$A,52143,Q:Q)+SUMIF($A:$A,55142,Q:Q)+SUMIF($A:$A,56142,Q:Q)+SUMIF($A:$A,70142,Q:Q)</f>
        <v>16080.71</v>
      </c>
      <c r="R207" s="55"/>
      <c r="S207" s="56">
        <f>S205 +S144+SUMIF($A:$A,52141,S:S)+SUMIF($A:$A,52142,S:S)+SUMIF($A:$A,52143,S:S)+SUMIF($A:$A,55142,S:S)+SUMIF($A:$A,56142,S:S)+SUMIF($A:$A,70142,S:S)</f>
        <v>14111.050000000007</v>
      </c>
      <c r="T207" s="55"/>
      <c r="U207" s="56">
        <f>U205 +U144+SUMIF($A:$A,52141,U:U)+SUMIF($A:$A,52142,U:U)+SUMIF($A:$A,52143,U:U)+SUMIF($A:$A,55142,U:U)+SUMIF($A:$A,56142,U:U)+SUMIF($A:$A,70142,U:U)</f>
        <v>15685.419999999995</v>
      </c>
      <c r="V207" s="55"/>
      <c r="W207" s="56">
        <f>W205 +W144+SUMIF($A:$A,52141,W:W)+SUMIF($A:$A,52142,W:W)+SUMIF($A:$A,52143,W:W)+SUMIF($A:$A,55142,W:W)+SUMIF($A:$A,56142,W:W)+SUMIF($A:$A,70142,W:W)</f>
        <v>19979.429999999986</v>
      </c>
      <c r="X207" s="55"/>
      <c r="Y207" s="56">
        <f>Y205 +Y144+SUMIF($A:$A,52141,Y:Y)+SUMIF($A:$A,52142,Y:Y)+SUMIF($A:$A,52143,Y:Y)+SUMIF($A:$A,55142,Y:Y)+SUMIF($A:$A,56142,Y:Y)+SUMIF($A:$A,70142,Y:Y)</f>
        <v>6048.7400000000052</v>
      </c>
      <c r="Z207" s="55"/>
      <c r="AA207" s="56">
        <f>AA205 +AA144+SUMIF($A:$A,52141,AA:AA)+SUMIF($A:$A,52142,AA:AA)+SUMIF($A:$A,52143,AA:AA)+SUMIF($A:$A,55142,AA:AA)+SUMIF($A:$A,56142,AA:AA)+SUMIF($A:$A,70142,AA:AA)</f>
        <v>-1172.4800000000059</v>
      </c>
      <c r="AB207" s="55"/>
      <c r="AC207" s="56">
        <f>AC205 +AC144+SUMIF($A:$A,52141,AC:AC)+SUMIF($A:$A,52142,AC:AC)+SUMIF($A:$A,52143,AC:AC)+SUMIF($A:$A,55142,AC:AC)+SUMIF($A:$A,56142,AC:AC)+SUMIF($A:$A,70142,AC:AC)</f>
        <v>-936.449999999993</v>
      </c>
      <c r="AD207" s="55"/>
      <c r="AE207" s="56">
        <f>AE205 +AE144+SUMIF($A:$A,52141,AE:AE)+SUMIF($A:$A,52142,AE:AE)+SUMIF($A:$A,52143,AE:AE)+SUMIF($A:$A,55142,AE:AE)+SUMIF($A:$A,56142,AE:AE)+SUMIF($A:$A,70142,AE:AE)</f>
        <v>101639.97000000012</v>
      </c>
      <c r="AF207" s="9"/>
      <c r="AG207" s="50"/>
    </row>
    <row r="208" spans="1:33" s="6" customFormat="1" ht="6.75" customHeight="1">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53"/>
      <c r="AG208" s="13"/>
    </row>
    <row r="209" spans="1:34" outlineLevel="1">
      <c r="A209" s="4">
        <v>51260</v>
      </c>
      <c r="B209" s="4" t="s">
        <v>101</v>
      </c>
      <c r="C209" s="5"/>
      <c r="D209" s="2"/>
      <c r="E209" s="6"/>
      <c r="F209" s="7"/>
      <c r="G209" s="8">
        <v>6188.15</v>
      </c>
      <c r="H209" s="7"/>
      <c r="I209" s="8">
        <v>6188.12</v>
      </c>
      <c r="J209" s="7"/>
      <c r="K209" s="8">
        <v>6188.18</v>
      </c>
      <c r="L209" s="7"/>
      <c r="M209" s="8">
        <v>6720.03</v>
      </c>
      <c r="N209" s="7"/>
      <c r="O209" s="8">
        <v>7792.52</v>
      </c>
      <c r="P209" s="7"/>
      <c r="Q209" s="8">
        <v>7792.61</v>
      </c>
      <c r="R209" s="7"/>
      <c r="S209" s="8">
        <v>8140.02</v>
      </c>
      <c r="T209" s="7"/>
      <c r="U209" s="8">
        <v>7932.55</v>
      </c>
      <c r="V209" s="7"/>
      <c r="W209" s="8">
        <v>7932.54</v>
      </c>
      <c r="X209" s="7"/>
      <c r="Y209" s="8">
        <v>10974.72</v>
      </c>
      <c r="Z209" s="7"/>
      <c r="AA209" s="8">
        <v>10873.16</v>
      </c>
      <c r="AB209" s="7"/>
      <c r="AC209" s="8">
        <v>10374.69</v>
      </c>
      <c r="AD209" s="7"/>
      <c r="AE209" s="8">
        <f t="shared" ref="AE209:AE211" si="9">AC209+AA209+Y209+W209+U209+S209+Q209+O209+M209+K209+I209+G209</f>
        <v>97097.290000000008</v>
      </c>
      <c r="AF209" s="9"/>
      <c r="AG209" s="10"/>
    </row>
    <row r="210" spans="1:34" outlineLevel="1">
      <c r="A210" s="4">
        <v>54260</v>
      </c>
      <c r="B210" s="4" t="s">
        <v>101</v>
      </c>
      <c r="C210" s="5"/>
      <c r="D210" s="2"/>
      <c r="E210" s="6"/>
      <c r="F210" s="7"/>
      <c r="G210" s="8">
        <v>1017.83</v>
      </c>
      <c r="H210" s="7"/>
      <c r="I210" s="8">
        <v>1017.88</v>
      </c>
      <c r="J210" s="7"/>
      <c r="K210" s="8">
        <v>1017.87</v>
      </c>
      <c r="L210" s="7"/>
      <c r="M210" s="8">
        <v>1250.47</v>
      </c>
      <c r="N210" s="7"/>
      <c r="O210" s="8">
        <v>1250.52</v>
      </c>
      <c r="P210" s="7"/>
      <c r="Q210" s="8">
        <v>1250.52</v>
      </c>
      <c r="R210" s="7"/>
      <c r="S210" s="8">
        <v>1250.51</v>
      </c>
      <c r="T210" s="7"/>
      <c r="U210" s="8">
        <v>1250.46</v>
      </c>
      <c r="V210" s="7"/>
      <c r="W210" s="8">
        <v>1250.51</v>
      </c>
      <c r="X210" s="7"/>
      <c r="Y210" s="8">
        <v>1318.64</v>
      </c>
      <c r="Z210" s="7"/>
      <c r="AA210" s="8">
        <v>1318.62</v>
      </c>
      <c r="AB210" s="7"/>
      <c r="AC210" s="8">
        <v>1318.66</v>
      </c>
      <c r="AD210" s="7"/>
      <c r="AE210" s="8">
        <f t="shared" si="9"/>
        <v>14512.49</v>
      </c>
      <c r="AF210" s="9"/>
      <c r="AG210" s="10"/>
    </row>
    <row r="211" spans="1:34" outlineLevel="1">
      <c r="A211" s="4">
        <v>70260</v>
      </c>
      <c r="B211" s="4" t="s">
        <v>101</v>
      </c>
      <c r="C211" s="5"/>
      <c r="D211" s="2"/>
      <c r="E211" s="6"/>
      <c r="F211" s="7"/>
      <c r="G211" s="8">
        <v>214.22</v>
      </c>
      <c r="H211" s="7"/>
      <c r="I211" s="8">
        <v>142.41999999999999</v>
      </c>
      <c r="J211" s="7"/>
      <c r="K211" s="8">
        <v>142.41999999999999</v>
      </c>
      <c r="L211" s="7"/>
      <c r="M211" s="8">
        <v>142.43</v>
      </c>
      <c r="N211" s="7"/>
      <c r="O211" s="8">
        <v>142.41</v>
      </c>
      <c r="P211" s="7"/>
      <c r="Q211" s="8">
        <v>142.41999999999999</v>
      </c>
      <c r="R211" s="7"/>
      <c r="S211" s="8">
        <v>142.41999999999999</v>
      </c>
      <c r="T211" s="7"/>
      <c r="U211" s="8">
        <v>142.41999999999999</v>
      </c>
      <c r="V211" s="7"/>
      <c r="W211" s="8">
        <v>142.41999999999999</v>
      </c>
      <c r="X211" s="7"/>
      <c r="Y211" s="8">
        <v>142.41999999999999</v>
      </c>
      <c r="Z211" s="7"/>
      <c r="AA211" s="8">
        <v>142.41999999999999</v>
      </c>
      <c r="AB211" s="7"/>
      <c r="AC211" s="8">
        <v>142.41999999999999</v>
      </c>
      <c r="AD211" s="7"/>
      <c r="AE211" s="8">
        <f t="shared" si="9"/>
        <v>1780.8400000000001</v>
      </c>
      <c r="AF211" s="9"/>
      <c r="AG211" s="10"/>
    </row>
    <row r="212" spans="1:34" s="6" customFormat="1" ht="5.0999999999999996" customHeight="1" outlineLevel="1">
      <c r="A212" s="5"/>
      <c r="B212" s="5"/>
      <c r="C212" s="5"/>
      <c r="D212" s="5"/>
      <c r="G212" s="36"/>
      <c r="H212" s="35"/>
      <c r="I212" s="36"/>
      <c r="J212" s="35"/>
      <c r="K212" s="36"/>
      <c r="L212" s="35"/>
      <c r="M212" s="36"/>
      <c r="N212" s="35"/>
      <c r="O212" s="36"/>
      <c r="P212" s="35"/>
      <c r="Q212" s="36"/>
      <c r="R212" s="35"/>
      <c r="S212" s="36"/>
      <c r="T212" s="35"/>
      <c r="U212" s="36"/>
      <c r="V212" s="35"/>
      <c r="W212" s="36"/>
      <c r="X212" s="35"/>
      <c r="Y212" s="36"/>
      <c r="Z212" s="35"/>
      <c r="AA212" s="36"/>
      <c r="AB212" s="35"/>
      <c r="AC212" s="36"/>
      <c r="AD212" s="35"/>
      <c r="AE212" s="36"/>
      <c r="AF212" s="53"/>
      <c r="AG212" s="13"/>
    </row>
    <row r="213" spans="1:34" s="6" customFormat="1" ht="15">
      <c r="C213" s="5" t="s">
        <v>101</v>
      </c>
      <c r="G213" s="33">
        <f>SUM(G209:G212)</f>
        <v>7420.2</v>
      </c>
      <c r="H213" s="35"/>
      <c r="I213" s="33">
        <f>SUM(I209:I212)</f>
        <v>7348.42</v>
      </c>
      <c r="J213" s="35"/>
      <c r="K213" s="33">
        <f>SUM(K209:K212)</f>
        <v>7348.47</v>
      </c>
      <c r="L213" s="57">
        <f>IF(K$38=0,0,K213/K$38)</f>
        <v>0</v>
      </c>
      <c r="M213" s="33">
        <f>SUM(M209:M212)</f>
        <v>8112.93</v>
      </c>
      <c r="N213" s="35"/>
      <c r="O213" s="33">
        <f>SUM(O209:O212)</f>
        <v>9185.4500000000007</v>
      </c>
      <c r="P213" s="35"/>
      <c r="Q213" s="33">
        <f>SUM(Q209:Q212)</f>
        <v>9185.5499999999993</v>
      </c>
      <c r="R213" s="57">
        <f>IF(Q$38=0,0,Q213/Q$38)</f>
        <v>0</v>
      </c>
      <c r="S213" s="33">
        <f>SUM(S209:S212)</f>
        <v>9532.9500000000007</v>
      </c>
      <c r="T213" s="35"/>
      <c r="U213" s="33">
        <f>SUM(U209:U212)</f>
        <v>9325.43</v>
      </c>
      <c r="V213" s="35"/>
      <c r="W213" s="33">
        <f>SUM(W209:W212)</f>
        <v>9325.4699999999993</v>
      </c>
      <c r="X213" s="57">
        <f>IF(W$38=0,0,W213/W$38)</f>
        <v>0</v>
      </c>
      <c r="Y213" s="33">
        <f>SUM(Y209:Y212)</f>
        <v>12435.779999999999</v>
      </c>
      <c r="Z213" s="35"/>
      <c r="AA213" s="33">
        <f>SUM(AA209:AA212)</f>
        <v>12334.199999999999</v>
      </c>
      <c r="AB213" s="35"/>
      <c r="AC213" s="33">
        <f>SUM(AC209:AC212)</f>
        <v>11835.77</v>
      </c>
      <c r="AD213" s="57">
        <f>IF(AC$38=0,0,AC213/AC$38)</f>
        <v>0</v>
      </c>
      <c r="AE213" s="33">
        <f>SUM(G213,I213,K213,M213,O213,Q213,S213,U213,W213,Y213,AA213,AC213)</f>
        <v>113390.62</v>
      </c>
      <c r="AF213" s="9"/>
      <c r="AG213" s="13"/>
      <c r="AH213" s="1"/>
    </row>
    <row r="214" spans="1:34" s="6" customFormat="1" ht="15" outlineLevel="1">
      <c r="C214" s="5"/>
      <c r="G214" s="35"/>
      <c r="H214" s="35"/>
      <c r="I214" s="35"/>
      <c r="J214" s="35"/>
      <c r="K214" s="35"/>
      <c r="L214" s="53"/>
      <c r="M214" s="35"/>
      <c r="N214" s="35"/>
      <c r="O214" s="35"/>
      <c r="P214" s="35"/>
      <c r="Q214" s="35"/>
      <c r="R214" s="53"/>
      <c r="S214" s="35"/>
      <c r="T214" s="35"/>
      <c r="U214" s="35"/>
      <c r="V214" s="35"/>
      <c r="W214" s="35"/>
      <c r="X214" s="53"/>
      <c r="Y214" s="35"/>
      <c r="Z214" s="35"/>
      <c r="AA214" s="35"/>
      <c r="AB214" s="35"/>
      <c r="AC214" s="35"/>
      <c r="AD214" s="53"/>
      <c r="AE214" s="35"/>
      <c r="AF214" s="53"/>
      <c r="AG214" s="13"/>
    </row>
    <row r="215" spans="1:34" customFormat="1" ht="15" outlineLevel="1"/>
    <row r="216" spans="1:34" s="6" customFormat="1" ht="5.0999999999999996" customHeight="1" outlineLevel="1">
      <c r="A216" s="5"/>
      <c r="B216" s="5"/>
      <c r="C216" s="5"/>
      <c r="D216" s="5"/>
      <c r="G216" s="36"/>
      <c r="H216" s="35"/>
      <c r="I216" s="36"/>
      <c r="J216" s="35"/>
      <c r="K216" s="36"/>
      <c r="L216" s="53"/>
      <c r="M216" s="36"/>
      <c r="N216" s="35"/>
      <c r="O216" s="36"/>
      <c r="P216" s="35"/>
      <c r="Q216" s="36"/>
      <c r="R216" s="53"/>
      <c r="S216" s="36"/>
      <c r="T216" s="35"/>
      <c r="U216" s="36"/>
      <c r="V216" s="35"/>
      <c r="W216" s="36"/>
      <c r="X216" s="53"/>
      <c r="Y216" s="36"/>
      <c r="Z216" s="35"/>
      <c r="AA216" s="36"/>
      <c r="AB216" s="35"/>
      <c r="AC216" s="36"/>
      <c r="AD216" s="53"/>
      <c r="AE216" s="36"/>
      <c r="AF216" s="53"/>
      <c r="AG216" s="13"/>
    </row>
    <row r="217" spans="1:34" s="6" customFormat="1" ht="15">
      <c r="C217" s="4" t="s">
        <v>102</v>
      </c>
      <c r="G217" s="33">
        <f>SUM(G215:G216)</f>
        <v>0</v>
      </c>
      <c r="H217" s="35"/>
      <c r="I217" s="33">
        <f>SUM(I215:I216)</f>
        <v>0</v>
      </c>
      <c r="J217" s="35"/>
      <c r="K217" s="33">
        <f>SUM(K215:K216)</f>
        <v>0</v>
      </c>
      <c r="L217" s="57">
        <f>IF(K$38=0,0,K217/K$38)</f>
        <v>0</v>
      </c>
      <c r="M217" s="33">
        <f>SUM(M215:M216)</f>
        <v>0</v>
      </c>
      <c r="N217" s="35"/>
      <c r="O217" s="33">
        <f>SUM(O215:O216)</f>
        <v>0</v>
      </c>
      <c r="P217" s="35"/>
      <c r="Q217" s="33">
        <f>SUM(Q215:Q216)</f>
        <v>0</v>
      </c>
      <c r="R217" s="57">
        <f>IF(Q$38=0,0,Q217/Q$38)</f>
        <v>0</v>
      </c>
      <c r="S217" s="33">
        <f>SUM(S215:S216)</f>
        <v>0</v>
      </c>
      <c r="T217" s="35"/>
      <c r="U217" s="33">
        <f>SUM(U215:U216)</f>
        <v>0</v>
      </c>
      <c r="V217" s="35"/>
      <c r="W217" s="33">
        <f>SUM(W215:W216)</f>
        <v>0</v>
      </c>
      <c r="X217" s="57">
        <f>IF(W$38=0,0,W217/W$38)</f>
        <v>0</v>
      </c>
      <c r="Y217" s="33">
        <f>SUM(Y215:Y216)</f>
        <v>0</v>
      </c>
      <c r="Z217" s="35"/>
      <c r="AA217" s="33">
        <f>SUM(AA215:AA216)</f>
        <v>0</v>
      </c>
      <c r="AB217" s="35"/>
      <c r="AC217" s="33">
        <f>SUM(AC215:AC216)</f>
        <v>0</v>
      </c>
      <c r="AD217" s="57">
        <f>IF(AC$38=0,0,AC217/AC$38)</f>
        <v>0</v>
      </c>
      <c r="AE217" s="33">
        <f>SUM(G217,I217,K217)</f>
        <v>0</v>
      </c>
      <c r="AF217" s="9"/>
      <c r="AG217" s="13"/>
    </row>
    <row r="218" spans="1:34" s="6" customFormat="1" ht="15" outlineLevel="1">
      <c r="G218" s="35"/>
      <c r="H218" s="35"/>
      <c r="I218" s="35"/>
      <c r="J218" s="35"/>
      <c r="K218" s="35"/>
      <c r="L218" s="53"/>
      <c r="M218" s="35"/>
      <c r="N218" s="35"/>
      <c r="O218" s="35"/>
      <c r="P218" s="35"/>
      <c r="Q218" s="35"/>
      <c r="R218" s="53"/>
      <c r="S218" s="35"/>
      <c r="T218" s="35"/>
      <c r="U218" s="35"/>
      <c r="V218" s="35"/>
      <c r="W218" s="35"/>
      <c r="X218" s="53"/>
      <c r="Y218" s="35"/>
      <c r="Z218" s="35"/>
      <c r="AA218" s="35"/>
      <c r="AB218" s="35"/>
      <c r="AC218" s="35"/>
      <c r="AD218" s="53"/>
      <c r="AE218" s="35"/>
      <c r="AF218" s="53"/>
      <c r="AG218" s="13"/>
    </row>
    <row r="219" spans="1:34" outlineLevel="1">
      <c r="A219" s="4"/>
      <c r="B219" s="4"/>
      <c r="C219" s="5"/>
      <c r="D219" s="2"/>
      <c r="E219" s="6"/>
      <c r="F219" s="7"/>
      <c r="G219" s="8"/>
      <c r="H219" s="7"/>
      <c r="I219" s="8"/>
      <c r="J219" s="7"/>
      <c r="K219" s="8"/>
      <c r="L219" s="7"/>
      <c r="M219" s="8"/>
      <c r="N219" s="7"/>
      <c r="O219" s="8"/>
      <c r="P219" s="7"/>
      <c r="Q219" s="8"/>
      <c r="R219" s="7"/>
      <c r="S219" s="8"/>
      <c r="T219" s="7"/>
      <c r="U219" s="8"/>
      <c r="V219" s="7"/>
      <c r="W219" s="8"/>
      <c r="X219" s="7"/>
      <c r="Y219" s="8"/>
      <c r="Z219" s="7"/>
      <c r="AA219" s="8"/>
      <c r="AB219" s="7"/>
      <c r="AC219" s="8"/>
      <c r="AD219" s="7"/>
      <c r="AE219" s="8"/>
      <c r="AF219" s="9"/>
      <c r="AG219" s="10"/>
    </row>
    <row r="220" spans="1:34" s="6" customFormat="1" ht="5.0999999999999996" customHeight="1" outlineLevel="1">
      <c r="A220" s="5"/>
      <c r="B220" s="5"/>
      <c r="C220" s="5"/>
      <c r="D220" s="5"/>
      <c r="G220" s="36"/>
      <c r="H220" s="35"/>
      <c r="I220" s="36"/>
      <c r="J220" s="35"/>
      <c r="K220" s="36"/>
      <c r="L220" s="53"/>
      <c r="M220" s="36"/>
      <c r="N220" s="35"/>
      <c r="O220" s="36"/>
      <c r="P220" s="35"/>
      <c r="Q220" s="36"/>
      <c r="R220" s="53"/>
      <c r="S220" s="36"/>
      <c r="T220" s="35"/>
      <c r="U220" s="36"/>
      <c r="V220" s="35"/>
      <c r="W220" s="36"/>
      <c r="X220" s="53"/>
      <c r="Y220" s="36"/>
      <c r="Z220" s="35"/>
      <c r="AA220" s="36"/>
      <c r="AB220" s="35"/>
      <c r="AC220" s="36"/>
      <c r="AD220" s="53"/>
      <c r="AE220" s="36"/>
      <c r="AF220" s="53"/>
      <c r="AG220" s="13"/>
    </row>
    <row r="221" spans="1:34" s="6" customFormat="1" ht="15">
      <c r="C221" s="5" t="s">
        <v>103</v>
      </c>
      <c r="G221" s="33">
        <f>SUM(G219:G220)</f>
        <v>0</v>
      </c>
      <c r="H221" s="35"/>
      <c r="I221" s="33">
        <f>SUM(I219:I220)</f>
        <v>0</v>
      </c>
      <c r="J221" s="35"/>
      <c r="K221" s="33">
        <f>SUM(K219:K220)</f>
        <v>0</v>
      </c>
      <c r="L221" s="57">
        <f>IF(K$38=0,0,K221/K$38)</f>
        <v>0</v>
      </c>
      <c r="M221" s="33">
        <f>SUM(M219:M220)</f>
        <v>0</v>
      </c>
      <c r="N221" s="35"/>
      <c r="O221" s="33">
        <f>SUM(O219:O220)</f>
        <v>0</v>
      </c>
      <c r="P221" s="35"/>
      <c r="Q221" s="33">
        <f>SUM(Q219:Q220)</f>
        <v>0</v>
      </c>
      <c r="R221" s="57">
        <f>IF(Q$38=0,0,Q221/Q$38)</f>
        <v>0</v>
      </c>
      <c r="S221" s="33">
        <f>SUM(S219:S220)</f>
        <v>0</v>
      </c>
      <c r="T221" s="35"/>
      <c r="U221" s="33">
        <f>SUM(U219:U220)</f>
        <v>0</v>
      </c>
      <c r="V221" s="35"/>
      <c r="W221" s="33">
        <f>SUM(W219:W220)</f>
        <v>0</v>
      </c>
      <c r="X221" s="57">
        <f>IF(W$38=0,0,W221/W$38)</f>
        <v>0</v>
      </c>
      <c r="Y221" s="33">
        <f>SUM(Y219:Y220)</f>
        <v>0</v>
      </c>
      <c r="Z221" s="35"/>
      <c r="AA221" s="33">
        <f>SUM(AA219:AA220)</f>
        <v>0</v>
      </c>
      <c r="AB221" s="35"/>
      <c r="AC221" s="33">
        <f>SUM(AC219:AC220)</f>
        <v>0</v>
      </c>
      <c r="AD221" s="57">
        <f>IF(AC$38=0,0,AC221/AC$38)</f>
        <v>0</v>
      </c>
      <c r="AE221" s="33">
        <f>SUM(G221,I221,K221,M221,O221,Q221,S221,U221,W221,Y221,AA221,AC221)</f>
        <v>0</v>
      </c>
      <c r="AF221" s="9"/>
      <c r="AG221" s="13"/>
    </row>
    <row r="222" spans="1:34" s="6" customFormat="1" ht="6.75" customHeight="1">
      <c r="G222" s="35"/>
      <c r="H222" s="35"/>
      <c r="I222" s="35"/>
      <c r="J222" s="35"/>
      <c r="K222" s="35"/>
      <c r="L222" s="53"/>
      <c r="M222" s="35"/>
      <c r="N222" s="35"/>
      <c r="O222" s="35"/>
      <c r="P222" s="35"/>
      <c r="Q222" s="35"/>
      <c r="R222" s="53"/>
      <c r="S222" s="35"/>
      <c r="T222" s="35"/>
      <c r="U222" s="35"/>
      <c r="V222" s="35"/>
      <c r="W222" s="35"/>
      <c r="X222" s="53"/>
      <c r="Y222" s="35"/>
      <c r="Z222" s="35"/>
      <c r="AA222" s="35"/>
      <c r="AB222" s="35"/>
      <c r="AC222" s="35"/>
      <c r="AD222" s="53"/>
      <c r="AE222" s="35"/>
      <c r="AF222" s="53"/>
      <c r="AG222" s="13"/>
    </row>
    <row r="223" spans="1:34" s="6" customFormat="1" ht="15">
      <c r="B223" s="38" t="s">
        <v>104</v>
      </c>
      <c r="G223" s="39">
        <f>+G213+G217+G221</f>
        <v>7420.2</v>
      </c>
      <c r="H223" s="35"/>
      <c r="I223" s="39">
        <f>+I213+I217+I221</f>
        <v>7348.42</v>
      </c>
      <c r="J223" s="35"/>
      <c r="K223" s="39">
        <f>+K213+K217+K221</f>
        <v>7348.47</v>
      </c>
      <c r="L223" s="57">
        <f>IF(K$38=0,0,K223/K$38)</f>
        <v>0</v>
      </c>
      <c r="M223" s="39">
        <f>+M213+M217+M221</f>
        <v>8112.93</v>
      </c>
      <c r="N223" s="35"/>
      <c r="O223" s="39">
        <f>+O213+O217+O221</f>
        <v>9185.4500000000007</v>
      </c>
      <c r="P223" s="35"/>
      <c r="Q223" s="39">
        <f>+Q213+Q217+Q221</f>
        <v>9185.5499999999993</v>
      </c>
      <c r="R223" s="57">
        <f>IF(Q$38=0,0,Q223/Q$38)</f>
        <v>0</v>
      </c>
      <c r="S223" s="39">
        <f>+S213+S217+S221</f>
        <v>9532.9500000000007</v>
      </c>
      <c r="T223" s="35"/>
      <c r="U223" s="39">
        <f>+U213+U217+U221</f>
        <v>9325.43</v>
      </c>
      <c r="V223" s="35"/>
      <c r="W223" s="39">
        <f>+W213+W217+W221</f>
        <v>9325.4699999999993</v>
      </c>
      <c r="X223" s="57">
        <f>IF(W$38=0,0,W223/W$38)</f>
        <v>0</v>
      </c>
      <c r="Y223" s="39">
        <f>+Y213+Y217+Y221</f>
        <v>12435.779999999999</v>
      </c>
      <c r="Z223" s="35"/>
      <c r="AA223" s="39">
        <f>+AA213+AA217+AA221</f>
        <v>12334.199999999999</v>
      </c>
      <c r="AB223" s="35"/>
      <c r="AC223" s="39">
        <f>+AC213+AC217+AC221</f>
        <v>11835.77</v>
      </c>
      <c r="AD223" s="57">
        <f>IF(AC$38=0,0,AC223/AC$38)</f>
        <v>0</v>
      </c>
      <c r="AE223" s="39">
        <f>+AE213+AE217+AE221</f>
        <v>113390.62</v>
      </c>
      <c r="AF223" s="9"/>
      <c r="AG223" s="13"/>
    </row>
    <row r="224" spans="1:34" s="6" customFormat="1" ht="6.75" customHeight="1">
      <c r="G224" s="35"/>
      <c r="H224" s="35"/>
      <c r="I224" s="35"/>
      <c r="J224" s="35"/>
      <c r="K224" s="35"/>
      <c r="L224" s="53"/>
      <c r="M224" s="35"/>
      <c r="N224" s="35"/>
      <c r="O224" s="35"/>
      <c r="P224" s="35"/>
      <c r="Q224" s="35"/>
      <c r="R224" s="53"/>
      <c r="S224" s="35"/>
      <c r="T224" s="35"/>
      <c r="U224" s="35"/>
      <c r="V224" s="35"/>
      <c r="W224" s="35"/>
      <c r="X224" s="53"/>
      <c r="Y224" s="35"/>
      <c r="Z224" s="35"/>
      <c r="AA224" s="35"/>
      <c r="AB224" s="35"/>
      <c r="AC224" s="35"/>
      <c r="AD224" s="53"/>
      <c r="AE224" s="35"/>
      <c r="AF224" s="53"/>
      <c r="AG224" s="13"/>
    </row>
    <row r="225" spans="1:33" s="6" customFormat="1" ht="15">
      <c r="B225" s="41" t="s">
        <v>105</v>
      </c>
      <c r="G225" s="39">
        <f>+G205-G223</f>
        <v>-11196.259999999995</v>
      </c>
      <c r="H225" s="35"/>
      <c r="I225" s="39">
        <f>+I205-I223</f>
        <v>606.34000000000742</v>
      </c>
      <c r="J225" s="35"/>
      <c r="K225" s="39">
        <f>+K205-K223</f>
        <v>-4501.3599999999997</v>
      </c>
      <c r="L225" s="57">
        <f>IF(K$38=0,0,K225/K$38)</f>
        <v>0</v>
      </c>
      <c r="M225" s="39">
        <f>+M205-M223</f>
        <v>-11651.969999999996</v>
      </c>
      <c r="N225" s="35"/>
      <c r="O225" s="39">
        <f>+O205-O223</f>
        <v>-7193.5499999999993</v>
      </c>
      <c r="P225" s="35"/>
      <c r="Q225" s="39">
        <f>+Q205-Q223</f>
        <v>2576.1100000000006</v>
      </c>
      <c r="R225" s="57">
        <f>IF(Q$38=0,0,Q225/Q$38)</f>
        <v>0</v>
      </c>
      <c r="S225" s="39">
        <f>+S205-S223</f>
        <v>364.29000000000633</v>
      </c>
      <c r="T225" s="35"/>
      <c r="U225" s="39">
        <f>+U205-U223</f>
        <v>2875.309999999994</v>
      </c>
      <c r="V225" s="35"/>
      <c r="W225" s="39">
        <f>+W205-W223</f>
        <v>6742.5999999999876</v>
      </c>
      <c r="X225" s="57">
        <f>IF(W$38=0,0,W225/W$38)</f>
        <v>0</v>
      </c>
      <c r="Y225" s="39">
        <f>+Y205-Y223</f>
        <v>-10035.479999999994</v>
      </c>
      <c r="Z225" s="35"/>
      <c r="AA225" s="39">
        <f>+AA205-AA223</f>
        <v>-16885.800000000003</v>
      </c>
      <c r="AB225" s="35"/>
      <c r="AC225" s="39">
        <f>+AC205-AC223</f>
        <v>-16559.859999999993</v>
      </c>
      <c r="AD225" s="57">
        <f>IF(AC$38=0,0,AC225/AC$38)</f>
        <v>0</v>
      </c>
      <c r="AE225" s="39">
        <f>+AE205-AE223</f>
        <v>-64859.629999999888</v>
      </c>
      <c r="AF225" s="9"/>
      <c r="AG225" s="13"/>
    </row>
    <row r="226" spans="1:33" s="6" customFormat="1" ht="6.75" customHeight="1">
      <c r="G226" s="35"/>
      <c r="H226" s="35"/>
      <c r="I226" s="35"/>
      <c r="J226" s="35"/>
      <c r="K226" s="35"/>
      <c r="L226" s="53"/>
      <c r="M226" s="35"/>
      <c r="N226" s="35"/>
      <c r="O226" s="35"/>
      <c r="P226" s="35"/>
      <c r="Q226" s="35"/>
      <c r="R226" s="53"/>
      <c r="S226" s="35"/>
      <c r="T226" s="35"/>
      <c r="U226" s="35"/>
      <c r="V226" s="35"/>
      <c r="W226" s="35"/>
      <c r="X226" s="53"/>
      <c r="Y226" s="35"/>
      <c r="Z226" s="35"/>
      <c r="AA226" s="35"/>
      <c r="AB226" s="35"/>
      <c r="AC226" s="35"/>
      <c r="AD226" s="53"/>
      <c r="AE226" s="35"/>
      <c r="AF226" s="53"/>
      <c r="AG226" s="13"/>
    </row>
    <row r="227" spans="1:33" outlineLevel="1">
      <c r="A227" s="4">
        <v>80099</v>
      </c>
      <c r="B227" s="4" t="s">
        <v>106</v>
      </c>
      <c r="C227" s="5"/>
      <c r="D227" s="2"/>
      <c r="E227" s="6"/>
      <c r="F227" s="7"/>
      <c r="G227" s="8">
        <v>1435.33</v>
      </c>
      <c r="H227" s="7"/>
      <c r="I227" s="8">
        <v>2539.0500000000002</v>
      </c>
      <c r="J227" s="7"/>
      <c r="K227" s="8">
        <v>2626.84</v>
      </c>
      <c r="L227" s="7"/>
      <c r="M227" s="8">
        <v>2957.98</v>
      </c>
      <c r="N227" s="7"/>
      <c r="O227" s="8">
        <v>2818.99</v>
      </c>
      <c r="P227" s="7"/>
      <c r="Q227" s="8">
        <v>2813.72</v>
      </c>
      <c r="R227" s="7"/>
      <c r="S227" s="8">
        <v>3756.13</v>
      </c>
      <c r="T227" s="7"/>
      <c r="U227" s="8">
        <v>3726.85</v>
      </c>
      <c r="V227" s="7"/>
      <c r="W227" s="8">
        <v>3844.9</v>
      </c>
      <c r="X227" s="7"/>
      <c r="Y227" s="8">
        <v>0</v>
      </c>
      <c r="Z227" s="7"/>
      <c r="AA227" s="8">
        <v>29.73</v>
      </c>
      <c r="AB227" s="7"/>
      <c r="AC227" s="8">
        <v>45.98</v>
      </c>
      <c r="AD227" s="7"/>
      <c r="AE227" s="8">
        <f>AC227+AA227+Y227+W227+U227+S227+Q227+O227+M227+K227+I227+G227</f>
        <v>26595.5</v>
      </c>
      <c r="AF227" s="9"/>
      <c r="AG227" s="10"/>
    </row>
    <row r="228" spans="1:33" s="6" customFormat="1" ht="5.0999999999999996" customHeight="1" outlineLevel="1">
      <c r="A228" s="5"/>
      <c r="B228" s="5"/>
      <c r="C228" s="5"/>
      <c r="D228" s="5"/>
      <c r="G228" s="36"/>
      <c r="H228" s="35"/>
      <c r="I228" s="36"/>
      <c r="J228" s="35"/>
      <c r="K228" s="36"/>
      <c r="L228" s="53"/>
      <c r="M228" s="36"/>
      <c r="N228" s="35"/>
      <c r="O228" s="36"/>
      <c r="P228" s="35"/>
      <c r="Q228" s="36"/>
      <c r="R228" s="53"/>
      <c r="S228" s="36"/>
      <c r="T228" s="35"/>
      <c r="U228" s="36"/>
      <c r="V228" s="35"/>
      <c r="W228" s="36"/>
      <c r="X228" s="53"/>
      <c r="Y228" s="36"/>
      <c r="Z228" s="35"/>
      <c r="AA228" s="36"/>
      <c r="AB228" s="35"/>
      <c r="AC228" s="36"/>
      <c r="AD228" s="53"/>
      <c r="AE228" s="36"/>
      <c r="AF228" s="53"/>
      <c r="AG228" s="13"/>
    </row>
    <row r="229" spans="1:33" s="6" customFormat="1" ht="15">
      <c r="C229" s="5" t="s">
        <v>107</v>
      </c>
      <c r="G229" s="33">
        <f>SUM(G227:G228)</f>
        <v>1435.33</v>
      </c>
      <c r="H229" s="35"/>
      <c r="I229" s="33">
        <f>SUM(I227:I228)</f>
        <v>2539.0500000000002</v>
      </c>
      <c r="J229" s="35"/>
      <c r="K229" s="33">
        <f>SUM(K227:K228)</f>
        <v>2626.84</v>
      </c>
      <c r="L229" s="57">
        <f>IF(K$38=0,0,K229/K$38)</f>
        <v>0</v>
      </c>
      <c r="M229" s="33">
        <f>SUM(M227:M228)</f>
        <v>2957.98</v>
      </c>
      <c r="N229" s="35"/>
      <c r="O229" s="33">
        <f>SUM(O227:O228)</f>
        <v>2818.99</v>
      </c>
      <c r="P229" s="35"/>
      <c r="Q229" s="33">
        <f>SUM(Q227:Q228)</f>
        <v>2813.72</v>
      </c>
      <c r="R229" s="57">
        <f>IF(Q$38=0,0,Q229/Q$38)</f>
        <v>0</v>
      </c>
      <c r="S229" s="33">
        <f>SUM(S227:S228)</f>
        <v>3756.13</v>
      </c>
      <c r="T229" s="35"/>
      <c r="U229" s="33">
        <f>SUM(U227:U228)</f>
        <v>3726.85</v>
      </c>
      <c r="V229" s="35"/>
      <c r="W229" s="33">
        <f>SUM(W227:W228)</f>
        <v>3844.9</v>
      </c>
      <c r="X229" s="57">
        <f>IF(W$38=0,0,W229/W$38)</f>
        <v>0</v>
      </c>
      <c r="Y229" s="33">
        <f>SUM(Y227:Y228)</f>
        <v>0</v>
      </c>
      <c r="Z229" s="35"/>
      <c r="AA229" s="33">
        <f>SUM(AA227:AA228)</f>
        <v>29.73</v>
      </c>
      <c r="AB229" s="35"/>
      <c r="AC229" s="33">
        <f>SUM(AC227:AC228)</f>
        <v>45.98</v>
      </c>
      <c r="AD229" s="57">
        <f>IF(AC$38=0,0,AC229/AC$38)</f>
        <v>0</v>
      </c>
      <c r="AE229" s="33">
        <f>SUM(AE227:AE228)</f>
        <v>26595.5</v>
      </c>
      <c r="AF229" s="9"/>
      <c r="AG229" s="13"/>
    </row>
    <row r="230" spans="1:33" s="6" customFormat="1" ht="15" outlineLevel="1">
      <c r="G230" s="35"/>
      <c r="H230" s="35"/>
      <c r="I230" s="35"/>
      <c r="J230" s="35"/>
      <c r="K230" s="35"/>
      <c r="L230" s="53"/>
      <c r="M230" s="35"/>
      <c r="N230" s="35"/>
      <c r="O230" s="35"/>
      <c r="P230" s="35"/>
      <c r="Q230" s="35"/>
      <c r="R230" s="53"/>
      <c r="S230" s="35"/>
      <c r="T230" s="35"/>
      <c r="U230" s="35"/>
      <c r="V230" s="35"/>
      <c r="W230" s="35"/>
      <c r="X230" s="53"/>
      <c r="Y230" s="35"/>
      <c r="Z230" s="35"/>
      <c r="AA230" s="35"/>
      <c r="AB230" s="35"/>
      <c r="AC230" s="35"/>
      <c r="AD230" s="53"/>
      <c r="AE230" s="35"/>
      <c r="AF230" s="53"/>
      <c r="AG230" s="13"/>
    </row>
    <row r="231" spans="1:33" customFormat="1" ht="15" outlineLevel="1"/>
    <row r="232" spans="1:33" s="6" customFormat="1" ht="5.0999999999999996" customHeight="1" outlineLevel="1">
      <c r="A232" s="5"/>
      <c r="B232" s="5"/>
      <c r="C232" s="5"/>
      <c r="D232" s="5"/>
      <c r="G232" s="36"/>
      <c r="H232" s="35"/>
      <c r="I232" s="36"/>
      <c r="J232" s="35"/>
      <c r="K232" s="36"/>
      <c r="L232" s="53"/>
      <c r="M232" s="36"/>
      <c r="N232" s="35"/>
      <c r="O232" s="36"/>
      <c r="P232" s="35"/>
      <c r="Q232" s="36"/>
      <c r="R232" s="53"/>
      <c r="S232" s="36"/>
      <c r="T232" s="35"/>
      <c r="U232" s="36"/>
      <c r="V232" s="35"/>
      <c r="W232" s="36"/>
      <c r="X232" s="53"/>
      <c r="Y232" s="36"/>
      <c r="Z232" s="35"/>
      <c r="AA232" s="36"/>
      <c r="AB232" s="35"/>
      <c r="AC232" s="36"/>
      <c r="AD232" s="53"/>
      <c r="AE232" s="36"/>
      <c r="AF232" s="53"/>
      <c r="AG232" s="13"/>
    </row>
    <row r="233" spans="1:33" s="6" customFormat="1" ht="15">
      <c r="C233" s="4" t="s">
        <v>108</v>
      </c>
      <c r="G233" s="33">
        <f>SUM(G231:G232)</f>
        <v>0</v>
      </c>
      <c r="H233" s="35"/>
      <c r="I233" s="33">
        <f>SUM(I231:I232)</f>
        <v>0</v>
      </c>
      <c r="J233" s="35"/>
      <c r="K233" s="33">
        <f>SUM(K231:K232)</f>
        <v>0</v>
      </c>
      <c r="L233" s="57">
        <f>IF(K$38=0,0,K233/K$38)</f>
        <v>0</v>
      </c>
      <c r="M233" s="33">
        <f>SUM(M231:M232)</f>
        <v>0</v>
      </c>
      <c r="N233" s="35"/>
      <c r="O233" s="33">
        <f>SUM(O231:O232)</f>
        <v>0</v>
      </c>
      <c r="P233" s="35"/>
      <c r="Q233" s="33">
        <f>SUM(Q231:Q232)</f>
        <v>0</v>
      </c>
      <c r="R233" s="57">
        <f>IF(Q$38=0,0,Q233/Q$38)</f>
        <v>0</v>
      </c>
      <c r="S233" s="33">
        <f>SUM(S231:S232)</f>
        <v>0</v>
      </c>
      <c r="T233" s="35"/>
      <c r="U233" s="33">
        <f>SUM(U231:U232)</f>
        <v>0</v>
      </c>
      <c r="V233" s="35"/>
      <c r="W233" s="33">
        <f>SUM(W231:W232)</f>
        <v>0</v>
      </c>
      <c r="X233" s="57">
        <f>IF(W$38=0,0,W233/W$38)</f>
        <v>0</v>
      </c>
      <c r="Y233" s="33">
        <f>SUM(Y231:Y232)</f>
        <v>0</v>
      </c>
      <c r="Z233" s="35"/>
      <c r="AA233" s="33">
        <f>SUM(AA231:AA232)</f>
        <v>0</v>
      </c>
      <c r="AB233" s="35"/>
      <c r="AC233" s="33">
        <f>SUM(AC231:AC232)</f>
        <v>0</v>
      </c>
      <c r="AD233" s="57">
        <f>IF(AC$38=0,0,AC233/AC$38)</f>
        <v>0</v>
      </c>
      <c r="AE233" s="33">
        <f>SUM(AE231:AE232)</f>
        <v>0</v>
      </c>
      <c r="AF233" s="9"/>
      <c r="AG233" s="13"/>
    </row>
    <row r="234" spans="1:33" s="6" customFormat="1" ht="15" outlineLevel="1">
      <c r="G234" s="35"/>
      <c r="H234" s="35"/>
      <c r="I234" s="35"/>
      <c r="J234" s="35"/>
      <c r="K234" s="35"/>
      <c r="L234" s="53"/>
      <c r="M234" s="35"/>
      <c r="N234" s="35"/>
      <c r="O234" s="35"/>
      <c r="P234" s="35"/>
      <c r="Q234" s="35"/>
      <c r="R234" s="53"/>
      <c r="S234" s="35"/>
      <c r="T234" s="35"/>
      <c r="U234" s="35"/>
      <c r="V234" s="35"/>
      <c r="W234" s="35"/>
      <c r="X234" s="53"/>
      <c r="Y234" s="35"/>
      <c r="Z234" s="35"/>
      <c r="AA234" s="35"/>
      <c r="AB234" s="35"/>
      <c r="AC234" s="35"/>
      <c r="AD234" s="53"/>
      <c r="AE234" s="35"/>
      <c r="AF234" s="53"/>
      <c r="AG234" s="13"/>
    </row>
    <row r="235" spans="1:33" outlineLevel="1">
      <c r="A235" s="4"/>
      <c r="B235" s="4"/>
      <c r="C235" s="5"/>
      <c r="D235" s="2"/>
      <c r="E235" s="6"/>
      <c r="F235" s="7"/>
      <c r="G235" s="8"/>
      <c r="H235" s="7"/>
      <c r="I235" s="8"/>
      <c r="J235" s="7"/>
      <c r="K235" s="8"/>
      <c r="L235" s="7"/>
      <c r="M235" s="8"/>
      <c r="N235" s="7"/>
      <c r="O235" s="8"/>
      <c r="P235" s="7"/>
      <c r="Q235" s="8"/>
      <c r="R235" s="7"/>
      <c r="S235" s="8"/>
      <c r="T235" s="7"/>
      <c r="U235" s="8"/>
      <c r="V235" s="7"/>
      <c r="W235" s="8"/>
      <c r="X235" s="7"/>
      <c r="Y235" s="8"/>
      <c r="Z235" s="7"/>
      <c r="AA235" s="8"/>
      <c r="AB235" s="7"/>
      <c r="AC235" s="8"/>
      <c r="AD235" s="7"/>
      <c r="AE235" s="8"/>
      <c r="AF235" s="9"/>
      <c r="AG235" s="10"/>
    </row>
    <row r="236" spans="1:33" s="6" customFormat="1" ht="5.0999999999999996" customHeight="1" outlineLevel="1">
      <c r="A236" s="5"/>
      <c r="B236" s="5"/>
      <c r="C236" s="5"/>
      <c r="D236" s="5"/>
      <c r="G236" s="36"/>
      <c r="H236" s="35"/>
      <c r="I236" s="36"/>
      <c r="J236" s="35"/>
      <c r="K236" s="36"/>
      <c r="L236" s="53"/>
      <c r="M236" s="36"/>
      <c r="N236" s="35"/>
      <c r="O236" s="36"/>
      <c r="P236" s="35"/>
      <c r="Q236" s="36"/>
      <c r="R236" s="53"/>
      <c r="S236" s="36"/>
      <c r="T236" s="35"/>
      <c r="U236" s="36"/>
      <c r="V236" s="35"/>
      <c r="W236" s="36"/>
      <c r="X236" s="53"/>
      <c r="Y236" s="36"/>
      <c r="Z236" s="35"/>
      <c r="AA236" s="36"/>
      <c r="AB236" s="35"/>
      <c r="AC236" s="36"/>
      <c r="AD236" s="53"/>
      <c r="AE236" s="36"/>
      <c r="AF236" s="53"/>
      <c r="AG236" s="13"/>
    </row>
    <row r="237" spans="1:33" s="6" customFormat="1" ht="15">
      <c r="C237" s="5" t="s">
        <v>109</v>
      </c>
      <c r="G237" s="33">
        <f>SUM(G235:G236)</f>
        <v>0</v>
      </c>
      <c r="H237" s="35"/>
      <c r="I237" s="33">
        <f>SUM(I235:I236)</f>
        <v>0</v>
      </c>
      <c r="J237" s="35"/>
      <c r="K237" s="33">
        <f>SUM(K235:K236)</f>
        <v>0</v>
      </c>
      <c r="L237" s="57">
        <f>IF(K$38=0,0,K237/K$38)</f>
        <v>0</v>
      </c>
      <c r="M237" s="33">
        <f>SUM(M235:M236)</f>
        <v>0</v>
      </c>
      <c r="N237" s="35"/>
      <c r="O237" s="33">
        <f>SUM(O235:O236)</f>
        <v>0</v>
      </c>
      <c r="P237" s="35"/>
      <c r="Q237" s="33">
        <f>SUM(Q235:Q236)</f>
        <v>0</v>
      </c>
      <c r="R237" s="57">
        <f>IF(Q$38=0,0,Q237/Q$38)</f>
        <v>0</v>
      </c>
      <c r="S237" s="33">
        <f>SUM(S235:S236)</f>
        <v>0</v>
      </c>
      <c r="T237" s="35"/>
      <c r="U237" s="33">
        <f>SUM(U235:U236)</f>
        <v>0</v>
      </c>
      <c r="V237" s="35"/>
      <c r="W237" s="33">
        <f>SUM(W235:W236)</f>
        <v>0</v>
      </c>
      <c r="X237" s="57">
        <f>IF(W$38=0,0,W237/W$38)</f>
        <v>0</v>
      </c>
      <c r="Y237" s="33">
        <f>SUM(Y235:Y236)</f>
        <v>0</v>
      </c>
      <c r="Z237" s="35"/>
      <c r="AA237" s="33">
        <f>SUM(AA235:AA236)</f>
        <v>0</v>
      </c>
      <c r="AB237" s="35"/>
      <c r="AC237" s="33">
        <f>SUM(AC235:AC236)</f>
        <v>0</v>
      </c>
      <c r="AD237" s="57">
        <f>IF(AC$38=0,0,AC237/AC$38)</f>
        <v>0</v>
      </c>
      <c r="AE237" s="33">
        <f>SUM(AE235:AE236)</f>
        <v>0</v>
      </c>
      <c r="AF237" s="9"/>
      <c r="AG237" s="13"/>
    </row>
    <row r="238" spans="1:33" s="6" customFormat="1" ht="6.75" customHeight="1">
      <c r="G238" s="35"/>
      <c r="H238" s="35"/>
      <c r="I238" s="35"/>
      <c r="J238" s="35"/>
      <c r="K238" s="35"/>
      <c r="L238" s="53"/>
      <c r="M238" s="35"/>
      <c r="N238" s="35"/>
      <c r="O238" s="35"/>
      <c r="P238" s="35"/>
      <c r="Q238" s="35"/>
      <c r="R238" s="53"/>
      <c r="S238" s="35"/>
      <c r="T238" s="35"/>
      <c r="U238" s="35"/>
      <c r="V238" s="35"/>
      <c r="W238" s="35"/>
      <c r="X238" s="53"/>
      <c r="Y238" s="35"/>
      <c r="Z238" s="35"/>
      <c r="AA238" s="35"/>
      <c r="AB238" s="35"/>
      <c r="AC238" s="35"/>
      <c r="AD238" s="53"/>
      <c r="AE238" s="35"/>
      <c r="AF238" s="53"/>
      <c r="AG238" s="13"/>
    </row>
    <row r="239" spans="1:33" s="6" customFormat="1" ht="15">
      <c r="B239" s="38" t="s">
        <v>110</v>
      </c>
      <c r="G239" s="39">
        <f>+G225-G229-G233-G237</f>
        <v>-12631.589999999995</v>
      </c>
      <c r="H239" s="35"/>
      <c r="I239" s="39">
        <f>+I225-I229-I233-I237</f>
        <v>-1932.7099999999928</v>
      </c>
      <c r="J239" s="35"/>
      <c r="K239" s="39">
        <f>+K225-K229-K233-K237</f>
        <v>-7128.2</v>
      </c>
      <c r="L239" s="57">
        <f>IF(K$38=0,0,K239/K$38)</f>
        <v>0</v>
      </c>
      <c r="M239" s="39">
        <f>+M225-M229-M233-M237</f>
        <v>-14609.949999999995</v>
      </c>
      <c r="N239" s="35"/>
      <c r="O239" s="39">
        <f>+O225-O229-O233-O237</f>
        <v>-10012.539999999999</v>
      </c>
      <c r="P239" s="35"/>
      <c r="Q239" s="39">
        <f>+Q225-Q229-Q233-Q237</f>
        <v>-237.60999999999922</v>
      </c>
      <c r="R239" s="57">
        <f>IF(Q$38=0,0,Q239/Q$38)</f>
        <v>0</v>
      </c>
      <c r="S239" s="39">
        <f>+S225-S229-S233-S237</f>
        <v>-3391.8399999999938</v>
      </c>
      <c r="T239" s="35"/>
      <c r="U239" s="39">
        <f>+U225-U229-U233-U237</f>
        <v>-851.54000000000588</v>
      </c>
      <c r="V239" s="35"/>
      <c r="W239" s="39">
        <f>+W225-W229-W233-W237</f>
        <v>2897.6999999999875</v>
      </c>
      <c r="X239" s="57">
        <f>IF(W$38=0,0,W239/W$38)</f>
        <v>0</v>
      </c>
      <c r="Y239" s="39">
        <f>+Y225-Y229-Y233-Y237</f>
        <v>-10035.479999999994</v>
      </c>
      <c r="Z239" s="35"/>
      <c r="AA239" s="39">
        <f>+AA225-AA229-AA233-AA237</f>
        <v>-16915.530000000002</v>
      </c>
      <c r="AB239" s="35"/>
      <c r="AC239" s="39">
        <f>+AC225-AC229-AC233-AC237</f>
        <v>-16605.839999999993</v>
      </c>
      <c r="AD239" s="57">
        <f>IF(AC$38=0,0,AC239/AC$38)</f>
        <v>0</v>
      </c>
      <c r="AE239" s="39">
        <f>+AE225-AE229-AE233-AE237</f>
        <v>-91455.129999999888</v>
      </c>
      <c r="AF239" s="9"/>
      <c r="AG239" s="13"/>
    </row>
    <row r="240" spans="1:33" s="6" customFormat="1" ht="6.75" customHeight="1">
      <c r="G240" s="35"/>
      <c r="H240" s="35"/>
      <c r="I240" s="35"/>
      <c r="J240" s="35"/>
      <c r="K240" s="35"/>
      <c r="L240" s="53"/>
      <c r="M240" s="35"/>
      <c r="N240" s="35"/>
      <c r="O240" s="35"/>
      <c r="P240" s="35"/>
      <c r="Q240" s="35"/>
      <c r="R240" s="53"/>
      <c r="S240" s="35"/>
      <c r="T240" s="35"/>
      <c r="U240" s="35"/>
      <c r="V240" s="35"/>
      <c r="W240" s="35"/>
      <c r="X240" s="53"/>
      <c r="Y240" s="35"/>
      <c r="Z240" s="35"/>
      <c r="AA240" s="35"/>
      <c r="AB240" s="35"/>
      <c r="AC240" s="35"/>
      <c r="AD240" s="53"/>
      <c r="AE240" s="35"/>
      <c r="AF240" s="53"/>
      <c r="AG240" s="13"/>
    </row>
    <row r="241" spans="1:34" customFormat="1" ht="15" outlineLevel="1"/>
    <row r="242" spans="1:34" s="6" customFormat="1" ht="5.0999999999999996" customHeight="1" outlineLevel="1">
      <c r="A242" s="5"/>
      <c r="B242" s="5"/>
      <c r="C242" s="5"/>
      <c r="D242" s="5"/>
      <c r="G242" s="36"/>
      <c r="H242" s="35"/>
      <c r="I242" s="36"/>
      <c r="J242" s="35"/>
      <c r="K242" s="36"/>
      <c r="L242" s="53"/>
      <c r="M242" s="36"/>
      <c r="N242" s="35"/>
      <c r="O242" s="36"/>
      <c r="P242" s="35"/>
      <c r="Q242" s="36"/>
      <c r="R242" s="53"/>
      <c r="S242" s="36"/>
      <c r="T242" s="35"/>
      <c r="U242" s="36"/>
      <c r="V242" s="35"/>
      <c r="W242" s="36"/>
      <c r="X242" s="53"/>
      <c r="Y242" s="36"/>
      <c r="Z242" s="35"/>
      <c r="AA242" s="36"/>
      <c r="AB242" s="35"/>
      <c r="AC242" s="36"/>
      <c r="AD242" s="53"/>
      <c r="AE242" s="36"/>
      <c r="AF242" s="53"/>
      <c r="AG242" s="13"/>
    </row>
    <row r="243" spans="1:34" s="6" customFormat="1" ht="15">
      <c r="C243" s="4" t="s">
        <v>111</v>
      </c>
      <c r="G243" s="33">
        <f>SUM(G241:G242)</f>
        <v>0</v>
      </c>
      <c r="H243" s="35"/>
      <c r="I243" s="33">
        <f>SUM(I241:I242)</f>
        <v>0</v>
      </c>
      <c r="J243" s="35"/>
      <c r="K243" s="33">
        <f>SUM(K241:K242)</f>
        <v>0</v>
      </c>
      <c r="L243" s="57">
        <f>IF(K$38=0,0,K243/K$38)</f>
        <v>0</v>
      </c>
      <c r="M243" s="33">
        <f>SUM(M241:M242)</f>
        <v>0</v>
      </c>
      <c r="N243" s="35"/>
      <c r="O243" s="33">
        <f>SUM(O241:O242)</f>
        <v>0</v>
      </c>
      <c r="P243" s="35"/>
      <c r="Q243" s="33">
        <f>SUM(Q241:Q242)</f>
        <v>0</v>
      </c>
      <c r="R243" s="57">
        <f>IF(Q$38=0,0,Q243/Q$38)</f>
        <v>0</v>
      </c>
      <c r="S243" s="33">
        <f>SUM(S241:S242)</f>
        <v>0</v>
      </c>
      <c r="T243" s="35"/>
      <c r="U243" s="33">
        <f>SUM(U241:U242)</f>
        <v>0</v>
      </c>
      <c r="V243" s="35"/>
      <c r="W243" s="33">
        <f>SUM(W241:W242)</f>
        <v>0</v>
      </c>
      <c r="X243" s="57">
        <f>IF(W$38=0,0,W243/W$38)</f>
        <v>0</v>
      </c>
      <c r="Y243" s="33">
        <f>SUM(Y241:Y242)</f>
        <v>0</v>
      </c>
      <c r="Z243" s="35"/>
      <c r="AA243" s="33">
        <f>SUM(AA241:AA242)</f>
        <v>0</v>
      </c>
      <c r="AB243" s="35"/>
      <c r="AC243" s="33">
        <f>SUM(AC241:AC242)</f>
        <v>0</v>
      </c>
      <c r="AD243" s="57">
        <f>IF(AC$38=0,0,AC243/AC$38)</f>
        <v>0</v>
      </c>
      <c r="AE243" s="33">
        <f>SUM(AE241:AE242)</f>
        <v>0</v>
      </c>
      <c r="AF243" s="9"/>
      <c r="AG243" s="13"/>
    </row>
    <row r="244" spans="1:34" s="6" customFormat="1" ht="6.75" customHeight="1">
      <c r="G244" s="35"/>
      <c r="H244" s="35"/>
      <c r="I244" s="35"/>
      <c r="J244" s="35"/>
      <c r="K244" s="35"/>
      <c r="L244" s="53"/>
      <c r="M244" s="35"/>
      <c r="N244" s="35"/>
      <c r="O244" s="35"/>
      <c r="P244" s="35"/>
      <c r="Q244" s="35"/>
      <c r="R244" s="53"/>
      <c r="S244" s="35"/>
      <c r="T244" s="35"/>
      <c r="U244" s="35"/>
      <c r="V244" s="35"/>
      <c r="W244" s="35"/>
      <c r="X244" s="53"/>
      <c r="Y244" s="35"/>
      <c r="Z244" s="35"/>
      <c r="AA244" s="35"/>
      <c r="AB244" s="35"/>
      <c r="AC244" s="35"/>
      <c r="AD244" s="53"/>
      <c r="AE244" s="35"/>
      <c r="AF244" s="53"/>
      <c r="AG244" s="13"/>
    </row>
    <row r="245" spans="1:34" s="6" customFormat="1" ht="15">
      <c r="B245" s="38" t="s">
        <v>112</v>
      </c>
      <c r="G245" s="39">
        <f>+G239-G243</f>
        <v>-12631.589999999995</v>
      </c>
      <c r="H245" s="35"/>
      <c r="I245" s="39">
        <f>+I239-I243</f>
        <v>-1932.7099999999928</v>
      </c>
      <c r="J245" s="35"/>
      <c r="K245" s="39">
        <f>+K239-K243</f>
        <v>-7128.2</v>
      </c>
      <c r="L245" s="57">
        <f>IF(K$38=0,0,K245/K$38)</f>
        <v>0</v>
      </c>
      <c r="M245" s="39">
        <f>+M239-M243</f>
        <v>-14609.949999999995</v>
      </c>
      <c r="N245" s="35"/>
      <c r="O245" s="39">
        <f>+O239-O243</f>
        <v>-10012.539999999999</v>
      </c>
      <c r="P245" s="35"/>
      <c r="Q245" s="39">
        <f>+Q239-Q243</f>
        <v>-237.60999999999922</v>
      </c>
      <c r="R245" s="57">
        <f>IF(Q$38=0,0,Q245/Q$38)</f>
        <v>0</v>
      </c>
      <c r="S245" s="39">
        <f>+S239-S243</f>
        <v>-3391.8399999999938</v>
      </c>
      <c r="T245" s="35"/>
      <c r="U245" s="39">
        <f>+U239-U243</f>
        <v>-851.54000000000588</v>
      </c>
      <c r="V245" s="35"/>
      <c r="W245" s="39">
        <f>+W239-W243</f>
        <v>2897.6999999999875</v>
      </c>
      <c r="X245" s="57">
        <f>IF(W$38=0,0,W245/W$38)</f>
        <v>0</v>
      </c>
      <c r="Y245" s="39">
        <f>+Y239-Y243</f>
        <v>-10035.479999999994</v>
      </c>
      <c r="Z245" s="35"/>
      <c r="AA245" s="39">
        <f>+AA239-AA243</f>
        <v>-16915.530000000002</v>
      </c>
      <c r="AB245" s="35"/>
      <c r="AC245" s="39">
        <f>+AC239-AC243</f>
        <v>-16605.839999999993</v>
      </c>
      <c r="AD245" s="57">
        <f>IF(AC$38=0,0,AC245/AC$38)</f>
        <v>0</v>
      </c>
      <c r="AE245" s="39">
        <f>+AE239-AE243</f>
        <v>-91455.129999999888</v>
      </c>
      <c r="AF245" s="9"/>
      <c r="AG245" s="13"/>
    </row>
    <row r="246" spans="1:34" ht="6.75" customHeight="1">
      <c r="G246" s="3"/>
      <c r="H246" s="3"/>
      <c r="I246" s="3"/>
      <c r="J246" s="3"/>
      <c r="K246" s="3"/>
      <c r="L246" s="53"/>
      <c r="M246" s="3"/>
      <c r="N246" s="3"/>
      <c r="O246" s="3"/>
      <c r="P246" s="3"/>
      <c r="Q246" s="3"/>
      <c r="R246" s="53"/>
      <c r="S246" s="3"/>
      <c r="T246" s="3"/>
      <c r="U246" s="3"/>
      <c r="V246" s="3"/>
      <c r="W246" s="3"/>
      <c r="X246" s="53"/>
      <c r="Y246" s="3"/>
      <c r="Z246" s="3"/>
      <c r="AA246" s="3"/>
      <c r="AB246" s="3"/>
      <c r="AC246" s="3"/>
      <c r="AD246" s="53"/>
      <c r="AE246" s="3"/>
      <c r="AF246" s="53"/>
      <c r="AG246" s="13"/>
    </row>
    <row r="247" spans="1:34" customFormat="1" ht="15" outlineLevel="1"/>
    <row r="248" spans="1:34" s="6" customFormat="1" ht="5.0999999999999996" customHeight="1" outlineLevel="1">
      <c r="A248" s="5"/>
      <c r="B248" s="5"/>
      <c r="C248" s="5"/>
      <c r="D248" s="5"/>
      <c r="G248" s="36"/>
      <c r="H248" s="35"/>
      <c r="I248" s="36"/>
      <c r="J248" s="35"/>
      <c r="K248" s="36"/>
      <c r="L248" s="53"/>
      <c r="M248" s="36"/>
      <c r="N248" s="35"/>
      <c r="O248" s="36"/>
      <c r="P248" s="35"/>
      <c r="Q248" s="36"/>
      <c r="R248" s="53"/>
      <c r="S248" s="36"/>
      <c r="T248" s="35"/>
      <c r="U248" s="36"/>
      <c r="V248" s="35"/>
      <c r="W248" s="36"/>
      <c r="X248" s="53"/>
      <c r="Y248" s="36"/>
      <c r="Z248" s="35"/>
      <c r="AA248" s="36"/>
      <c r="AB248" s="35"/>
      <c r="AC248" s="36"/>
      <c r="AD248" s="53"/>
      <c r="AE248" s="36"/>
      <c r="AF248" s="53"/>
      <c r="AG248" s="13"/>
    </row>
    <row r="249" spans="1:34" s="6" customFormat="1" ht="15">
      <c r="C249" s="4" t="s">
        <v>113</v>
      </c>
      <c r="G249" s="33">
        <f>SUM(G247:G248)</f>
        <v>0</v>
      </c>
      <c r="H249" s="35"/>
      <c r="I249" s="33">
        <f>SUM(I247:I248)</f>
        <v>0</v>
      </c>
      <c r="J249" s="35"/>
      <c r="K249" s="33">
        <f>SUM(K247:K248)</f>
        <v>0</v>
      </c>
      <c r="L249" s="57">
        <f>IF(K$38=0,0,K249/K$38)</f>
        <v>0</v>
      </c>
      <c r="M249" s="33">
        <f>SUM(M247:M248)</f>
        <v>0</v>
      </c>
      <c r="N249" s="35"/>
      <c r="O249" s="33">
        <f>SUM(O247:O248)</f>
        <v>0</v>
      </c>
      <c r="P249" s="35"/>
      <c r="Q249" s="33">
        <f>SUM(Q247:Q248)</f>
        <v>0</v>
      </c>
      <c r="R249" s="57">
        <f>IF(Q$38=0,0,Q249/Q$38)</f>
        <v>0</v>
      </c>
      <c r="S249" s="33">
        <f>SUM(S247:S248)</f>
        <v>0</v>
      </c>
      <c r="T249" s="35"/>
      <c r="U249" s="33">
        <f>SUM(U247:U248)</f>
        <v>0</v>
      </c>
      <c r="V249" s="35"/>
      <c r="W249" s="33">
        <f>SUM(W247:W248)</f>
        <v>0</v>
      </c>
      <c r="X249" s="57">
        <f>IF(W$38=0,0,W249/W$38)</f>
        <v>0</v>
      </c>
      <c r="Y249" s="33">
        <f>SUM(Y247:Y248)</f>
        <v>0</v>
      </c>
      <c r="Z249" s="35"/>
      <c r="AA249" s="33">
        <f>SUM(AA247:AA248)</f>
        <v>0</v>
      </c>
      <c r="AB249" s="35"/>
      <c r="AC249" s="33">
        <f>SUM(AC247:AC248)</f>
        <v>0</v>
      </c>
      <c r="AD249" s="57">
        <f>IF(AC$38=0,0,AC249/AC$38)</f>
        <v>0</v>
      </c>
      <c r="AE249" s="33">
        <f>SUM(AE247:AE248)</f>
        <v>0</v>
      </c>
      <c r="AF249" s="9"/>
      <c r="AG249" s="13"/>
    </row>
    <row r="250" spans="1:34" s="6" customFormat="1" ht="6.75" customHeight="1">
      <c r="G250" s="35"/>
      <c r="H250" s="35"/>
      <c r="I250" s="35"/>
      <c r="J250" s="35"/>
      <c r="K250" s="35"/>
      <c r="L250" s="53"/>
      <c r="M250" s="35"/>
      <c r="N250" s="35"/>
      <c r="O250" s="35"/>
      <c r="P250" s="35"/>
      <c r="Q250" s="35"/>
      <c r="R250" s="53"/>
      <c r="S250" s="35"/>
      <c r="T250" s="35"/>
      <c r="U250" s="35"/>
      <c r="V250" s="35"/>
      <c r="W250" s="35"/>
      <c r="X250" s="53"/>
      <c r="Y250" s="35"/>
      <c r="Z250" s="35"/>
      <c r="AA250" s="35"/>
      <c r="AB250" s="35"/>
      <c r="AC250" s="35"/>
      <c r="AD250" s="53"/>
      <c r="AE250" s="35"/>
      <c r="AF250" s="53"/>
      <c r="AG250" s="13"/>
    </row>
    <row r="251" spans="1:34" s="6" customFormat="1" ht="15">
      <c r="B251" s="38" t="s">
        <v>114</v>
      </c>
      <c r="G251" s="39">
        <f>+G245-G249</f>
        <v>-12631.589999999995</v>
      </c>
      <c r="H251" s="35"/>
      <c r="I251" s="39">
        <f>+I245-I249</f>
        <v>-1932.7099999999928</v>
      </c>
      <c r="J251" s="35"/>
      <c r="K251" s="39">
        <f>+K245-K249</f>
        <v>-7128.2</v>
      </c>
      <c r="L251" s="57">
        <f>IF(K$38=0,0,K251/K$38)</f>
        <v>0</v>
      </c>
      <c r="M251" s="39">
        <f>+M245-M249</f>
        <v>-14609.949999999995</v>
      </c>
      <c r="N251" s="35"/>
      <c r="O251" s="39">
        <f>+O245-O249</f>
        <v>-10012.539999999999</v>
      </c>
      <c r="P251" s="35"/>
      <c r="Q251" s="39">
        <f>+Q245-Q249</f>
        <v>-237.60999999999922</v>
      </c>
      <c r="R251" s="57">
        <f>IF(Q$38=0,0,Q251/Q$38)</f>
        <v>0</v>
      </c>
      <c r="S251" s="39">
        <f>+S245-S249</f>
        <v>-3391.8399999999938</v>
      </c>
      <c r="T251" s="35"/>
      <c r="U251" s="39">
        <f>+U245-U249</f>
        <v>-851.54000000000588</v>
      </c>
      <c r="V251" s="35"/>
      <c r="W251" s="39">
        <f>+W245-W249</f>
        <v>2897.6999999999875</v>
      </c>
      <c r="X251" s="57">
        <f>IF(W$38=0,0,W251/W$38)</f>
        <v>0</v>
      </c>
      <c r="Y251" s="39">
        <f>+Y245-Y249</f>
        <v>-10035.479999999994</v>
      </c>
      <c r="Z251" s="35"/>
      <c r="AA251" s="39">
        <f>+AA245-AA249</f>
        <v>-16915.530000000002</v>
      </c>
      <c r="AB251" s="35"/>
      <c r="AC251" s="39">
        <f>+AC245-AC249</f>
        <v>-16605.839999999993</v>
      </c>
      <c r="AD251" s="57">
        <f>IF(AC$38=0,0,AC251/AC$38)</f>
        <v>0</v>
      </c>
      <c r="AE251" s="39">
        <f>+AE245-AE249</f>
        <v>-91455.129999999888</v>
      </c>
      <c r="AF251" s="9"/>
      <c r="AG251" s="13"/>
      <c r="AH251" s="109"/>
    </row>
    <row r="252" spans="1:34" s="6" customFormat="1" ht="6.75" customHeight="1">
      <c r="G252" s="35"/>
      <c r="H252" s="35"/>
      <c r="I252" s="35"/>
      <c r="J252" s="35"/>
      <c r="K252" s="35"/>
      <c r="L252" s="53"/>
      <c r="M252" s="35"/>
      <c r="N252" s="35"/>
      <c r="O252" s="35"/>
      <c r="P252" s="35"/>
      <c r="Q252" s="35"/>
      <c r="R252" s="53"/>
      <c r="S252" s="35"/>
      <c r="T252" s="35"/>
      <c r="U252" s="35"/>
      <c r="V252" s="35"/>
      <c r="W252" s="35"/>
      <c r="X252" s="53"/>
      <c r="Y252" s="35"/>
      <c r="Z252" s="35"/>
      <c r="AA252" s="35"/>
      <c r="AB252" s="35"/>
      <c r="AC252" s="35"/>
      <c r="AD252" s="53"/>
      <c r="AE252" s="35"/>
      <c r="AF252" s="53"/>
      <c r="AG252" s="13"/>
    </row>
    <row r="253" spans="1:34" customFormat="1" ht="15" outlineLevel="1"/>
    <row r="254" spans="1:34" s="6" customFormat="1" ht="5.0999999999999996" customHeight="1" outlineLevel="1">
      <c r="A254" s="5"/>
      <c r="B254" s="5"/>
      <c r="C254" s="5"/>
      <c r="D254" s="5"/>
      <c r="G254" s="36"/>
      <c r="H254" s="35"/>
      <c r="I254" s="36"/>
      <c r="J254" s="35"/>
      <c r="K254" s="36"/>
      <c r="L254" s="53"/>
      <c r="M254" s="36"/>
      <c r="N254" s="35"/>
      <c r="O254" s="36"/>
      <c r="P254" s="35"/>
      <c r="Q254" s="36"/>
      <c r="R254" s="53"/>
      <c r="S254" s="36"/>
      <c r="T254" s="35"/>
      <c r="U254" s="36"/>
      <c r="V254" s="35"/>
      <c r="W254" s="36"/>
      <c r="X254" s="53"/>
      <c r="Y254" s="36"/>
      <c r="Z254" s="35"/>
      <c r="AA254" s="36"/>
      <c r="AB254" s="35"/>
      <c r="AC254" s="36"/>
      <c r="AD254" s="53"/>
      <c r="AE254" s="36"/>
      <c r="AF254" s="53"/>
      <c r="AG254" s="13"/>
    </row>
    <row r="255" spans="1:34" s="6" customFormat="1" ht="15">
      <c r="C255" s="4" t="s">
        <v>115</v>
      </c>
      <c r="G255" s="33">
        <f>SUM(G253:G254)</f>
        <v>0</v>
      </c>
      <c r="H255" s="35"/>
      <c r="I255" s="33">
        <f>SUM(I253:I254)</f>
        <v>0</v>
      </c>
      <c r="J255" s="35"/>
      <c r="K255" s="33">
        <f>SUM(K253:K254)</f>
        <v>0</v>
      </c>
      <c r="L255" s="57">
        <f>IF(K$38=0,0,K255/K$38)</f>
        <v>0</v>
      </c>
      <c r="M255" s="33">
        <f>SUM(M253:M254)</f>
        <v>0</v>
      </c>
      <c r="N255" s="35"/>
      <c r="O255" s="33">
        <f>SUM(O253:O254)</f>
        <v>0</v>
      </c>
      <c r="P255" s="35"/>
      <c r="Q255" s="33">
        <f>SUM(Q253:Q254)</f>
        <v>0</v>
      </c>
      <c r="R255" s="57">
        <f>IF(Q$38=0,0,Q255/Q$38)</f>
        <v>0</v>
      </c>
      <c r="S255" s="33">
        <f>SUM(S253:S254)</f>
        <v>0</v>
      </c>
      <c r="T255" s="35"/>
      <c r="U255" s="33">
        <f>SUM(U253:U254)</f>
        <v>0</v>
      </c>
      <c r="V255" s="35"/>
      <c r="W255" s="33">
        <f>SUM(W253:W254)</f>
        <v>0</v>
      </c>
      <c r="X255" s="57">
        <f>IF(W$38=0,0,W255/W$38)</f>
        <v>0</v>
      </c>
      <c r="Y255" s="33">
        <f>SUM(Y253:Y254)</f>
        <v>0</v>
      </c>
      <c r="Z255" s="35"/>
      <c r="AA255" s="33">
        <f>SUM(AA253:AA254)</f>
        <v>0</v>
      </c>
      <c r="AB255" s="35"/>
      <c r="AC255" s="33">
        <f>SUM(AC253:AC254)</f>
        <v>0</v>
      </c>
      <c r="AD255" s="57">
        <f>IF(AC$38=0,0,AC255/AC$38)</f>
        <v>0</v>
      </c>
      <c r="AE255" s="33">
        <f>SUM(AE253:AE254)</f>
        <v>0</v>
      </c>
      <c r="AF255" s="9"/>
      <c r="AG255" s="13"/>
    </row>
    <row r="256" spans="1:34" s="6" customFormat="1" ht="6.75" customHeight="1">
      <c r="G256" s="35"/>
      <c r="H256" s="35"/>
      <c r="I256" s="35"/>
      <c r="J256" s="35"/>
      <c r="K256" s="35"/>
      <c r="L256" s="53"/>
      <c r="M256" s="35"/>
      <c r="N256" s="35"/>
      <c r="O256" s="35"/>
      <c r="P256" s="35"/>
      <c r="Q256" s="35"/>
      <c r="R256" s="53"/>
      <c r="S256" s="35"/>
      <c r="T256" s="35"/>
      <c r="U256" s="35"/>
      <c r="V256" s="35"/>
      <c r="W256" s="35"/>
      <c r="X256" s="53"/>
      <c r="Y256" s="35"/>
      <c r="Z256" s="35"/>
      <c r="AA256" s="35"/>
      <c r="AB256" s="35"/>
      <c r="AC256" s="35"/>
      <c r="AD256" s="53"/>
      <c r="AE256" s="35"/>
      <c r="AF256" s="53"/>
      <c r="AG256" s="13"/>
    </row>
    <row r="257" spans="1:34" s="6" customFormat="1" ht="15.75" thickBot="1">
      <c r="B257" s="38" t="s">
        <v>116</v>
      </c>
      <c r="G257" s="58">
        <f>+G251-G255</f>
        <v>-12631.589999999995</v>
      </c>
      <c r="H257" s="35"/>
      <c r="I257" s="58">
        <f>+I251-I255</f>
        <v>-1932.7099999999928</v>
      </c>
      <c r="J257" s="35"/>
      <c r="K257" s="58">
        <f>+K251-K255</f>
        <v>-7128.2</v>
      </c>
      <c r="L257" s="57">
        <f>IF(K$38=0,0,K257/K$38)</f>
        <v>0</v>
      </c>
      <c r="M257" s="58">
        <f>+M251-M255</f>
        <v>-14609.949999999995</v>
      </c>
      <c r="N257" s="35"/>
      <c r="O257" s="58">
        <f>+O251-O255</f>
        <v>-10012.539999999999</v>
      </c>
      <c r="P257" s="35"/>
      <c r="Q257" s="58">
        <f>+Q251-Q255</f>
        <v>-237.60999999999922</v>
      </c>
      <c r="R257" s="57">
        <f>IF(Q$38=0,0,Q257/Q$38)</f>
        <v>0</v>
      </c>
      <c r="S257" s="58">
        <f>+S251-S255</f>
        <v>-3391.8399999999938</v>
      </c>
      <c r="T257" s="35"/>
      <c r="U257" s="58">
        <f>+U251-U255</f>
        <v>-851.54000000000588</v>
      </c>
      <c r="V257" s="35"/>
      <c r="W257" s="58">
        <f>+W251-W255</f>
        <v>2897.6999999999875</v>
      </c>
      <c r="X257" s="57">
        <f>IF(W$38=0,0,W257/W$38)</f>
        <v>0</v>
      </c>
      <c r="Y257" s="58">
        <f>+Y251-Y255</f>
        <v>-10035.479999999994</v>
      </c>
      <c r="Z257" s="35"/>
      <c r="AA257" s="58">
        <f>+AA251-AA255</f>
        <v>-16915.530000000002</v>
      </c>
      <c r="AB257" s="35"/>
      <c r="AC257" s="58">
        <f>+AC251-AC255</f>
        <v>-16605.839999999993</v>
      </c>
      <c r="AD257" s="57">
        <f>IF(AC$38=0,0,AC257/AC$38)</f>
        <v>0</v>
      </c>
      <c r="AE257" s="58">
        <f>+AE251-AE255</f>
        <v>-91455.129999999888</v>
      </c>
      <c r="AF257" s="9"/>
      <c r="AG257" s="13"/>
    </row>
    <row r="258" spans="1:34" s="59" customFormat="1" ht="15.75" thickTop="1">
      <c r="A258" s="6"/>
      <c r="B258" s="6"/>
      <c r="C258" s="4"/>
      <c r="D258" s="6"/>
      <c r="E258" s="1"/>
      <c r="F258" s="1"/>
      <c r="H258" s="1"/>
      <c r="J258" s="13"/>
      <c r="L258" s="13"/>
      <c r="N258" s="1"/>
      <c r="P258" s="13"/>
      <c r="R258" s="13"/>
      <c r="T258" s="1"/>
      <c r="V258" s="13"/>
      <c r="X258" s="13"/>
      <c r="Z258" s="1"/>
      <c r="AB258" s="13"/>
      <c r="AD258" s="13"/>
      <c r="AG258" s="1"/>
    </row>
    <row r="259" spans="1:34" customFormat="1" ht="15" outlineLevel="1">
      <c r="AH259" s="108"/>
    </row>
    <row r="260" spans="1:34" ht="12" customHeight="1" outlineLevel="1">
      <c r="G260" s="36"/>
      <c r="H260" s="35"/>
      <c r="I260" s="36"/>
      <c r="J260" s="35"/>
      <c r="K260" s="36"/>
      <c r="L260" s="53"/>
      <c r="M260" s="36"/>
      <c r="N260" s="35"/>
      <c r="O260" s="36"/>
      <c r="P260" s="35"/>
      <c r="Q260" s="36"/>
      <c r="R260" s="53"/>
      <c r="S260" s="36"/>
      <c r="T260" s="35"/>
      <c r="U260" s="36"/>
      <c r="V260" s="35"/>
      <c r="W260" s="36"/>
      <c r="X260" s="53"/>
      <c r="Y260" s="36"/>
      <c r="Z260" s="35"/>
      <c r="AA260" s="36"/>
      <c r="AB260" s="35"/>
      <c r="AC260" s="36"/>
      <c r="AD260" s="53"/>
      <c r="AE260" s="36"/>
    </row>
    <row r="261" spans="1:34" s="3" customFormat="1">
      <c r="B261" s="3" t="s">
        <v>117</v>
      </c>
      <c r="G261" s="60">
        <f>SUM(G259:G260)</f>
        <v>0</v>
      </c>
      <c r="H261" s="61"/>
      <c r="I261" s="60">
        <f>SUM(I259:I260)</f>
        <v>0</v>
      </c>
      <c r="J261" s="61"/>
      <c r="K261" s="60">
        <f>SUM(K259:K260)</f>
        <v>0</v>
      </c>
      <c r="L261" s="62"/>
      <c r="M261" s="60">
        <f>SUM(M259:M260)</f>
        <v>0</v>
      </c>
      <c r="N261" s="61"/>
      <c r="O261" s="60">
        <f>SUM(O259:O260)</f>
        <v>0</v>
      </c>
      <c r="P261" s="61"/>
      <c r="Q261" s="60">
        <f>SUM(Q259:Q260)</f>
        <v>0</v>
      </c>
      <c r="R261" s="62"/>
      <c r="S261" s="60">
        <f>SUM(S259:S260)</f>
        <v>0</v>
      </c>
      <c r="T261" s="61"/>
      <c r="U261" s="60">
        <f>SUM(U259:U260)</f>
        <v>0</v>
      </c>
      <c r="V261" s="61"/>
      <c r="W261" s="60">
        <f>SUM(W259:W260)</f>
        <v>0</v>
      </c>
      <c r="X261" s="62"/>
      <c r="Y261" s="60">
        <f>SUM(Y259:Y260)</f>
        <v>0</v>
      </c>
      <c r="Z261" s="61"/>
      <c r="AA261" s="60">
        <f>SUM(AA259:AA260)</f>
        <v>0</v>
      </c>
      <c r="AB261" s="61"/>
      <c r="AC261" s="60">
        <f>SUM(AC259:AC260)</f>
        <v>0</v>
      </c>
      <c r="AD261" s="62"/>
      <c r="AE261" s="60">
        <f>SUM(AE259:AE260)</f>
        <v>0</v>
      </c>
    </row>
    <row r="262" spans="1:34">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1:34" ht="15">
      <c r="A263" s="5"/>
      <c r="B263" s="5"/>
      <c r="C263" s="5"/>
      <c r="D263" s="5"/>
      <c r="J263" s="13"/>
      <c r="L263" s="13"/>
      <c r="P263" s="13"/>
      <c r="R263" s="13"/>
      <c r="V263" s="13"/>
      <c r="X263" s="13"/>
      <c r="AB263" s="13"/>
      <c r="AD263" s="13"/>
    </row>
    <row r="264" spans="1:34" ht="15.75">
      <c r="A264" s="6"/>
      <c r="B264" s="6"/>
      <c r="C264" s="5"/>
      <c r="D264" s="6"/>
      <c r="J264" s="13"/>
      <c r="L264" s="13"/>
      <c r="P264" s="13"/>
      <c r="R264" s="13"/>
      <c r="V264" s="13"/>
      <c r="X264" s="13"/>
      <c r="AB264" s="13"/>
      <c r="AC264" s="63" t="s">
        <v>118</v>
      </c>
      <c r="AD264" s="64"/>
      <c r="AE264" s="65">
        <f>SUM(G257:AC257)-AE257</f>
        <v>0</v>
      </c>
    </row>
    <row r="265" spans="1:34" s="59" customFormat="1" ht="15">
      <c r="A265" s="6"/>
      <c r="B265" s="6"/>
      <c r="C265" s="6"/>
      <c r="D265" s="6"/>
      <c r="E265" s="1"/>
      <c r="F265" s="1"/>
      <c r="H265" s="1"/>
      <c r="J265" s="13"/>
      <c r="L265" s="13"/>
      <c r="N265" s="1"/>
      <c r="P265" s="13"/>
      <c r="R265" s="13"/>
      <c r="T265" s="1"/>
      <c r="V265" s="13"/>
      <c r="X265" s="13"/>
      <c r="Z265" s="1"/>
      <c r="AB265" s="13"/>
      <c r="AD265" s="13"/>
      <c r="AF265" s="1"/>
      <c r="AG265" s="1"/>
    </row>
    <row r="266" spans="1:34" s="59" customFormat="1" ht="15">
      <c r="A266" s="11"/>
      <c r="B266" s="11"/>
      <c r="C266" s="11"/>
      <c r="D266" s="11"/>
      <c r="E266" s="1"/>
      <c r="F266" s="1"/>
      <c r="H266" s="1"/>
      <c r="J266" s="13"/>
      <c r="L266" s="13"/>
      <c r="N266" s="1"/>
      <c r="P266" s="13"/>
      <c r="R266" s="13"/>
      <c r="V266" s="13"/>
      <c r="X266" s="13"/>
      <c r="Z266" s="1"/>
      <c r="AB266" s="13"/>
      <c r="AD266" s="13"/>
      <c r="AG266" s="1"/>
    </row>
    <row r="267" spans="1:34" s="59" customFormat="1" ht="15">
      <c r="A267" s="5"/>
      <c r="B267" s="5"/>
      <c r="C267" s="5"/>
      <c r="D267" s="5"/>
      <c r="E267" s="1"/>
      <c r="F267" s="1"/>
      <c r="H267" s="1"/>
      <c r="J267" s="13"/>
      <c r="L267" s="13"/>
      <c r="N267" s="1"/>
      <c r="P267" s="13"/>
      <c r="R267" s="13"/>
      <c r="S267" s="66"/>
      <c r="T267" s="66"/>
      <c r="U267" s="66"/>
      <c r="V267" s="13"/>
      <c r="W267" s="66"/>
      <c r="X267" s="13"/>
      <c r="Y267" s="66"/>
      <c r="Z267" s="1"/>
      <c r="AA267" s="66"/>
      <c r="AB267" s="13"/>
      <c r="AC267" s="66"/>
      <c r="AD267" s="13"/>
      <c r="AE267" s="66"/>
      <c r="AG267" s="1"/>
    </row>
    <row r="268" spans="1:34" s="59" customFormat="1" ht="15">
      <c r="A268" s="6"/>
      <c r="B268" s="6"/>
      <c r="C268" s="4"/>
      <c r="D268" s="6"/>
      <c r="E268" s="1"/>
      <c r="F268" s="1"/>
      <c r="H268" s="1"/>
      <c r="J268" s="13"/>
      <c r="L268" s="13"/>
      <c r="N268" s="1"/>
      <c r="P268" s="13"/>
      <c r="R268" s="13"/>
      <c r="T268" s="1"/>
      <c r="V268" s="13"/>
      <c r="X268" s="13"/>
      <c r="Z268" s="1"/>
      <c r="AB268" s="13"/>
      <c r="AD268" s="13"/>
      <c r="AG268" s="1"/>
    </row>
    <row r="269" spans="1:34" s="59" customFormat="1" ht="15">
      <c r="A269" s="6"/>
      <c r="B269" s="6"/>
      <c r="C269" s="6"/>
      <c r="D269" s="6"/>
      <c r="E269" s="1"/>
      <c r="F269" s="1"/>
      <c r="H269" s="1"/>
      <c r="J269" s="13"/>
      <c r="L269" s="13"/>
      <c r="N269" s="1"/>
      <c r="P269" s="13"/>
      <c r="R269" s="13"/>
      <c r="T269" s="1"/>
      <c r="V269" s="13"/>
      <c r="X269" s="13"/>
      <c r="Z269" s="1"/>
      <c r="AB269" s="13"/>
      <c r="AD269" s="13"/>
      <c r="AG269" s="1"/>
    </row>
    <row r="270" spans="1:34" s="59" customFormat="1" ht="15">
      <c r="A270" s="11"/>
      <c r="B270" s="11"/>
      <c r="C270" s="11"/>
      <c r="D270" s="11"/>
      <c r="E270" s="1"/>
      <c r="F270" s="1"/>
      <c r="H270" s="1"/>
      <c r="J270" s="13"/>
      <c r="L270" s="13"/>
      <c r="N270" s="1"/>
      <c r="P270" s="13"/>
      <c r="R270" s="13"/>
      <c r="T270" s="1"/>
      <c r="V270" s="13"/>
      <c r="X270" s="13"/>
      <c r="Z270" s="1"/>
      <c r="AB270" s="13"/>
      <c r="AD270" s="13"/>
      <c r="AG270" s="1"/>
    </row>
    <row r="271" spans="1:34" s="59" customFormat="1" ht="15">
      <c r="A271" s="5"/>
      <c r="B271" s="5"/>
      <c r="C271" s="5"/>
      <c r="D271" s="5"/>
      <c r="E271" s="1"/>
      <c r="F271" s="1"/>
      <c r="H271" s="1"/>
      <c r="J271" s="13"/>
      <c r="L271" s="13"/>
      <c r="N271" s="1"/>
      <c r="P271" s="13"/>
      <c r="R271" s="13"/>
      <c r="T271" s="1"/>
      <c r="V271" s="13"/>
      <c r="X271" s="13"/>
      <c r="Z271" s="1"/>
      <c r="AB271" s="13"/>
      <c r="AD271" s="13"/>
      <c r="AG271" s="1"/>
    </row>
    <row r="272" spans="1:34" s="59" customFormat="1" ht="15">
      <c r="A272" s="6"/>
      <c r="B272" s="6"/>
      <c r="C272" s="5"/>
      <c r="D272" s="6"/>
      <c r="E272" s="1"/>
      <c r="F272" s="1"/>
      <c r="H272" s="1"/>
      <c r="J272" s="13"/>
      <c r="L272" s="13"/>
      <c r="N272" s="1"/>
      <c r="P272" s="13"/>
      <c r="R272" s="13"/>
      <c r="T272" s="1"/>
      <c r="V272" s="13"/>
      <c r="X272" s="13"/>
      <c r="Z272" s="1"/>
      <c r="AB272" s="13"/>
      <c r="AD272" s="13"/>
      <c r="AG272" s="1"/>
    </row>
    <row r="273" spans="1:33" s="59" customFormat="1" ht="15">
      <c r="A273" s="6"/>
      <c r="B273" s="6"/>
      <c r="C273" s="6"/>
      <c r="D273" s="6"/>
      <c r="E273" s="1"/>
      <c r="F273" s="1"/>
      <c r="H273" s="1"/>
      <c r="J273" s="13"/>
      <c r="L273" s="13"/>
      <c r="N273" s="1"/>
      <c r="P273" s="13"/>
      <c r="R273" s="13"/>
      <c r="T273" s="1"/>
      <c r="V273" s="13"/>
      <c r="X273" s="13"/>
      <c r="Z273" s="1"/>
      <c r="AB273" s="13"/>
      <c r="AD273" s="13"/>
      <c r="AG273" s="1"/>
    </row>
    <row r="274" spans="1:33" s="59" customFormat="1" ht="15">
      <c r="A274" s="6"/>
      <c r="B274" s="38"/>
      <c r="C274" s="6"/>
      <c r="D274" s="6"/>
      <c r="E274" s="1"/>
      <c r="F274" s="1"/>
      <c r="H274" s="1"/>
      <c r="J274" s="13"/>
      <c r="L274" s="13"/>
      <c r="N274" s="1"/>
      <c r="P274" s="13"/>
      <c r="R274" s="13"/>
      <c r="T274" s="1"/>
      <c r="V274" s="13"/>
      <c r="X274" s="13"/>
      <c r="Z274" s="1"/>
      <c r="AB274" s="13"/>
      <c r="AD274" s="13"/>
      <c r="AG274" s="1"/>
    </row>
    <row r="275" spans="1:33" s="59" customFormat="1" ht="15">
      <c r="A275" s="6"/>
      <c r="B275" s="6"/>
      <c r="C275" s="6"/>
      <c r="D275" s="6"/>
      <c r="E275" s="1"/>
      <c r="F275" s="1"/>
      <c r="H275" s="1"/>
      <c r="J275" s="13"/>
      <c r="L275" s="13"/>
      <c r="N275" s="1"/>
      <c r="P275" s="13"/>
      <c r="R275" s="13"/>
      <c r="T275" s="1"/>
      <c r="V275" s="13"/>
      <c r="X275" s="13"/>
      <c r="Z275" s="1"/>
      <c r="AB275" s="13"/>
      <c r="AD275" s="13"/>
      <c r="AG275" s="1"/>
    </row>
    <row r="276" spans="1:33" s="59" customFormat="1" ht="15">
      <c r="A276" s="11"/>
      <c r="B276" s="11"/>
      <c r="C276" s="11"/>
      <c r="D276" s="11"/>
      <c r="E276" s="1"/>
      <c r="F276" s="1"/>
      <c r="H276" s="1"/>
      <c r="J276" s="13"/>
      <c r="L276" s="13"/>
      <c r="N276" s="1"/>
      <c r="P276" s="13"/>
      <c r="R276" s="13"/>
      <c r="T276" s="1"/>
      <c r="V276" s="13"/>
      <c r="X276" s="13"/>
      <c r="Z276" s="1"/>
      <c r="AB276" s="13"/>
      <c r="AD276" s="13"/>
      <c r="AG276" s="1"/>
    </row>
    <row r="277" spans="1:33" s="59" customFormat="1" ht="15">
      <c r="A277" s="5"/>
      <c r="B277" s="5"/>
      <c r="C277" s="5"/>
      <c r="D277" s="5"/>
      <c r="E277" s="1"/>
      <c r="F277" s="1"/>
      <c r="H277" s="1"/>
      <c r="J277" s="13"/>
      <c r="L277" s="13"/>
      <c r="N277" s="1"/>
      <c r="P277" s="13"/>
      <c r="R277" s="13"/>
      <c r="T277" s="1"/>
      <c r="V277" s="13"/>
      <c r="X277" s="13"/>
      <c r="Z277" s="1"/>
      <c r="AB277" s="13"/>
      <c r="AD277" s="13"/>
      <c r="AG277" s="1"/>
    </row>
    <row r="278" spans="1:33" s="59" customFormat="1" ht="15">
      <c r="A278" s="6"/>
      <c r="B278" s="6"/>
      <c r="C278" s="4"/>
      <c r="D278" s="6"/>
      <c r="E278" s="1"/>
      <c r="F278" s="1"/>
      <c r="H278" s="1"/>
      <c r="J278" s="13"/>
      <c r="L278" s="13"/>
      <c r="N278" s="1"/>
      <c r="P278" s="13"/>
      <c r="R278" s="13"/>
      <c r="T278" s="1"/>
      <c r="V278" s="13"/>
      <c r="X278" s="13"/>
      <c r="Z278" s="1"/>
      <c r="AB278" s="13"/>
      <c r="AD278" s="13"/>
      <c r="AG278" s="1"/>
    </row>
    <row r="279" spans="1:33" s="59" customFormat="1" ht="15">
      <c r="A279" s="6"/>
      <c r="B279" s="6"/>
      <c r="C279" s="6"/>
      <c r="D279" s="6"/>
      <c r="E279" s="1"/>
      <c r="F279" s="1"/>
      <c r="H279" s="1"/>
      <c r="J279" s="13"/>
      <c r="L279" s="13"/>
      <c r="N279" s="1"/>
      <c r="P279" s="13"/>
      <c r="R279" s="13"/>
      <c r="T279" s="1"/>
      <c r="V279" s="13"/>
      <c r="X279" s="13"/>
      <c r="Z279" s="1"/>
      <c r="AB279" s="13"/>
      <c r="AD279" s="13"/>
      <c r="AG279" s="1"/>
    </row>
    <row r="280" spans="1:33" s="59" customFormat="1" ht="15">
      <c r="A280" s="6"/>
      <c r="B280" s="38"/>
      <c r="C280" s="6"/>
      <c r="D280" s="6"/>
      <c r="E280" s="1"/>
      <c r="F280" s="1"/>
      <c r="H280" s="1"/>
      <c r="J280" s="13"/>
      <c r="L280" s="13"/>
      <c r="N280" s="1"/>
      <c r="P280" s="13"/>
      <c r="R280" s="13"/>
      <c r="T280" s="1"/>
      <c r="V280" s="13"/>
      <c r="X280" s="13"/>
      <c r="Z280" s="1"/>
      <c r="AB280" s="13"/>
      <c r="AD280" s="13"/>
      <c r="AG280" s="1"/>
    </row>
    <row r="281" spans="1:33" s="59" customFormat="1" ht="15">
      <c r="A281" s="1"/>
      <c r="B281" s="1"/>
      <c r="C281" s="1"/>
      <c r="D281" s="1"/>
      <c r="E281" s="1"/>
      <c r="F281" s="1"/>
      <c r="H281" s="1"/>
      <c r="J281" s="13"/>
      <c r="L281" s="13"/>
      <c r="N281" s="1"/>
      <c r="P281" s="13"/>
      <c r="R281" s="13"/>
      <c r="T281" s="1"/>
      <c r="V281" s="13"/>
      <c r="X281" s="13"/>
      <c r="Z281" s="1"/>
      <c r="AB281" s="13"/>
      <c r="AD281" s="13"/>
      <c r="AG281" s="1"/>
    </row>
    <row r="282" spans="1:33" s="59" customFormat="1" ht="15">
      <c r="A282" s="11"/>
      <c r="B282" s="11"/>
      <c r="C282" s="11"/>
      <c r="D282" s="11"/>
      <c r="E282" s="1"/>
      <c r="F282" s="1"/>
      <c r="H282" s="1"/>
      <c r="J282" s="13"/>
      <c r="L282" s="13"/>
      <c r="N282" s="1"/>
      <c r="P282" s="13"/>
      <c r="R282" s="13"/>
      <c r="T282" s="1"/>
      <c r="V282" s="13"/>
      <c r="X282" s="13"/>
      <c r="Z282" s="1"/>
      <c r="AB282" s="13"/>
      <c r="AD282" s="13"/>
      <c r="AG282" s="1"/>
    </row>
    <row r="283" spans="1:33" s="59" customFormat="1" ht="15">
      <c r="A283" s="5"/>
      <c r="B283" s="5"/>
      <c r="C283" s="5"/>
      <c r="D283" s="5"/>
      <c r="E283" s="1"/>
      <c r="F283" s="1"/>
      <c r="H283" s="1"/>
      <c r="J283" s="13"/>
      <c r="L283" s="13"/>
      <c r="N283" s="1"/>
      <c r="P283" s="13"/>
      <c r="R283" s="13"/>
      <c r="T283" s="1"/>
      <c r="V283" s="13"/>
      <c r="X283" s="13"/>
      <c r="Z283" s="1"/>
      <c r="AB283" s="13"/>
      <c r="AD283" s="13"/>
      <c r="AG283" s="1"/>
    </row>
    <row r="284" spans="1:33" s="59" customFormat="1" ht="15">
      <c r="A284" s="6"/>
      <c r="B284" s="6"/>
      <c r="C284" s="4"/>
      <c r="D284" s="6"/>
      <c r="E284" s="1"/>
      <c r="F284" s="1"/>
      <c r="H284" s="1"/>
      <c r="J284" s="13"/>
      <c r="L284" s="13"/>
      <c r="N284" s="1"/>
      <c r="P284" s="13"/>
      <c r="R284" s="13"/>
      <c r="T284" s="1"/>
      <c r="V284" s="13"/>
      <c r="X284" s="13"/>
      <c r="Z284" s="1"/>
      <c r="AB284" s="13"/>
      <c r="AD284" s="13"/>
      <c r="AG284" s="1"/>
    </row>
    <row r="285" spans="1:33" s="59" customFormat="1" ht="15">
      <c r="A285" s="6"/>
      <c r="B285" s="6"/>
      <c r="C285" s="6"/>
      <c r="D285" s="6"/>
      <c r="E285" s="1"/>
      <c r="F285" s="1"/>
      <c r="H285" s="1"/>
      <c r="J285" s="13"/>
      <c r="L285" s="13"/>
      <c r="N285" s="1"/>
      <c r="P285" s="13"/>
      <c r="R285" s="13"/>
      <c r="T285" s="1"/>
      <c r="V285" s="13"/>
      <c r="X285" s="13"/>
      <c r="Z285" s="1"/>
      <c r="AB285" s="13"/>
      <c r="AD285" s="13"/>
      <c r="AG285" s="1"/>
    </row>
    <row r="286" spans="1:33" s="59" customFormat="1" ht="15">
      <c r="A286" s="6"/>
      <c r="B286" s="38"/>
      <c r="C286" s="6"/>
      <c r="D286" s="6"/>
      <c r="E286" s="1"/>
      <c r="F286" s="1"/>
      <c r="H286" s="1"/>
      <c r="J286" s="13"/>
      <c r="L286" s="13"/>
      <c r="N286" s="1"/>
      <c r="P286" s="13"/>
      <c r="R286" s="13"/>
      <c r="T286" s="1"/>
      <c r="V286" s="13"/>
      <c r="X286" s="13"/>
      <c r="Z286" s="1"/>
      <c r="AB286" s="13"/>
      <c r="AD286" s="13"/>
      <c r="AG286" s="1"/>
    </row>
    <row r="287" spans="1:33" s="59" customFormat="1" ht="15">
      <c r="A287" s="6"/>
      <c r="B287" s="6"/>
      <c r="C287" s="6"/>
      <c r="D287" s="6"/>
      <c r="E287" s="1"/>
      <c r="F287" s="1"/>
      <c r="H287" s="1"/>
      <c r="J287" s="13"/>
      <c r="L287" s="13"/>
      <c r="N287" s="1"/>
      <c r="P287" s="13"/>
      <c r="R287" s="13"/>
      <c r="T287" s="1"/>
      <c r="V287" s="13"/>
      <c r="X287" s="13"/>
      <c r="Z287" s="1"/>
      <c r="AB287" s="13"/>
      <c r="AD287" s="13"/>
      <c r="AG287" s="1"/>
    </row>
    <row r="288" spans="1:33" s="59" customFormat="1" ht="15">
      <c r="A288" s="11"/>
      <c r="B288" s="11"/>
      <c r="C288" s="11"/>
      <c r="D288" s="11"/>
      <c r="E288" s="1"/>
      <c r="F288" s="1"/>
      <c r="H288" s="1"/>
      <c r="J288" s="13"/>
      <c r="L288" s="13"/>
      <c r="N288" s="1"/>
      <c r="P288" s="13"/>
      <c r="R288" s="13"/>
      <c r="T288" s="1"/>
      <c r="V288" s="13"/>
      <c r="X288" s="13"/>
      <c r="Z288" s="1"/>
      <c r="AB288" s="13"/>
      <c r="AD288" s="13"/>
      <c r="AG288" s="1"/>
    </row>
    <row r="289" spans="1:33" s="59" customFormat="1" ht="15">
      <c r="A289" s="5"/>
      <c r="B289" s="5"/>
      <c r="C289" s="5"/>
      <c r="D289" s="5"/>
      <c r="E289" s="1"/>
      <c r="F289" s="1"/>
      <c r="H289" s="1"/>
      <c r="J289" s="13"/>
      <c r="L289" s="13"/>
      <c r="N289" s="1"/>
      <c r="P289" s="13"/>
      <c r="R289" s="13"/>
      <c r="T289" s="1"/>
      <c r="V289" s="13"/>
      <c r="X289" s="13"/>
      <c r="Z289" s="1"/>
      <c r="AB289" s="13"/>
      <c r="AD289" s="13"/>
      <c r="AG289" s="1"/>
    </row>
    <row r="290" spans="1:33" s="59" customFormat="1" ht="15">
      <c r="A290" s="6"/>
      <c r="B290" s="6"/>
      <c r="C290" s="4"/>
      <c r="D290" s="6"/>
      <c r="E290" s="1"/>
      <c r="F290" s="1"/>
      <c r="H290" s="1"/>
      <c r="J290" s="13"/>
      <c r="L290" s="13"/>
      <c r="N290" s="1"/>
      <c r="P290" s="13"/>
      <c r="R290" s="13"/>
      <c r="T290" s="1"/>
      <c r="V290" s="13"/>
      <c r="X290" s="13"/>
      <c r="Z290" s="1"/>
      <c r="AB290" s="13"/>
      <c r="AD290" s="13"/>
      <c r="AG290" s="1"/>
    </row>
    <row r="291" spans="1:33" s="59" customFormat="1" ht="15">
      <c r="A291" s="6"/>
      <c r="B291" s="6"/>
      <c r="C291" s="6"/>
      <c r="D291" s="6"/>
      <c r="E291" s="1"/>
      <c r="F291" s="1"/>
      <c r="H291" s="1"/>
      <c r="J291" s="13"/>
      <c r="L291" s="13"/>
      <c r="N291" s="1"/>
      <c r="P291" s="13"/>
      <c r="R291" s="13"/>
      <c r="T291" s="1"/>
      <c r="V291" s="13"/>
      <c r="X291" s="13"/>
      <c r="Z291" s="1"/>
      <c r="AB291" s="13"/>
      <c r="AD291" s="13"/>
      <c r="AG291" s="1"/>
    </row>
    <row r="292" spans="1:33" s="59" customFormat="1" ht="15">
      <c r="A292" s="6"/>
      <c r="B292" s="38"/>
      <c r="C292" s="6"/>
      <c r="D292" s="6"/>
      <c r="E292" s="1"/>
      <c r="F292" s="1"/>
      <c r="H292" s="1"/>
      <c r="J292" s="13"/>
      <c r="L292" s="13"/>
      <c r="N292" s="1"/>
      <c r="P292" s="13"/>
      <c r="R292" s="13"/>
      <c r="T292" s="1"/>
      <c r="V292" s="13"/>
      <c r="X292" s="13"/>
      <c r="Z292" s="1"/>
      <c r="AB292" s="13"/>
      <c r="AD292" s="13"/>
      <c r="AG292" s="1"/>
    </row>
    <row r="293" spans="1:33" s="59" customFormat="1" ht="15">
      <c r="A293" s="1"/>
      <c r="B293" s="1"/>
      <c r="C293" s="1"/>
      <c r="D293" s="1"/>
      <c r="E293" s="1"/>
      <c r="F293" s="1"/>
      <c r="H293" s="1"/>
      <c r="J293" s="13"/>
      <c r="L293" s="13"/>
      <c r="N293" s="1"/>
      <c r="P293" s="13"/>
      <c r="R293" s="13"/>
      <c r="T293" s="1"/>
      <c r="V293" s="13"/>
      <c r="X293" s="13"/>
      <c r="Z293" s="1"/>
      <c r="AB293" s="13"/>
      <c r="AD293" s="13"/>
      <c r="AG293" s="1"/>
    </row>
    <row r="294" spans="1:33" s="59" customFormat="1" ht="15">
      <c r="A294" s="1"/>
      <c r="B294" s="1"/>
      <c r="C294" s="1"/>
      <c r="D294" s="1"/>
      <c r="E294" s="1"/>
      <c r="F294" s="1"/>
      <c r="H294" s="1"/>
      <c r="J294" s="13"/>
      <c r="L294" s="13"/>
      <c r="N294" s="1"/>
      <c r="P294" s="13"/>
      <c r="R294" s="13"/>
      <c r="T294" s="1"/>
      <c r="V294" s="13"/>
      <c r="X294" s="13"/>
      <c r="Z294" s="1"/>
      <c r="AB294" s="13"/>
      <c r="AD294" s="13"/>
      <c r="AG294" s="1"/>
    </row>
    <row r="295" spans="1:33" s="59" customFormat="1" ht="15">
      <c r="A295" s="1"/>
      <c r="B295" s="1"/>
      <c r="C295" s="1"/>
      <c r="D295" s="1"/>
      <c r="E295" s="1"/>
      <c r="F295" s="1"/>
      <c r="H295" s="1"/>
      <c r="J295" s="13"/>
      <c r="L295" s="13"/>
      <c r="N295" s="1"/>
      <c r="P295" s="13"/>
      <c r="R295" s="13"/>
      <c r="T295" s="1"/>
      <c r="V295" s="13"/>
      <c r="X295" s="13"/>
      <c r="Z295" s="1"/>
      <c r="AB295" s="13"/>
      <c r="AD295" s="13"/>
      <c r="AG295" s="1"/>
    </row>
    <row r="296" spans="1:33" s="59" customFormat="1" ht="15">
      <c r="A296" s="1"/>
      <c r="B296" s="1"/>
      <c r="C296" s="1"/>
      <c r="D296" s="1"/>
      <c r="E296" s="1"/>
      <c r="F296" s="1"/>
      <c r="H296" s="1"/>
      <c r="J296" s="13"/>
      <c r="L296" s="13"/>
      <c r="N296" s="1"/>
      <c r="P296" s="13"/>
      <c r="R296" s="13"/>
      <c r="T296" s="1"/>
      <c r="V296" s="13"/>
      <c r="X296" s="13"/>
      <c r="Z296" s="1"/>
      <c r="AB296" s="13"/>
      <c r="AD296" s="13"/>
      <c r="AG296" s="1"/>
    </row>
    <row r="297" spans="1:33" s="59" customFormat="1" ht="15">
      <c r="A297" s="1"/>
      <c r="B297" s="1"/>
      <c r="C297" s="1"/>
      <c r="D297" s="1"/>
      <c r="E297" s="1"/>
      <c r="F297" s="1"/>
      <c r="H297" s="1"/>
      <c r="J297" s="13"/>
      <c r="L297" s="13"/>
      <c r="N297" s="1"/>
      <c r="P297" s="13"/>
      <c r="R297" s="13"/>
      <c r="T297" s="1"/>
      <c r="V297" s="13"/>
      <c r="X297" s="13"/>
      <c r="Z297" s="1"/>
      <c r="AB297" s="13"/>
      <c r="AD297" s="13"/>
      <c r="AG297" s="1"/>
    </row>
    <row r="298" spans="1:33" s="59" customFormat="1" ht="15">
      <c r="A298" s="1"/>
      <c r="B298" s="1"/>
      <c r="C298" s="1"/>
      <c r="D298" s="1"/>
      <c r="E298" s="1"/>
      <c r="F298" s="1"/>
      <c r="H298" s="1"/>
      <c r="J298" s="13"/>
      <c r="L298" s="13"/>
      <c r="N298" s="1"/>
      <c r="P298" s="13"/>
      <c r="R298" s="13"/>
      <c r="T298" s="1"/>
      <c r="V298" s="13"/>
      <c r="X298" s="13"/>
      <c r="Z298" s="1"/>
      <c r="AB298" s="13"/>
      <c r="AD298" s="13"/>
      <c r="AG298" s="1"/>
    </row>
    <row r="299" spans="1:33" s="59" customFormat="1" ht="15">
      <c r="A299" s="1"/>
      <c r="B299" s="1"/>
      <c r="C299" s="1"/>
      <c r="D299" s="1"/>
      <c r="E299" s="1"/>
      <c r="F299" s="1"/>
      <c r="H299" s="1"/>
      <c r="J299" s="13"/>
      <c r="L299" s="13"/>
      <c r="N299" s="1"/>
      <c r="P299" s="13"/>
      <c r="R299" s="13"/>
      <c r="T299" s="1"/>
      <c r="V299" s="13"/>
      <c r="X299" s="13"/>
      <c r="Z299" s="1"/>
      <c r="AB299" s="13"/>
      <c r="AD299" s="13"/>
      <c r="AG299" s="1"/>
    </row>
    <row r="300" spans="1:33" s="59" customFormat="1" ht="15">
      <c r="A300" s="1"/>
      <c r="B300" s="1"/>
      <c r="C300" s="1"/>
      <c r="D300" s="1"/>
      <c r="E300" s="1"/>
      <c r="F300" s="1"/>
      <c r="H300" s="1"/>
      <c r="J300" s="13"/>
      <c r="L300" s="13"/>
      <c r="N300" s="1"/>
      <c r="P300" s="13"/>
      <c r="R300" s="13"/>
      <c r="T300" s="1"/>
      <c r="V300" s="13"/>
      <c r="X300" s="13"/>
      <c r="Z300" s="1"/>
      <c r="AB300" s="13"/>
      <c r="AD300" s="13"/>
      <c r="AG300" s="1"/>
    </row>
    <row r="301" spans="1:33" s="59" customFormat="1" ht="15">
      <c r="A301" s="1"/>
      <c r="B301" s="1"/>
      <c r="C301" s="1"/>
      <c r="D301" s="1"/>
      <c r="E301" s="1"/>
      <c r="F301" s="1"/>
      <c r="H301" s="1"/>
      <c r="J301" s="13"/>
      <c r="L301" s="13"/>
      <c r="N301" s="1"/>
      <c r="P301" s="13"/>
      <c r="R301" s="13"/>
      <c r="T301" s="1"/>
      <c r="V301" s="13"/>
      <c r="X301" s="13"/>
      <c r="Z301" s="1"/>
      <c r="AB301" s="13"/>
      <c r="AD301" s="13"/>
      <c r="AG301" s="1"/>
    </row>
    <row r="302" spans="1:33" s="59" customFormat="1" ht="15">
      <c r="A302" s="1"/>
      <c r="B302" s="1"/>
      <c r="C302" s="1"/>
      <c r="D302" s="1"/>
      <c r="E302" s="1"/>
      <c r="F302" s="1"/>
      <c r="H302" s="1"/>
      <c r="J302" s="13"/>
      <c r="L302" s="13"/>
      <c r="N302" s="1"/>
      <c r="P302" s="13"/>
      <c r="R302" s="13"/>
      <c r="T302" s="1"/>
      <c r="V302" s="13"/>
      <c r="X302" s="13"/>
      <c r="Z302" s="1"/>
      <c r="AB302" s="13"/>
      <c r="AD302" s="13"/>
      <c r="AG302" s="1"/>
    </row>
    <row r="303" spans="1:33" s="59" customFormat="1" ht="15">
      <c r="A303" s="1"/>
      <c r="B303" s="1"/>
      <c r="C303" s="1"/>
      <c r="D303" s="1"/>
      <c r="E303" s="1"/>
      <c r="F303" s="1"/>
      <c r="H303" s="1"/>
      <c r="J303" s="13"/>
      <c r="L303" s="13"/>
      <c r="N303" s="1"/>
      <c r="P303" s="13"/>
      <c r="R303" s="13"/>
      <c r="T303" s="1"/>
      <c r="V303" s="13"/>
      <c r="X303" s="13"/>
      <c r="Z303" s="1"/>
      <c r="AB303" s="13"/>
      <c r="AD303" s="13"/>
      <c r="AG303" s="1"/>
    </row>
    <row r="304" spans="1:33" s="59" customFormat="1" ht="15">
      <c r="A304" s="1"/>
      <c r="B304" s="1"/>
      <c r="C304" s="1"/>
      <c r="D304" s="1"/>
      <c r="E304" s="1"/>
      <c r="F304" s="1"/>
      <c r="H304" s="1"/>
      <c r="J304" s="13"/>
      <c r="L304" s="13"/>
      <c r="N304" s="1"/>
      <c r="P304" s="13"/>
      <c r="R304" s="13"/>
      <c r="T304" s="1"/>
      <c r="V304" s="13"/>
      <c r="X304" s="13"/>
      <c r="Z304" s="1"/>
      <c r="AB304" s="13"/>
      <c r="AD304" s="13"/>
      <c r="AG304" s="1"/>
    </row>
    <row r="305" spans="1:33" s="59" customFormat="1" ht="15">
      <c r="A305" s="1"/>
      <c r="B305" s="1"/>
      <c r="C305" s="1"/>
      <c r="D305" s="1"/>
      <c r="E305" s="1"/>
      <c r="F305" s="1"/>
      <c r="H305" s="1"/>
      <c r="J305" s="13"/>
      <c r="L305" s="13"/>
      <c r="N305" s="1"/>
      <c r="P305" s="13"/>
      <c r="R305" s="13"/>
      <c r="T305" s="1"/>
      <c r="V305" s="13"/>
      <c r="X305" s="13"/>
      <c r="Z305" s="1"/>
      <c r="AB305" s="13"/>
      <c r="AD305" s="13"/>
      <c r="AG305" s="1"/>
    </row>
    <row r="306" spans="1:33" s="59" customFormat="1" ht="15">
      <c r="A306" s="1"/>
      <c r="B306" s="1"/>
      <c r="C306" s="1"/>
      <c r="D306" s="1"/>
      <c r="E306" s="1"/>
      <c r="F306" s="1"/>
      <c r="H306" s="1"/>
      <c r="J306" s="13"/>
      <c r="L306" s="13"/>
      <c r="N306" s="1"/>
      <c r="P306" s="13"/>
      <c r="R306" s="13"/>
      <c r="T306" s="1"/>
      <c r="V306" s="13"/>
      <c r="X306" s="13"/>
      <c r="Z306" s="1"/>
      <c r="AB306" s="13"/>
      <c r="AD306" s="13"/>
      <c r="AG306" s="1"/>
    </row>
    <row r="307" spans="1:33" s="59" customFormat="1" ht="15">
      <c r="A307" s="1"/>
      <c r="B307" s="1"/>
      <c r="C307" s="1"/>
      <c r="D307" s="1"/>
      <c r="E307" s="1"/>
      <c r="F307" s="1"/>
      <c r="H307" s="1"/>
      <c r="J307" s="13"/>
      <c r="L307" s="13"/>
      <c r="N307" s="1"/>
      <c r="P307" s="13"/>
      <c r="R307" s="13"/>
      <c r="T307" s="1"/>
      <c r="V307" s="13"/>
      <c r="X307" s="13"/>
      <c r="Z307" s="1"/>
      <c r="AB307" s="13"/>
      <c r="AD307" s="13"/>
      <c r="AG307" s="1"/>
    </row>
    <row r="308" spans="1:33" s="59" customFormat="1" ht="15">
      <c r="A308" s="1"/>
      <c r="B308" s="1"/>
      <c r="C308" s="1"/>
      <c r="D308" s="1"/>
      <c r="E308" s="1"/>
      <c r="F308" s="1"/>
      <c r="H308" s="1"/>
      <c r="J308" s="13"/>
      <c r="L308" s="13"/>
      <c r="N308" s="1"/>
      <c r="P308" s="13"/>
      <c r="R308" s="13"/>
      <c r="T308" s="1"/>
      <c r="V308" s="13"/>
      <c r="X308" s="13"/>
      <c r="Z308" s="1"/>
      <c r="AB308" s="13"/>
      <c r="AD308" s="13"/>
      <c r="AG308" s="1"/>
    </row>
    <row r="309" spans="1:33" s="59" customFormat="1" ht="15">
      <c r="A309" s="1"/>
      <c r="B309" s="1"/>
      <c r="C309" s="1"/>
      <c r="D309" s="1"/>
      <c r="E309" s="1"/>
      <c r="F309" s="1"/>
      <c r="H309" s="1"/>
      <c r="J309" s="13"/>
      <c r="L309" s="13"/>
      <c r="N309" s="1"/>
      <c r="P309" s="13"/>
      <c r="R309" s="13"/>
      <c r="T309" s="1"/>
      <c r="V309" s="13"/>
      <c r="X309" s="13"/>
      <c r="Z309" s="1"/>
      <c r="AB309" s="13"/>
      <c r="AD309" s="13"/>
      <c r="AG309" s="1"/>
    </row>
    <row r="310" spans="1:33" s="59" customFormat="1" ht="15">
      <c r="A310" s="1"/>
      <c r="B310" s="1"/>
      <c r="C310" s="1"/>
      <c r="D310" s="1"/>
      <c r="E310" s="1"/>
      <c r="F310" s="1"/>
      <c r="H310" s="1"/>
      <c r="J310" s="13"/>
      <c r="L310" s="13"/>
      <c r="N310" s="1"/>
      <c r="P310" s="13"/>
      <c r="R310" s="13"/>
      <c r="T310" s="1"/>
      <c r="V310" s="13"/>
      <c r="X310" s="13"/>
      <c r="Z310" s="1"/>
      <c r="AB310" s="13"/>
      <c r="AD310" s="13"/>
      <c r="AG310" s="1"/>
    </row>
    <row r="311" spans="1:33" s="59" customFormat="1" ht="15">
      <c r="A311" s="1"/>
      <c r="B311" s="1"/>
      <c r="C311" s="1"/>
      <c r="D311" s="1"/>
      <c r="E311" s="1"/>
      <c r="F311" s="1"/>
      <c r="H311" s="1"/>
      <c r="J311" s="13"/>
      <c r="L311" s="13"/>
      <c r="N311" s="1"/>
      <c r="P311" s="13"/>
      <c r="R311" s="13"/>
      <c r="T311" s="1"/>
      <c r="V311" s="13"/>
      <c r="X311" s="13"/>
      <c r="Z311" s="1"/>
      <c r="AB311" s="13"/>
      <c r="AD311" s="13"/>
      <c r="AG311" s="1"/>
    </row>
    <row r="312" spans="1:33" s="59" customFormat="1" ht="15">
      <c r="A312" s="1"/>
      <c r="B312" s="1"/>
      <c r="C312" s="1"/>
      <c r="D312" s="1"/>
      <c r="E312" s="1"/>
      <c r="F312" s="1"/>
      <c r="H312" s="1"/>
      <c r="J312" s="13"/>
      <c r="L312" s="13"/>
      <c r="N312" s="1"/>
      <c r="P312" s="13"/>
      <c r="R312" s="13"/>
      <c r="T312" s="1"/>
      <c r="V312" s="13"/>
      <c r="X312" s="13"/>
      <c r="Z312" s="1"/>
      <c r="AB312" s="13"/>
      <c r="AD312" s="13"/>
      <c r="AG312" s="1"/>
    </row>
    <row r="313" spans="1:33" s="59" customFormat="1" ht="15">
      <c r="A313" s="1"/>
      <c r="B313" s="1"/>
      <c r="C313" s="1"/>
      <c r="D313" s="1"/>
      <c r="E313" s="1"/>
      <c r="F313" s="1"/>
      <c r="H313" s="1"/>
      <c r="J313" s="13"/>
      <c r="L313" s="13"/>
      <c r="N313" s="1"/>
      <c r="P313" s="13"/>
      <c r="R313" s="13"/>
      <c r="T313" s="1"/>
      <c r="V313" s="13"/>
      <c r="X313" s="13"/>
      <c r="Z313" s="1"/>
      <c r="AB313" s="13"/>
      <c r="AD313" s="13"/>
      <c r="AG313" s="1"/>
    </row>
    <row r="314" spans="1:33" s="59" customFormat="1" ht="15">
      <c r="A314" s="1"/>
      <c r="B314" s="1"/>
      <c r="C314" s="1"/>
      <c r="D314" s="1"/>
      <c r="E314" s="1"/>
      <c r="F314" s="1"/>
      <c r="H314" s="1"/>
      <c r="J314" s="13"/>
      <c r="L314" s="13"/>
      <c r="N314" s="1"/>
      <c r="P314" s="13"/>
      <c r="R314" s="13"/>
      <c r="T314" s="1"/>
      <c r="V314" s="13"/>
      <c r="X314" s="13"/>
      <c r="Z314" s="1"/>
      <c r="AB314" s="13"/>
      <c r="AD314" s="13"/>
      <c r="AG314" s="1"/>
    </row>
    <row r="315" spans="1:33" s="59" customFormat="1" ht="15">
      <c r="A315" s="1"/>
      <c r="B315" s="1"/>
      <c r="C315" s="1"/>
      <c r="D315" s="1"/>
      <c r="E315" s="1"/>
      <c r="F315" s="1"/>
      <c r="H315" s="1"/>
      <c r="J315" s="13"/>
      <c r="L315" s="13"/>
      <c r="N315" s="1"/>
      <c r="P315" s="13"/>
      <c r="R315" s="13"/>
      <c r="T315" s="1"/>
      <c r="V315" s="13"/>
      <c r="X315" s="13"/>
      <c r="Z315" s="1"/>
      <c r="AB315" s="13"/>
      <c r="AD315" s="13"/>
      <c r="AG315" s="1"/>
    </row>
    <row r="316" spans="1:33" s="59" customFormat="1" ht="15">
      <c r="A316" s="1"/>
      <c r="B316" s="1"/>
      <c r="C316" s="1"/>
      <c r="D316" s="1"/>
      <c r="E316" s="1"/>
      <c r="F316" s="1"/>
      <c r="H316" s="1"/>
      <c r="J316" s="13"/>
      <c r="L316" s="13"/>
      <c r="N316" s="1"/>
      <c r="P316" s="13"/>
      <c r="R316" s="13"/>
      <c r="T316" s="1"/>
      <c r="V316" s="13"/>
      <c r="X316" s="13"/>
      <c r="Z316" s="1"/>
      <c r="AB316" s="13"/>
      <c r="AD316" s="13"/>
      <c r="AG316" s="1"/>
    </row>
    <row r="317" spans="1:33" s="59" customFormat="1" ht="15">
      <c r="A317" s="1"/>
      <c r="B317" s="1"/>
      <c r="C317" s="1"/>
      <c r="D317" s="1"/>
      <c r="E317" s="1"/>
      <c r="F317" s="1"/>
      <c r="H317" s="1"/>
      <c r="J317" s="13"/>
      <c r="L317" s="13"/>
      <c r="N317" s="1"/>
      <c r="P317" s="13"/>
      <c r="R317" s="13"/>
      <c r="T317" s="1"/>
      <c r="V317" s="13"/>
      <c r="X317" s="13"/>
      <c r="Z317" s="1"/>
      <c r="AB317" s="13"/>
      <c r="AD317" s="13"/>
      <c r="AG317" s="1"/>
    </row>
    <row r="318" spans="1:33" s="59" customFormat="1" ht="15">
      <c r="A318" s="1"/>
      <c r="B318" s="1"/>
      <c r="C318" s="1"/>
      <c r="D318" s="1"/>
      <c r="E318" s="1"/>
      <c r="F318" s="1"/>
      <c r="H318" s="1"/>
      <c r="J318" s="13"/>
      <c r="L318" s="13"/>
      <c r="N318" s="1"/>
      <c r="P318" s="13"/>
      <c r="R318" s="13"/>
      <c r="T318" s="1"/>
      <c r="V318" s="13"/>
      <c r="X318" s="13"/>
      <c r="Z318" s="1"/>
      <c r="AB318" s="13"/>
      <c r="AD318" s="13"/>
      <c r="AG318" s="1"/>
    </row>
    <row r="319" spans="1:33" s="59" customFormat="1" ht="15">
      <c r="A319" s="1"/>
      <c r="B319" s="1"/>
      <c r="C319" s="1"/>
      <c r="D319" s="1"/>
      <c r="E319" s="1"/>
      <c r="F319" s="1"/>
      <c r="H319" s="1"/>
      <c r="J319" s="13"/>
      <c r="L319" s="13"/>
      <c r="N319" s="1"/>
      <c r="P319" s="13"/>
      <c r="R319" s="13"/>
      <c r="T319" s="1"/>
      <c r="V319" s="13"/>
      <c r="X319" s="13"/>
      <c r="Z319" s="1"/>
      <c r="AB319" s="13"/>
      <c r="AD319" s="13"/>
      <c r="AG319" s="1"/>
    </row>
    <row r="320" spans="1:33" s="59" customFormat="1" ht="15">
      <c r="A320" s="1"/>
      <c r="B320" s="1"/>
      <c r="C320" s="1"/>
      <c r="D320" s="1"/>
      <c r="E320" s="1"/>
      <c r="F320" s="1"/>
      <c r="H320" s="1"/>
      <c r="J320" s="13"/>
      <c r="L320" s="13"/>
      <c r="N320" s="1"/>
      <c r="P320" s="13"/>
      <c r="R320" s="13"/>
      <c r="T320" s="1"/>
      <c r="V320" s="13"/>
      <c r="X320" s="13"/>
      <c r="Z320" s="1"/>
      <c r="AB320" s="13"/>
      <c r="AD320" s="13"/>
      <c r="AG320" s="1"/>
    </row>
    <row r="321" spans="1:33" s="59" customFormat="1" ht="15">
      <c r="A321" s="1"/>
      <c r="B321" s="1"/>
      <c r="C321" s="1"/>
      <c r="D321" s="1"/>
      <c r="E321" s="1"/>
      <c r="F321" s="1"/>
      <c r="H321" s="1"/>
      <c r="J321" s="13"/>
      <c r="L321" s="13"/>
      <c r="N321" s="1"/>
      <c r="P321" s="13"/>
      <c r="R321" s="13"/>
      <c r="T321" s="1"/>
      <c r="V321" s="13"/>
      <c r="X321" s="13"/>
      <c r="Z321" s="1"/>
      <c r="AB321" s="13"/>
      <c r="AD321" s="13"/>
      <c r="AG321" s="1"/>
    </row>
    <row r="322" spans="1:33" s="59" customFormat="1" ht="15">
      <c r="A322" s="1"/>
      <c r="B322" s="1"/>
      <c r="C322" s="1"/>
      <c r="D322" s="1"/>
      <c r="E322" s="1"/>
      <c r="F322" s="1"/>
      <c r="H322" s="1"/>
      <c r="J322" s="13"/>
      <c r="L322" s="13"/>
      <c r="N322" s="1"/>
      <c r="P322" s="13"/>
      <c r="R322" s="13"/>
      <c r="T322" s="1"/>
      <c r="V322" s="13"/>
      <c r="X322" s="13"/>
      <c r="Z322" s="1"/>
      <c r="AB322" s="13"/>
      <c r="AD322" s="13"/>
      <c r="AG322" s="1"/>
    </row>
    <row r="323" spans="1:33" s="59" customFormat="1" ht="15">
      <c r="A323" s="1"/>
      <c r="B323" s="1"/>
      <c r="C323" s="1"/>
      <c r="D323" s="1"/>
      <c r="E323" s="1"/>
      <c r="F323" s="1"/>
      <c r="H323" s="1"/>
      <c r="J323" s="13"/>
      <c r="L323" s="13"/>
      <c r="N323" s="1"/>
      <c r="P323" s="13"/>
      <c r="R323" s="13"/>
      <c r="T323" s="1"/>
      <c r="V323" s="13"/>
      <c r="X323" s="13"/>
      <c r="Z323" s="1"/>
      <c r="AB323" s="13"/>
      <c r="AD323" s="13"/>
      <c r="AG323" s="1"/>
    </row>
    <row r="324" spans="1:33" s="59" customFormat="1" ht="15">
      <c r="A324" s="1"/>
      <c r="B324" s="1"/>
      <c r="C324" s="1"/>
      <c r="D324" s="1"/>
      <c r="E324" s="1"/>
      <c r="F324" s="1"/>
      <c r="H324" s="1"/>
      <c r="J324" s="13"/>
      <c r="L324" s="13"/>
      <c r="N324" s="1"/>
      <c r="P324" s="13"/>
      <c r="R324" s="13"/>
      <c r="T324" s="1"/>
      <c r="V324" s="13"/>
      <c r="X324" s="13"/>
      <c r="Z324" s="1"/>
      <c r="AB324" s="13"/>
      <c r="AD324" s="13"/>
      <c r="AG324" s="1"/>
    </row>
    <row r="325" spans="1:33" s="59" customFormat="1" ht="15">
      <c r="A325" s="1"/>
      <c r="B325" s="1"/>
      <c r="C325" s="1"/>
      <c r="D325" s="1"/>
      <c r="E325" s="1"/>
      <c r="F325" s="1"/>
      <c r="H325" s="1"/>
      <c r="J325" s="13"/>
      <c r="L325" s="13"/>
      <c r="N325" s="1"/>
      <c r="P325" s="13"/>
      <c r="R325" s="13"/>
      <c r="T325" s="1"/>
      <c r="V325" s="13"/>
      <c r="X325" s="13"/>
      <c r="Z325" s="1"/>
      <c r="AB325" s="13"/>
      <c r="AD325" s="13"/>
      <c r="AG325" s="1"/>
    </row>
    <row r="326" spans="1:33" s="59" customFormat="1" ht="15">
      <c r="A326" s="1"/>
      <c r="B326" s="1"/>
      <c r="C326" s="1"/>
      <c r="D326" s="1"/>
      <c r="E326" s="1"/>
      <c r="F326" s="1"/>
      <c r="H326" s="1"/>
      <c r="J326" s="13"/>
      <c r="L326" s="13"/>
      <c r="N326" s="1"/>
      <c r="P326" s="13"/>
      <c r="R326" s="13"/>
      <c r="T326" s="1"/>
      <c r="V326" s="13"/>
      <c r="X326" s="13"/>
      <c r="Z326" s="1"/>
      <c r="AB326" s="13"/>
      <c r="AD326" s="13"/>
      <c r="AG326" s="1"/>
    </row>
    <row r="327" spans="1:33" s="59" customFormat="1" ht="15">
      <c r="A327" s="1"/>
      <c r="B327" s="1"/>
      <c r="C327" s="1"/>
      <c r="D327" s="1"/>
      <c r="E327" s="1"/>
      <c r="F327" s="1"/>
      <c r="H327" s="1"/>
      <c r="J327" s="13"/>
      <c r="L327" s="13"/>
      <c r="N327" s="1"/>
      <c r="P327" s="13"/>
      <c r="R327" s="13"/>
      <c r="T327" s="1"/>
      <c r="V327" s="13"/>
      <c r="X327" s="13"/>
      <c r="Z327" s="1"/>
      <c r="AB327" s="13"/>
      <c r="AD327" s="13"/>
      <c r="AG327" s="1"/>
    </row>
    <row r="328" spans="1:33" s="59" customFormat="1" ht="15">
      <c r="A328" s="1"/>
      <c r="B328" s="1"/>
      <c r="C328" s="1"/>
      <c r="D328" s="1"/>
      <c r="E328" s="1"/>
      <c r="F328" s="1"/>
      <c r="H328" s="1"/>
      <c r="J328" s="13"/>
      <c r="L328" s="13"/>
      <c r="N328" s="1"/>
      <c r="P328" s="13"/>
      <c r="R328" s="13"/>
      <c r="T328" s="1"/>
      <c r="V328" s="13"/>
      <c r="X328" s="13"/>
      <c r="Z328" s="1"/>
      <c r="AB328" s="13"/>
      <c r="AD328" s="13"/>
      <c r="AG328" s="1"/>
    </row>
    <row r="329" spans="1:33" s="59" customFormat="1" ht="15">
      <c r="A329" s="1"/>
      <c r="B329" s="1"/>
      <c r="C329" s="1"/>
      <c r="D329" s="1"/>
      <c r="E329" s="1"/>
      <c r="F329" s="1"/>
      <c r="H329" s="1"/>
      <c r="J329" s="13"/>
      <c r="L329" s="13"/>
      <c r="N329" s="1"/>
      <c r="P329" s="13"/>
      <c r="R329" s="13"/>
      <c r="T329" s="1"/>
      <c r="V329" s="13"/>
      <c r="X329" s="13"/>
      <c r="Z329" s="1"/>
      <c r="AB329" s="13"/>
      <c r="AD329" s="13"/>
      <c r="AG329" s="1"/>
    </row>
    <row r="330" spans="1:33" s="59" customFormat="1" ht="15">
      <c r="A330" s="1"/>
      <c r="B330" s="1"/>
      <c r="C330" s="1"/>
      <c r="D330" s="1"/>
      <c r="E330" s="1"/>
      <c r="F330" s="1"/>
      <c r="H330" s="1"/>
      <c r="J330" s="13"/>
      <c r="L330" s="13"/>
      <c r="N330" s="1"/>
      <c r="P330" s="13"/>
      <c r="R330" s="13"/>
      <c r="T330" s="1"/>
      <c r="V330" s="13"/>
      <c r="X330" s="13"/>
      <c r="Z330" s="1"/>
      <c r="AB330" s="13"/>
      <c r="AD330" s="13"/>
      <c r="AG330" s="1"/>
    </row>
    <row r="331" spans="1:33" s="59" customFormat="1" ht="15">
      <c r="A331" s="1"/>
      <c r="B331" s="1"/>
      <c r="C331" s="1"/>
      <c r="D331" s="1"/>
      <c r="E331" s="1"/>
      <c r="F331" s="1"/>
      <c r="H331" s="1"/>
      <c r="J331" s="13"/>
      <c r="L331" s="13"/>
      <c r="N331" s="1"/>
      <c r="P331" s="13"/>
      <c r="R331" s="13"/>
      <c r="T331" s="1"/>
      <c r="V331" s="13"/>
      <c r="X331" s="13"/>
      <c r="Z331" s="1"/>
      <c r="AB331" s="13"/>
      <c r="AD331" s="13"/>
      <c r="AG331" s="1"/>
    </row>
    <row r="332" spans="1:33" s="59" customFormat="1" ht="15">
      <c r="A332" s="1"/>
      <c r="B332" s="1"/>
      <c r="C332" s="1"/>
      <c r="D332" s="1"/>
      <c r="E332" s="1"/>
      <c r="F332" s="1"/>
      <c r="H332" s="1"/>
      <c r="J332" s="13"/>
      <c r="L332" s="13"/>
      <c r="N332" s="1"/>
      <c r="P332" s="13"/>
      <c r="R332" s="13"/>
      <c r="T332" s="1"/>
      <c r="V332" s="13"/>
      <c r="X332" s="13"/>
      <c r="Z332" s="1"/>
      <c r="AB332" s="13"/>
      <c r="AD332" s="13"/>
      <c r="AG332" s="1"/>
    </row>
    <row r="333" spans="1:33" s="59" customFormat="1" ht="15">
      <c r="A333" s="1"/>
      <c r="B333" s="1"/>
      <c r="C333" s="1"/>
      <c r="D333" s="1"/>
      <c r="E333" s="1"/>
      <c r="F333" s="1"/>
      <c r="H333" s="1"/>
      <c r="J333" s="13"/>
      <c r="L333" s="13"/>
      <c r="N333" s="1"/>
      <c r="P333" s="13"/>
      <c r="R333" s="13"/>
      <c r="T333" s="1"/>
      <c r="V333" s="13"/>
      <c r="X333" s="13"/>
      <c r="Z333" s="1"/>
      <c r="AB333" s="13"/>
      <c r="AD333" s="13"/>
      <c r="AG333" s="1"/>
    </row>
    <row r="334" spans="1:33" s="59" customFormat="1" ht="15">
      <c r="A334" s="1"/>
      <c r="B334" s="1"/>
      <c r="C334" s="1"/>
      <c r="D334" s="1"/>
      <c r="E334" s="1"/>
      <c r="F334" s="1"/>
      <c r="H334" s="1"/>
      <c r="J334" s="13"/>
      <c r="L334" s="13"/>
      <c r="N334" s="1"/>
      <c r="P334" s="13"/>
      <c r="R334" s="13"/>
      <c r="T334" s="1"/>
      <c r="V334" s="13"/>
      <c r="X334" s="13"/>
      <c r="Z334" s="1"/>
      <c r="AB334" s="13"/>
      <c r="AD334" s="13"/>
      <c r="AG334" s="1"/>
    </row>
    <row r="335" spans="1:33" s="59" customFormat="1" ht="15">
      <c r="A335" s="1"/>
      <c r="B335" s="1"/>
      <c r="C335" s="1"/>
      <c r="D335" s="1"/>
      <c r="E335" s="1"/>
      <c r="F335" s="1"/>
      <c r="H335" s="1"/>
      <c r="J335" s="13"/>
      <c r="L335" s="13"/>
      <c r="N335" s="1"/>
      <c r="P335" s="13"/>
      <c r="R335" s="13"/>
      <c r="T335" s="1"/>
      <c r="V335" s="13"/>
      <c r="X335" s="13"/>
      <c r="Z335" s="1"/>
      <c r="AB335" s="13"/>
      <c r="AD335" s="13"/>
      <c r="AG335" s="1"/>
    </row>
    <row r="336" spans="1:33" s="59" customFormat="1" ht="15">
      <c r="A336" s="1"/>
      <c r="B336" s="1"/>
      <c r="C336" s="1"/>
      <c r="D336" s="1"/>
      <c r="E336" s="1"/>
      <c r="F336" s="1"/>
      <c r="H336" s="1"/>
      <c r="J336" s="13"/>
      <c r="L336" s="13"/>
      <c r="N336" s="1"/>
      <c r="P336" s="13"/>
      <c r="R336" s="13"/>
      <c r="T336" s="1"/>
      <c r="V336" s="13"/>
      <c r="X336" s="13"/>
      <c r="Z336" s="1"/>
      <c r="AB336" s="13"/>
      <c r="AD336" s="13"/>
      <c r="AG336" s="1"/>
    </row>
    <row r="337" spans="1:33" s="59" customFormat="1" ht="15">
      <c r="A337" s="1"/>
      <c r="B337" s="1"/>
      <c r="C337" s="1"/>
      <c r="D337" s="1"/>
      <c r="E337" s="1"/>
      <c r="F337" s="1"/>
      <c r="H337" s="1"/>
      <c r="J337" s="13"/>
      <c r="L337" s="13"/>
      <c r="N337" s="1"/>
      <c r="P337" s="13"/>
      <c r="R337" s="13"/>
      <c r="T337" s="1"/>
      <c r="V337" s="13"/>
      <c r="X337" s="13"/>
      <c r="Z337" s="1"/>
      <c r="AB337" s="13"/>
      <c r="AD337" s="13"/>
      <c r="AG337" s="1"/>
    </row>
    <row r="338" spans="1:33" s="59" customFormat="1" ht="15">
      <c r="A338" s="1"/>
      <c r="B338" s="1"/>
      <c r="C338" s="1"/>
      <c r="D338" s="1"/>
      <c r="E338" s="1"/>
      <c r="F338" s="1"/>
      <c r="H338" s="1"/>
      <c r="J338" s="13"/>
      <c r="L338" s="13"/>
      <c r="N338" s="1"/>
      <c r="P338" s="13"/>
      <c r="R338" s="13"/>
      <c r="T338" s="1"/>
      <c r="V338" s="13"/>
      <c r="X338" s="13"/>
      <c r="Z338" s="1"/>
      <c r="AB338" s="13"/>
      <c r="AD338" s="13"/>
      <c r="AG338" s="1"/>
    </row>
    <row r="339" spans="1:33" s="59" customFormat="1" ht="15">
      <c r="A339" s="1"/>
      <c r="B339" s="1"/>
      <c r="C339" s="1"/>
      <c r="D339" s="1"/>
      <c r="E339" s="1"/>
      <c r="F339" s="1"/>
      <c r="H339" s="1"/>
      <c r="J339" s="13"/>
      <c r="L339" s="13"/>
      <c r="N339" s="1"/>
      <c r="P339" s="13"/>
      <c r="R339" s="13"/>
      <c r="T339" s="1"/>
      <c r="V339" s="13"/>
      <c r="X339" s="13"/>
      <c r="Z339" s="1"/>
      <c r="AB339" s="13"/>
      <c r="AD339" s="13"/>
      <c r="AG339" s="1"/>
    </row>
    <row r="340" spans="1:33" s="59" customFormat="1" ht="15">
      <c r="A340" s="1"/>
      <c r="B340" s="1"/>
      <c r="C340" s="1"/>
      <c r="D340" s="1"/>
      <c r="E340" s="1"/>
      <c r="F340" s="1"/>
      <c r="H340" s="1"/>
      <c r="J340" s="13"/>
      <c r="L340" s="13"/>
      <c r="N340" s="1"/>
      <c r="P340" s="13"/>
      <c r="R340" s="13"/>
      <c r="T340" s="1"/>
      <c r="V340" s="13"/>
      <c r="X340" s="13"/>
      <c r="Z340" s="1"/>
      <c r="AB340" s="13"/>
      <c r="AD340" s="13"/>
      <c r="AG340" s="1"/>
    </row>
    <row r="341" spans="1:33" s="59" customFormat="1" ht="15">
      <c r="A341" s="1"/>
      <c r="B341" s="1"/>
      <c r="C341" s="1"/>
      <c r="D341" s="1"/>
      <c r="E341" s="1"/>
      <c r="F341" s="1"/>
      <c r="H341" s="1"/>
      <c r="J341" s="13"/>
      <c r="L341" s="13"/>
      <c r="N341" s="1"/>
      <c r="P341" s="13"/>
      <c r="R341" s="13"/>
      <c r="T341" s="1"/>
      <c r="V341" s="13"/>
      <c r="X341" s="13"/>
      <c r="Z341" s="1"/>
      <c r="AB341" s="13"/>
      <c r="AD341" s="13"/>
      <c r="AG341" s="1"/>
    </row>
    <row r="342" spans="1:33" s="59" customFormat="1" ht="15">
      <c r="A342" s="1"/>
      <c r="B342" s="1"/>
      <c r="C342" s="1"/>
      <c r="D342" s="1"/>
      <c r="E342" s="1"/>
      <c r="F342" s="1"/>
      <c r="H342" s="1"/>
      <c r="J342" s="13"/>
      <c r="L342" s="13"/>
      <c r="N342" s="1"/>
      <c r="P342" s="13"/>
      <c r="R342" s="13"/>
      <c r="T342" s="1"/>
      <c r="V342" s="13"/>
      <c r="X342" s="13"/>
      <c r="Z342" s="1"/>
      <c r="AB342" s="13"/>
      <c r="AD342" s="13"/>
      <c r="AG342" s="1"/>
    </row>
    <row r="343" spans="1:33" s="59" customFormat="1" ht="15">
      <c r="A343" s="1"/>
      <c r="B343" s="1"/>
      <c r="C343" s="1"/>
      <c r="D343" s="1"/>
      <c r="E343" s="1"/>
      <c r="F343" s="1"/>
      <c r="H343" s="1"/>
      <c r="J343" s="13"/>
      <c r="L343" s="13"/>
      <c r="N343" s="1"/>
      <c r="P343" s="13"/>
      <c r="R343" s="13"/>
      <c r="T343" s="1"/>
      <c r="V343" s="13"/>
      <c r="X343" s="13"/>
      <c r="Z343" s="1"/>
      <c r="AB343" s="13"/>
      <c r="AD343" s="13"/>
      <c r="AG343" s="1"/>
    </row>
    <row r="344" spans="1:33" s="59" customFormat="1" ht="15">
      <c r="A344" s="1"/>
      <c r="B344" s="1"/>
      <c r="C344" s="1"/>
      <c r="D344" s="1"/>
      <c r="E344" s="1"/>
      <c r="F344" s="1"/>
      <c r="H344" s="1"/>
      <c r="J344" s="13"/>
      <c r="L344" s="13"/>
      <c r="N344" s="1"/>
      <c r="P344" s="13"/>
      <c r="R344" s="13"/>
      <c r="T344" s="1"/>
      <c r="V344" s="13"/>
      <c r="X344" s="13"/>
      <c r="Z344" s="1"/>
      <c r="AB344" s="13"/>
      <c r="AD344" s="13"/>
      <c r="AG344" s="1"/>
    </row>
    <row r="345" spans="1:33" s="59" customFormat="1" ht="15">
      <c r="A345" s="1"/>
      <c r="B345" s="1"/>
      <c r="C345" s="1"/>
      <c r="D345" s="1"/>
      <c r="E345" s="1"/>
      <c r="F345" s="1"/>
      <c r="H345" s="1"/>
      <c r="J345" s="13"/>
      <c r="L345" s="13"/>
      <c r="N345" s="1"/>
      <c r="P345" s="13"/>
      <c r="R345" s="13"/>
      <c r="T345" s="1"/>
      <c r="V345" s="13"/>
      <c r="X345" s="13"/>
      <c r="Z345" s="1"/>
      <c r="AB345" s="13"/>
      <c r="AD345" s="13"/>
      <c r="AG345" s="1"/>
    </row>
    <row r="346" spans="1:33" s="59" customFormat="1" ht="15">
      <c r="A346" s="1"/>
      <c r="B346" s="1"/>
      <c r="C346" s="1"/>
      <c r="D346" s="1"/>
      <c r="E346" s="1"/>
      <c r="F346" s="1"/>
      <c r="H346" s="1"/>
      <c r="J346" s="13"/>
      <c r="L346" s="13"/>
      <c r="N346" s="1"/>
      <c r="P346" s="13"/>
      <c r="R346" s="13"/>
      <c r="T346" s="1"/>
      <c r="V346" s="13"/>
      <c r="X346" s="13"/>
      <c r="Z346" s="1"/>
      <c r="AB346" s="13"/>
      <c r="AD346" s="13"/>
      <c r="AG346" s="1"/>
    </row>
    <row r="347" spans="1:33" s="59" customFormat="1" ht="15">
      <c r="A347" s="1"/>
      <c r="B347" s="1"/>
      <c r="C347" s="1"/>
      <c r="D347" s="1"/>
      <c r="E347" s="1"/>
      <c r="F347" s="1"/>
      <c r="H347" s="1"/>
      <c r="J347" s="13"/>
      <c r="L347" s="13"/>
      <c r="N347" s="1"/>
      <c r="P347" s="13"/>
      <c r="R347" s="13"/>
      <c r="T347" s="1"/>
      <c r="V347" s="13"/>
      <c r="X347" s="13"/>
      <c r="Z347" s="1"/>
      <c r="AB347" s="13"/>
      <c r="AD347" s="13"/>
      <c r="AG347" s="1"/>
    </row>
    <row r="348" spans="1:33" s="59" customFormat="1" ht="15">
      <c r="A348" s="1"/>
      <c r="B348" s="1"/>
      <c r="C348" s="1"/>
      <c r="D348" s="1"/>
      <c r="E348" s="1"/>
      <c r="F348" s="1"/>
      <c r="H348" s="1"/>
      <c r="J348" s="13"/>
      <c r="L348" s="13"/>
      <c r="N348" s="1"/>
      <c r="P348" s="13"/>
      <c r="R348" s="13"/>
      <c r="T348" s="1"/>
      <c r="V348" s="13"/>
      <c r="X348" s="13"/>
      <c r="Z348" s="1"/>
      <c r="AB348" s="13"/>
      <c r="AD348" s="13"/>
      <c r="AG348" s="1"/>
    </row>
    <row r="349" spans="1:33" s="59" customFormat="1" ht="15">
      <c r="A349" s="1"/>
      <c r="B349" s="1"/>
      <c r="C349" s="1"/>
      <c r="D349" s="1"/>
      <c r="E349" s="1"/>
      <c r="F349" s="1"/>
      <c r="H349" s="1"/>
      <c r="J349" s="13"/>
      <c r="L349" s="13"/>
      <c r="N349" s="1"/>
      <c r="P349" s="13"/>
      <c r="R349" s="13"/>
      <c r="T349" s="1"/>
      <c r="V349" s="13"/>
      <c r="X349" s="13"/>
      <c r="Z349" s="1"/>
      <c r="AB349" s="13"/>
      <c r="AD349" s="13"/>
      <c r="AG349" s="1"/>
    </row>
    <row r="350" spans="1:33" s="59" customFormat="1" ht="15">
      <c r="A350" s="1"/>
      <c r="B350" s="1"/>
      <c r="C350" s="1"/>
      <c r="D350" s="1"/>
      <c r="E350" s="1"/>
      <c r="F350" s="1"/>
      <c r="H350" s="1"/>
      <c r="J350" s="13"/>
      <c r="L350" s="13"/>
      <c r="N350" s="1"/>
      <c r="P350" s="13"/>
      <c r="R350" s="13"/>
      <c r="T350" s="1"/>
      <c r="V350" s="13"/>
      <c r="X350" s="13"/>
      <c r="Z350" s="1"/>
      <c r="AB350" s="13"/>
      <c r="AD350" s="13"/>
      <c r="AG350" s="1"/>
    </row>
    <row r="351" spans="1:33" s="59" customFormat="1" ht="15">
      <c r="A351" s="1"/>
      <c r="B351" s="1"/>
      <c r="C351" s="1"/>
      <c r="D351" s="1"/>
      <c r="E351" s="1"/>
      <c r="F351" s="1"/>
      <c r="H351" s="1"/>
      <c r="J351" s="13"/>
      <c r="L351" s="13"/>
      <c r="N351" s="1"/>
      <c r="P351" s="13"/>
      <c r="R351" s="13"/>
      <c r="T351" s="1"/>
      <c r="V351" s="13"/>
      <c r="X351" s="13"/>
      <c r="Z351" s="1"/>
      <c r="AB351" s="13"/>
      <c r="AD351" s="13"/>
      <c r="AG351" s="1"/>
    </row>
    <row r="352" spans="1:33" s="59" customFormat="1" ht="15">
      <c r="A352" s="1"/>
      <c r="B352" s="1"/>
      <c r="C352" s="1"/>
      <c r="D352" s="1"/>
      <c r="E352" s="1"/>
      <c r="F352" s="1"/>
      <c r="H352" s="1"/>
      <c r="J352" s="13"/>
      <c r="L352" s="13"/>
      <c r="N352" s="1"/>
      <c r="P352" s="13"/>
      <c r="R352" s="13"/>
      <c r="T352" s="1"/>
      <c r="V352" s="13"/>
      <c r="X352" s="13"/>
      <c r="Z352" s="1"/>
      <c r="AB352" s="13"/>
      <c r="AD352" s="13"/>
      <c r="AG352" s="1"/>
    </row>
    <row r="353" spans="1:33" s="59" customFormat="1" ht="15">
      <c r="A353" s="1"/>
      <c r="B353" s="1"/>
      <c r="C353" s="1"/>
      <c r="D353" s="1"/>
      <c r="E353" s="1"/>
      <c r="F353" s="1"/>
      <c r="H353" s="1"/>
      <c r="J353" s="13"/>
      <c r="L353" s="13"/>
      <c r="N353" s="1"/>
      <c r="P353" s="13"/>
      <c r="R353" s="13"/>
      <c r="T353" s="1"/>
      <c r="V353" s="13"/>
      <c r="X353" s="13"/>
      <c r="Z353" s="1"/>
      <c r="AB353" s="13"/>
      <c r="AD353" s="13"/>
      <c r="AG353" s="1"/>
    </row>
    <row r="354" spans="1:33" s="59" customFormat="1" ht="15">
      <c r="A354" s="1"/>
      <c r="B354" s="1"/>
      <c r="C354" s="1"/>
      <c r="D354" s="1"/>
      <c r="E354" s="1"/>
      <c r="F354" s="1"/>
      <c r="H354" s="1"/>
      <c r="J354" s="13"/>
      <c r="L354" s="13"/>
      <c r="N354" s="1"/>
      <c r="P354" s="13"/>
      <c r="R354" s="13"/>
      <c r="T354" s="1"/>
      <c r="V354" s="13"/>
      <c r="X354" s="13"/>
      <c r="Z354" s="1"/>
      <c r="AB354" s="13"/>
      <c r="AD354" s="13"/>
      <c r="AG354" s="1"/>
    </row>
    <row r="355" spans="1:33" s="59" customFormat="1" ht="15">
      <c r="A355" s="1"/>
      <c r="B355" s="1"/>
      <c r="C355" s="1"/>
      <c r="D355" s="1"/>
      <c r="E355" s="1"/>
      <c r="F355" s="1"/>
      <c r="H355" s="1"/>
      <c r="J355" s="13"/>
      <c r="L355" s="13"/>
      <c r="N355" s="1"/>
      <c r="P355" s="13"/>
      <c r="R355" s="13"/>
      <c r="T355" s="1"/>
      <c r="V355" s="13"/>
      <c r="X355" s="13"/>
      <c r="Z355" s="1"/>
      <c r="AB355" s="13"/>
      <c r="AD355" s="13"/>
      <c r="AG355" s="1"/>
    </row>
    <row r="356" spans="1:33" s="59" customFormat="1" ht="15">
      <c r="A356" s="1"/>
      <c r="B356" s="1"/>
      <c r="C356" s="1"/>
      <c r="D356" s="1"/>
      <c r="E356" s="1"/>
      <c r="F356" s="1"/>
      <c r="H356" s="1"/>
      <c r="J356" s="13"/>
      <c r="L356" s="13"/>
      <c r="N356" s="1"/>
      <c r="P356" s="13"/>
      <c r="R356" s="13"/>
      <c r="T356" s="1"/>
      <c r="V356" s="13"/>
      <c r="X356" s="13"/>
      <c r="Z356" s="1"/>
      <c r="AB356" s="13"/>
      <c r="AD356" s="13"/>
      <c r="AG356" s="1"/>
    </row>
    <row r="357" spans="1:33" s="59" customFormat="1" ht="15">
      <c r="A357" s="1"/>
      <c r="B357" s="1"/>
      <c r="C357" s="1"/>
      <c r="D357" s="1"/>
      <c r="E357" s="1"/>
      <c r="F357" s="1"/>
      <c r="H357" s="1"/>
      <c r="J357" s="13"/>
      <c r="L357" s="13"/>
      <c r="N357" s="1"/>
      <c r="P357" s="13"/>
      <c r="R357" s="13"/>
      <c r="T357" s="1"/>
      <c r="V357" s="13"/>
      <c r="X357" s="13"/>
      <c r="Z357" s="1"/>
      <c r="AB357" s="13"/>
      <c r="AD357" s="13"/>
      <c r="AG357" s="1"/>
    </row>
    <row r="358" spans="1:33" s="59" customFormat="1" ht="15">
      <c r="A358" s="1"/>
      <c r="B358" s="1"/>
      <c r="C358" s="1"/>
      <c r="D358" s="1"/>
      <c r="E358" s="1"/>
      <c r="F358" s="1"/>
      <c r="H358" s="1"/>
      <c r="J358" s="13"/>
      <c r="L358" s="13"/>
      <c r="N358" s="1"/>
      <c r="P358" s="13"/>
      <c r="R358" s="13"/>
      <c r="T358" s="1"/>
      <c r="V358" s="13"/>
      <c r="X358" s="13"/>
      <c r="Z358" s="1"/>
      <c r="AB358" s="13"/>
      <c r="AD358" s="13"/>
      <c r="AG358" s="1"/>
    </row>
    <row r="359" spans="1:33" s="59" customFormat="1" ht="15">
      <c r="A359" s="1"/>
      <c r="B359" s="1"/>
      <c r="C359" s="1"/>
      <c r="D359" s="1"/>
      <c r="E359" s="1"/>
      <c r="F359" s="1"/>
      <c r="H359" s="1"/>
      <c r="J359" s="13"/>
      <c r="L359" s="13"/>
      <c r="N359" s="1"/>
      <c r="P359" s="13"/>
      <c r="R359" s="13"/>
      <c r="T359" s="1"/>
      <c r="V359" s="13"/>
      <c r="X359" s="13"/>
      <c r="Z359" s="1"/>
      <c r="AB359" s="13"/>
      <c r="AD359" s="13"/>
      <c r="AG359" s="1"/>
    </row>
    <row r="360" spans="1:33" s="59" customFormat="1" ht="15">
      <c r="A360" s="1"/>
      <c r="B360" s="1"/>
      <c r="C360" s="1"/>
      <c r="D360" s="1"/>
      <c r="E360" s="1"/>
      <c r="F360" s="1"/>
      <c r="H360" s="1"/>
      <c r="J360" s="13"/>
      <c r="L360" s="13"/>
      <c r="N360" s="1"/>
      <c r="P360" s="13"/>
      <c r="R360" s="13"/>
      <c r="T360" s="1"/>
      <c r="V360" s="13"/>
      <c r="X360" s="13"/>
      <c r="Z360" s="1"/>
      <c r="AB360" s="13"/>
      <c r="AD360" s="13"/>
      <c r="AG360" s="1"/>
    </row>
    <row r="361" spans="1:33" s="59" customFormat="1" ht="15">
      <c r="A361" s="1"/>
      <c r="B361" s="1"/>
      <c r="C361" s="1"/>
      <c r="D361" s="1"/>
      <c r="E361" s="1"/>
      <c r="F361" s="1"/>
      <c r="H361" s="1"/>
      <c r="J361" s="13"/>
      <c r="L361" s="13"/>
      <c r="N361" s="1"/>
      <c r="P361" s="13"/>
      <c r="R361" s="13"/>
      <c r="T361" s="1"/>
      <c r="V361" s="13"/>
      <c r="X361" s="13"/>
      <c r="Z361" s="1"/>
      <c r="AB361" s="13"/>
      <c r="AD361" s="13"/>
      <c r="AG361" s="1"/>
    </row>
    <row r="362" spans="1:33" s="59" customFormat="1" ht="15">
      <c r="A362" s="1"/>
      <c r="B362" s="1"/>
      <c r="C362" s="1"/>
      <c r="D362" s="1"/>
      <c r="E362" s="1"/>
      <c r="F362" s="1"/>
      <c r="H362" s="1"/>
      <c r="J362" s="13"/>
      <c r="L362" s="13"/>
      <c r="N362" s="1"/>
      <c r="P362" s="13"/>
      <c r="R362" s="13"/>
      <c r="T362" s="1"/>
      <c r="V362" s="13"/>
      <c r="X362" s="13"/>
      <c r="Z362" s="1"/>
      <c r="AB362" s="13"/>
      <c r="AD362" s="13"/>
      <c r="AG362" s="1"/>
    </row>
    <row r="363" spans="1:33" s="59" customFormat="1" ht="15">
      <c r="A363" s="1"/>
      <c r="B363" s="1"/>
      <c r="C363" s="1"/>
      <c r="D363" s="1"/>
      <c r="E363" s="1"/>
      <c r="F363" s="1"/>
      <c r="H363" s="1"/>
      <c r="J363" s="13"/>
      <c r="L363" s="13"/>
      <c r="N363" s="1"/>
      <c r="P363" s="13"/>
      <c r="R363" s="13"/>
      <c r="T363" s="1"/>
      <c r="V363" s="13"/>
      <c r="X363" s="13"/>
      <c r="Z363" s="1"/>
      <c r="AB363" s="13"/>
      <c r="AD363" s="13"/>
      <c r="AG363" s="1"/>
    </row>
    <row r="364" spans="1:33" s="59" customFormat="1" ht="15">
      <c r="A364" s="1"/>
      <c r="B364" s="1"/>
      <c r="C364" s="1"/>
      <c r="D364" s="1"/>
      <c r="E364" s="1"/>
      <c r="F364" s="1"/>
      <c r="H364" s="1"/>
      <c r="J364" s="13"/>
      <c r="L364" s="13"/>
      <c r="N364" s="1"/>
      <c r="P364" s="13"/>
      <c r="R364" s="13"/>
      <c r="T364" s="1"/>
      <c r="V364" s="13"/>
      <c r="X364" s="13"/>
      <c r="Z364" s="1"/>
      <c r="AB364" s="13"/>
      <c r="AD364" s="13"/>
      <c r="AG364" s="1"/>
    </row>
    <row r="365" spans="1:33" s="59" customFormat="1" ht="15">
      <c r="A365" s="1"/>
      <c r="B365" s="1"/>
      <c r="C365" s="1"/>
      <c r="D365" s="1"/>
      <c r="E365" s="1"/>
      <c r="F365" s="1"/>
      <c r="H365" s="1"/>
      <c r="J365" s="13"/>
      <c r="L365" s="13"/>
      <c r="N365" s="1"/>
      <c r="P365" s="13"/>
      <c r="R365" s="13"/>
      <c r="T365" s="1"/>
      <c r="V365" s="13"/>
      <c r="X365" s="13"/>
      <c r="Z365" s="1"/>
      <c r="AB365" s="13"/>
      <c r="AD365" s="13"/>
      <c r="AG365" s="1"/>
    </row>
    <row r="366" spans="1:33" s="59" customFormat="1" ht="15">
      <c r="A366" s="1"/>
      <c r="B366" s="1"/>
      <c r="C366" s="1"/>
      <c r="D366" s="1"/>
      <c r="E366" s="1"/>
      <c r="F366" s="1"/>
      <c r="H366" s="1"/>
      <c r="J366" s="13"/>
      <c r="L366" s="13"/>
      <c r="N366" s="1"/>
      <c r="P366" s="13"/>
      <c r="R366" s="13"/>
      <c r="T366" s="1"/>
      <c r="V366" s="13"/>
      <c r="X366" s="13"/>
      <c r="Z366" s="1"/>
      <c r="AB366" s="13"/>
      <c r="AD366" s="13"/>
      <c r="AG366" s="1"/>
    </row>
    <row r="367" spans="1:33" s="59" customFormat="1" ht="15">
      <c r="A367" s="1"/>
      <c r="B367" s="1"/>
      <c r="C367" s="1"/>
      <c r="D367" s="1"/>
      <c r="E367" s="1"/>
      <c r="F367" s="1"/>
      <c r="H367" s="1"/>
      <c r="J367" s="13"/>
      <c r="L367" s="13"/>
      <c r="N367" s="1"/>
      <c r="P367" s="13"/>
      <c r="R367" s="13"/>
      <c r="T367" s="1"/>
      <c r="V367" s="13"/>
      <c r="X367" s="13"/>
      <c r="Z367" s="1"/>
      <c r="AB367" s="13"/>
      <c r="AD367" s="13"/>
      <c r="AG367" s="1"/>
    </row>
    <row r="368" spans="1:33" s="59" customFormat="1" ht="15">
      <c r="A368" s="1"/>
      <c r="B368" s="1"/>
      <c r="C368" s="1"/>
      <c r="D368" s="1"/>
      <c r="E368" s="1"/>
      <c r="F368" s="1"/>
      <c r="H368" s="1"/>
      <c r="J368" s="13"/>
      <c r="L368" s="13"/>
      <c r="N368" s="1"/>
      <c r="P368" s="13"/>
      <c r="R368" s="13"/>
      <c r="T368" s="1"/>
      <c r="V368" s="13"/>
      <c r="X368" s="13"/>
      <c r="Z368" s="1"/>
      <c r="AB368" s="13"/>
      <c r="AD368" s="13"/>
      <c r="AG368" s="1"/>
    </row>
    <row r="369" spans="1:33" s="59" customFormat="1" ht="15">
      <c r="A369" s="1"/>
      <c r="B369" s="1"/>
      <c r="C369" s="1"/>
      <c r="D369" s="1"/>
      <c r="E369" s="1"/>
      <c r="F369" s="1"/>
      <c r="H369" s="1"/>
      <c r="J369" s="13"/>
      <c r="L369" s="13"/>
      <c r="N369" s="1"/>
      <c r="P369" s="13"/>
      <c r="R369" s="13"/>
      <c r="T369" s="1"/>
      <c r="V369" s="13"/>
      <c r="X369" s="13"/>
      <c r="Z369" s="1"/>
      <c r="AB369" s="13"/>
      <c r="AD369" s="13"/>
      <c r="AG369" s="1"/>
    </row>
    <row r="370" spans="1:33" s="59" customFormat="1" ht="15">
      <c r="A370" s="1"/>
      <c r="B370" s="1"/>
      <c r="C370" s="1"/>
      <c r="D370" s="1"/>
      <c r="E370" s="1"/>
      <c r="F370" s="1"/>
      <c r="H370" s="1"/>
      <c r="J370" s="13"/>
      <c r="L370" s="13"/>
      <c r="N370" s="1"/>
      <c r="P370" s="13"/>
      <c r="R370" s="13"/>
      <c r="T370" s="1"/>
      <c r="V370" s="13"/>
      <c r="X370" s="13"/>
      <c r="Z370" s="1"/>
      <c r="AB370" s="13"/>
      <c r="AD370" s="13"/>
      <c r="AG370" s="1"/>
    </row>
    <row r="371" spans="1:33" s="59" customFormat="1" ht="15">
      <c r="A371" s="1"/>
      <c r="B371" s="1"/>
      <c r="C371" s="1"/>
      <c r="D371" s="1"/>
      <c r="E371" s="1"/>
      <c r="F371" s="1"/>
      <c r="H371" s="1"/>
      <c r="J371" s="13"/>
      <c r="L371" s="13"/>
      <c r="N371" s="1"/>
      <c r="P371" s="13"/>
      <c r="R371" s="13"/>
      <c r="T371" s="1"/>
      <c r="V371" s="13"/>
      <c r="X371" s="13"/>
      <c r="Z371" s="1"/>
      <c r="AB371" s="13"/>
      <c r="AD371" s="13"/>
      <c r="AG371" s="1"/>
    </row>
    <row r="372" spans="1:33" s="59" customFormat="1" ht="15">
      <c r="A372" s="1"/>
      <c r="B372" s="1"/>
      <c r="C372" s="1"/>
      <c r="D372" s="1"/>
      <c r="E372" s="1"/>
      <c r="F372" s="1"/>
      <c r="H372" s="1"/>
      <c r="J372" s="13"/>
      <c r="L372" s="13"/>
      <c r="N372" s="1"/>
      <c r="P372" s="13"/>
      <c r="R372" s="13"/>
      <c r="T372" s="1"/>
      <c r="V372" s="13"/>
      <c r="X372" s="13"/>
      <c r="Z372" s="1"/>
      <c r="AB372" s="13"/>
      <c r="AD372" s="13"/>
      <c r="AG372" s="1"/>
    </row>
    <row r="373" spans="1:33" s="59" customFormat="1" ht="15">
      <c r="A373" s="1"/>
      <c r="B373" s="1"/>
      <c r="C373" s="1"/>
      <c r="D373" s="1"/>
      <c r="E373" s="1"/>
      <c r="F373" s="1"/>
      <c r="H373" s="1"/>
      <c r="J373" s="13"/>
      <c r="L373" s="13"/>
      <c r="N373" s="1"/>
      <c r="P373" s="13"/>
      <c r="R373" s="13"/>
      <c r="T373" s="1"/>
      <c r="V373" s="13"/>
      <c r="X373" s="13"/>
      <c r="Z373" s="1"/>
      <c r="AB373" s="13"/>
      <c r="AD373" s="13"/>
      <c r="AG373" s="1"/>
    </row>
    <row r="374" spans="1:33" s="59" customFormat="1" ht="15">
      <c r="A374" s="1"/>
      <c r="B374" s="1"/>
      <c r="C374" s="1"/>
      <c r="D374" s="1"/>
      <c r="E374" s="1"/>
      <c r="F374" s="1"/>
      <c r="H374" s="1"/>
      <c r="J374" s="13"/>
      <c r="L374" s="13"/>
      <c r="N374" s="1"/>
      <c r="P374" s="13"/>
      <c r="R374" s="13"/>
      <c r="T374" s="1"/>
      <c r="V374" s="13"/>
      <c r="X374" s="13"/>
      <c r="Z374" s="1"/>
      <c r="AB374" s="13"/>
      <c r="AD374" s="13"/>
      <c r="AG374" s="1"/>
    </row>
    <row r="375" spans="1:33" s="59" customFormat="1" ht="15">
      <c r="A375" s="1"/>
      <c r="B375" s="1"/>
      <c r="C375" s="1"/>
      <c r="D375" s="1"/>
      <c r="E375" s="1"/>
      <c r="F375" s="1"/>
      <c r="H375" s="1"/>
      <c r="J375" s="13"/>
      <c r="L375" s="13"/>
      <c r="N375" s="1"/>
      <c r="P375" s="13"/>
      <c r="R375" s="13"/>
      <c r="T375" s="1"/>
      <c r="V375" s="13"/>
      <c r="X375" s="13"/>
      <c r="Z375" s="1"/>
      <c r="AB375" s="13"/>
      <c r="AD375" s="13"/>
      <c r="AG375" s="1"/>
    </row>
    <row r="376" spans="1:33" s="59" customFormat="1" ht="15">
      <c r="A376" s="1"/>
      <c r="B376" s="1"/>
      <c r="C376" s="1"/>
      <c r="D376" s="1"/>
      <c r="E376" s="1"/>
      <c r="F376" s="1"/>
      <c r="H376" s="1"/>
      <c r="J376" s="13"/>
      <c r="L376" s="13"/>
      <c r="N376" s="1"/>
      <c r="P376" s="13"/>
      <c r="R376" s="13"/>
      <c r="T376" s="1"/>
      <c r="V376" s="13"/>
      <c r="X376" s="13"/>
      <c r="Z376" s="1"/>
      <c r="AB376" s="13"/>
      <c r="AD376" s="13"/>
      <c r="AG376" s="1"/>
    </row>
    <row r="377" spans="1:33" s="59" customFormat="1" ht="15">
      <c r="A377" s="1"/>
      <c r="B377" s="1"/>
      <c r="C377" s="1"/>
      <c r="D377" s="1"/>
      <c r="E377" s="1"/>
      <c r="F377" s="1"/>
      <c r="H377" s="1"/>
      <c r="J377" s="13"/>
      <c r="L377" s="13"/>
      <c r="N377" s="1"/>
      <c r="P377" s="13"/>
      <c r="R377" s="13"/>
      <c r="T377" s="1"/>
      <c r="V377" s="13"/>
      <c r="X377" s="13"/>
      <c r="Z377" s="1"/>
      <c r="AB377" s="13"/>
      <c r="AD377" s="13"/>
      <c r="AG377" s="1"/>
    </row>
    <row r="378" spans="1:33" s="59" customFormat="1" ht="15">
      <c r="A378" s="1"/>
      <c r="B378" s="1"/>
      <c r="C378" s="1"/>
      <c r="D378" s="1"/>
      <c r="E378" s="1"/>
      <c r="F378" s="1"/>
      <c r="H378" s="1"/>
      <c r="J378" s="13"/>
      <c r="L378" s="13"/>
      <c r="N378" s="1"/>
      <c r="P378" s="13"/>
      <c r="R378" s="13"/>
      <c r="T378" s="1"/>
      <c r="V378" s="13"/>
      <c r="X378" s="13"/>
      <c r="Z378" s="1"/>
      <c r="AB378" s="13"/>
      <c r="AD378" s="13"/>
      <c r="AG378" s="1"/>
    </row>
    <row r="379" spans="1:33" s="59" customFormat="1" ht="15">
      <c r="A379" s="1"/>
      <c r="B379" s="1"/>
      <c r="C379" s="1"/>
      <c r="D379" s="1"/>
      <c r="E379" s="1"/>
      <c r="F379" s="1"/>
      <c r="H379" s="1"/>
      <c r="J379" s="13"/>
      <c r="L379" s="13"/>
      <c r="N379" s="1"/>
      <c r="P379" s="13"/>
      <c r="R379" s="13"/>
      <c r="T379" s="1"/>
      <c r="V379" s="13"/>
      <c r="X379" s="13"/>
      <c r="Z379" s="1"/>
      <c r="AB379" s="13"/>
      <c r="AD379" s="13"/>
      <c r="AG379" s="1"/>
    </row>
    <row r="380" spans="1:33" s="59" customFormat="1" ht="15">
      <c r="A380" s="1"/>
      <c r="B380" s="1"/>
      <c r="C380" s="1"/>
      <c r="D380" s="1"/>
      <c r="E380" s="1"/>
      <c r="F380" s="1"/>
      <c r="H380" s="1"/>
      <c r="J380" s="13"/>
      <c r="L380" s="13"/>
      <c r="N380" s="1"/>
      <c r="P380" s="13"/>
      <c r="R380" s="13"/>
      <c r="T380" s="1"/>
      <c r="V380" s="13"/>
      <c r="X380" s="13"/>
      <c r="Z380" s="1"/>
      <c r="AB380" s="13"/>
      <c r="AD380" s="13"/>
      <c r="AG380" s="1"/>
    </row>
    <row r="381" spans="1:33" s="59" customFormat="1" ht="15">
      <c r="A381" s="1"/>
      <c r="B381" s="1"/>
      <c r="C381" s="1"/>
      <c r="D381" s="1"/>
      <c r="E381" s="1"/>
      <c r="F381" s="1"/>
      <c r="H381" s="1"/>
      <c r="J381" s="13"/>
      <c r="L381" s="13"/>
      <c r="N381" s="1"/>
      <c r="P381" s="13"/>
      <c r="R381" s="13"/>
      <c r="T381" s="1"/>
      <c r="V381" s="13"/>
      <c r="X381" s="13"/>
      <c r="Z381" s="1"/>
      <c r="AB381" s="13"/>
      <c r="AD381" s="13"/>
      <c r="AG381" s="1"/>
    </row>
    <row r="382" spans="1:33" s="59" customFormat="1" ht="15">
      <c r="A382" s="1"/>
      <c r="B382" s="1"/>
      <c r="C382" s="1"/>
      <c r="D382" s="1"/>
      <c r="E382" s="1"/>
      <c r="F382" s="1"/>
      <c r="H382" s="1"/>
      <c r="J382" s="13"/>
      <c r="L382" s="13"/>
      <c r="N382" s="1"/>
      <c r="P382" s="13"/>
      <c r="R382" s="13"/>
      <c r="T382" s="1"/>
      <c r="V382" s="13"/>
      <c r="X382" s="13"/>
      <c r="Z382" s="1"/>
      <c r="AB382" s="13"/>
      <c r="AD382" s="13"/>
      <c r="AG382" s="1"/>
    </row>
    <row r="383" spans="1:33" s="59" customFormat="1" ht="15">
      <c r="A383" s="1"/>
      <c r="B383" s="1"/>
      <c r="C383" s="1"/>
      <c r="D383" s="1"/>
      <c r="E383" s="1"/>
      <c r="F383" s="1"/>
      <c r="H383" s="1"/>
      <c r="J383" s="13"/>
      <c r="L383" s="13"/>
      <c r="N383" s="1"/>
      <c r="P383" s="13"/>
      <c r="R383" s="13"/>
      <c r="T383" s="1"/>
      <c r="V383" s="13"/>
      <c r="X383" s="13"/>
      <c r="Z383" s="1"/>
      <c r="AB383" s="13"/>
      <c r="AD383" s="13"/>
      <c r="AG383" s="1"/>
    </row>
    <row r="384" spans="1:33" s="59" customFormat="1" ht="15">
      <c r="A384" s="1"/>
      <c r="B384" s="1"/>
      <c r="C384" s="1"/>
      <c r="D384" s="1"/>
      <c r="E384" s="1"/>
      <c r="F384" s="1"/>
      <c r="H384" s="1"/>
      <c r="J384" s="13"/>
      <c r="L384" s="13"/>
      <c r="N384" s="1"/>
      <c r="P384" s="13"/>
      <c r="R384" s="13"/>
      <c r="T384" s="1"/>
      <c r="V384" s="13"/>
      <c r="X384" s="13"/>
      <c r="Z384" s="1"/>
      <c r="AB384" s="13"/>
      <c r="AD384" s="13"/>
      <c r="AG384" s="1"/>
    </row>
    <row r="385" spans="1:33" s="59" customFormat="1" ht="15">
      <c r="A385" s="1"/>
      <c r="B385" s="1"/>
      <c r="C385" s="1"/>
      <c r="D385" s="1"/>
      <c r="E385" s="1"/>
      <c r="F385" s="1"/>
      <c r="H385" s="1"/>
      <c r="J385" s="13"/>
      <c r="L385" s="13"/>
      <c r="N385" s="1"/>
      <c r="P385" s="13"/>
      <c r="R385" s="13"/>
      <c r="T385" s="1"/>
      <c r="V385" s="13"/>
      <c r="X385" s="13"/>
      <c r="Z385" s="1"/>
      <c r="AB385" s="13"/>
      <c r="AD385" s="13"/>
      <c r="AG385" s="1"/>
    </row>
    <row r="386" spans="1:33" s="59" customFormat="1" ht="15">
      <c r="A386" s="1"/>
      <c r="B386" s="1"/>
      <c r="C386" s="1"/>
      <c r="D386" s="1"/>
      <c r="E386" s="1"/>
      <c r="F386" s="1"/>
      <c r="H386" s="1"/>
      <c r="J386" s="13"/>
      <c r="L386" s="13"/>
      <c r="N386" s="1"/>
      <c r="P386" s="13"/>
      <c r="R386" s="13"/>
      <c r="T386" s="1"/>
      <c r="V386" s="13"/>
      <c r="X386" s="13"/>
      <c r="Z386" s="1"/>
      <c r="AB386" s="13"/>
      <c r="AD386" s="13"/>
      <c r="AG386" s="1"/>
    </row>
    <row r="387" spans="1:33" s="59" customFormat="1" ht="15">
      <c r="A387" s="1"/>
      <c r="B387" s="1"/>
      <c r="C387" s="1"/>
      <c r="D387" s="1"/>
      <c r="E387" s="1"/>
      <c r="F387" s="1"/>
      <c r="H387" s="1"/>
      <c r="J387" s="13"/>
      <c r="L387" s="13"/>
      <c r="N387" s="1"/>
      <c r="P387" s="13"/>
      <c r="R387" s="13"/>
      <c r="T387" s="1"/>
      <c r="V387" s="13"/>
      <c r="X387" s="13"/>
      <c r="Z387" s="1"/>
      <c r="AB387" s="13"/>
      <c r="AD387" s="13"/>
      <c r="AG387" s="1"/>
    </row>
    <row r="388" spans="1:33" s="59" customFormat="1" ht="15">
      <c r="A388" s="1"/>
      <c r="B388" s="1"/>
      <c r="C388" s="1"/>
      <c r="D388" s="1"/>
      <c r="E388" s="1"/>
      <c r="F388" s="1"/>
      <c r="H388" s="1"/>
      <c r="J388" s="13"/>
      <c r="L388" s="13"/>
      <c r="N388" s="1"/>
      <c r="P388" s="13"/>
      <c r="R388" s="13"/>
      <c r="T388" s="1"/>
      <c r="V388" s="13"/>
      <c r="X388" s="13"/>
      <c r="Z388" s="1"/>
      <c r="AB388" s="13"/>
      <c r="AD388" s="13"/>
      <c r="AG388" s="1"/>
    </row>
    <row r="389" spans="1:33" s="59" customFormat="1" ht="15">
      <c r="A389" s="1"/>
      <c r="B389" s="1"/>
      <c r="C389" s="1"/>
      <c r="D389" s="1"/>
      <c r="E389" s="1"/>
      <c r="F389" s="1"/>
      <c r="H389" s="1"/>
      <c r="J389" s="13"/>
      <c r="L389" s="13"/>
      <c r="N389" s="1"/>
      <c r="P389" s="13"/>
      <c r="R389" s="13"/>
      <c r="T389" s="1"/>
      <c r="V389" s="13"/>
      <c r="X389" s="13"/>
      <c r="Z389" s="1"/>
      <c r="AB389" s="13"/>
      <c r="AD389" s="13"/>
      <c r="AG389" s="1"/>
    </row>
    <row r="390" spans="1:33" s="59" customFormat="1" ht="15">
      <c r="A390" s="1"/>
      <c r="B390" s="1"/>
      <c r="C390" s="1"/>
      <c r="D390" s="1"/>
      <c r="E390" s="1"/>
      <c r="F390" s="1"/>
      <c r="H390" s="1"/>
      <c r="J390" s="13"/>
      <c r="L390" s="13"/>
      <c r="N390" s="1"/>
      <c r="P390" s="13"/>
      <c r="R390" s="13"/>
      <c r="T390" s="1"/>
      <c r="V390" s="13"/>
      <c r="X390" s="13"/>
      <c r="Z390" s="1"/>
      <c r="AB390" s="13"/>
      <c r="AD390" s="13"/>
      <c r="AG390" s="1"/>
    </row>
    <row r="391" spans="1:33" s="59" customFormat="1" ht="15">
      <c r="A391" s="1"/>
      <c r="B391" s="1"/>
      <c r="C391" s="1"/>
      <c r="D391" s="1"/>
      <c r="E391" s="1"/>
      <c r="F391" s="1"/>
      <c r="H391" s="1"/>
      <c r="J391" s="13"/>
      <c r="L391" s="13"/>
      <c r="N391" s="1"/>
      <c r="P391" s="13"/>
      <c r="R391" s="13"/>
      <c r="T391" s="1"/>
      <c r="V391" s="13"/>
      <c r="X391" s="13"/>
      <c r="Z391" s="1"/>
      <c r="AB391" s="13"/>
      <c r="AD391" s="13"/>
      <c r="AG391" s="1"/>
    </row>
    <row r="392" spans="1:33" s="59" customFormat="1" ht="15">
      <c r="A392" s="1"/>
      <c r="B392" s="1"/>
      <c r="C392" s="1"/>
      <c r="D392" s="1"/>
      <c r="E392" s="1"/>
      <c r="F392" s="1"/>
      <c r="H392" s="1"/>
      <c r="J392" s="13"/>
      <c r="L392" s="13"/>
      <c r="N392" s="1"/>
      <c r="P392" s="13"/>
      <c r="R392" s="13"/>
      <c r="T392" s="1"/>
      <c r="V392" s="13"/>
      <c r="X392" s="13"/>
      <c r="Z392" s="1"/>
      <c r="AB392" s="13"/>
      <c r="AD392" s="13"/>
      <c r="AG392" s="1"/>
    </row>
    <row r="393" spans="1:33" s="59" customFormat="1" ht="15">
      <c r="A393" s="1"/>
      <c r="B393" s="1"/>
      <c r="C393" s="1"/>
      <c r="D393" s="1"/>
      <c r="E393" s="1"/>
      <c r="F393" s="1"/>
      <c r="H393" s="1"/>
      <c r="J393" s="13"/>
      <c r="L393" s="13"/>
      <c r="N393" s="1"/>
      <c r="P393" s="13"/>
      <c r="R393" s="13"/>
      <c r="T393" s="1"/>
      <c r="V393" s="13"/>
      <c r="X393" s="13"/>
      <c r="Z393" s="1"/>
      <c r="AB393" s="13"/>
      <c r="AD393" s="13"/>
      <c r="AG393" s="1"/>
    </row>
    <row r="394" spans="1:33" s="59" customFormat="1" ht="15">
      <c r="A394" s="1"/>
      <c r="B394" s="1"/>
      <c r="C394" s="1"/>
      <c r="D394" s="1"/>
      <c r="E394" s="1"/>
      <c r="F394" s="1"/>
      <c r="H394" s="1"/>
      <c r="J394" s="13"/>
      <c r="L394" s="13"/>
      <c r="N394" s="1"/>
      <c r="P394" s="13"/>
      <c r="R394" s="13"/>
      <c r="T394" s="1"/>
      <c r="V394" s="13"/>
      <c r="X394" s="13"/>
      <c r="Z394" s="1"/>
      <c r="AB394" s="13"/>
      <c r="AD394" s="13"/>
      <c r="AG394" s="1"/>
    </row>
    <row r="395" spans="1:33" s="59" customFormat="1" ht="15">
      <c r="A395" s="1"/>
      <c r="B395" s="1"/>
      <c r="C395" s="1"/>
      <c r="D395" s="1"/>
      <c r="E395" s="1"/>
      <c r="F395" s="1"/>
      <c r="H395" s="1"/>
      <c r="J395" s="13"/>
      <c r="L395" s="13"/>
      <c r="N395" s="1"/>
      <c r="P395" s="13"/>
      <c r="R395" s="13"/>
      <c r="T395" s="1"/>
      <c r="V395" s="13"/>
      <c r="X395" s="13"/>
      <c r="Z395" s="1"/>
      <c r="AB395" s="13"/>
      <c r="AD395" s="13"/>
      <c r="AG395" s="1"/>
    </row>
    <row r="396" spans="1:33" s="59" customFormat="1" ht="15">
      <c r="A396" s="1"/>
      <c r="B396" s="1"/>
      <c r="C396" s="1"/>
      <c r="D396" s="1"/>
      <c r="E396" s="1"/>
      <c r="F396" s="1"/>
      <c r="H396" s="1"/>
      <c r="J396" s="13"/>
      <c r="L396" s="13"/>
      <c r="N396" s="1"/>
      <c r="P396" s="13"/>
      <c r="R396" s="13"/>
      <c r="T396" s="1"/>
      <c r="V396" s="13"/>
      <c r="X396" s="13"/>
      <c r="Z396" s="1"/>
      <c r="AB396" s="13"/>
      <c r="AD396" s="13"/>
      <c r="AG396" s="1"/>
    </row>
    <row r="397" spans="1:33" s="59" customFormat="1" ht="15">
      <c r="A397" s="1"/>
      <c r="B397" s="1"/>
      <c r="C397" s="1"/>
      <c r="D397" s="1"/>
      <c r="E397" s="1"/>
      <c r="F397" s="1"/>
      <c r="H397" s="1"/>
      <c r="J397" s="13"/>
      <c r="L397" s="13"/>
      <c r="N397" s="1"/>
      <c r="P397" s="13"/>
      <c r="R397" s="13"/>
      <c r="T397" s="1"/>
      <c r="V397" s="13"/>
      <c r="X397" s="13"/>
      <c r="Z397" s="1"/>
      <c r="AB397" s="13"/>
      <c r="AD397" s="13"/>
      <c r="AG397" s="1"/>
    </row>
    <row r="398" spans="1:33" s="59" customFormat="1" ht="15">
      <c r="A398" s="1"/>
      <c r="B398" s="1"/>
      <c r="C398" s="1"/>
      <c r="D398" s="1"/>
      <c r="E398" s="1"/>
      <c r="F398" s="1"/>
      <c r="H398" s="1"/>
      <c r="J398" s="13"/>
      <c r="L398" s="13"/>
      <c r="N398" s="1"/>
      <c r="P398" s="13"/>
      <c r="R398" s="13"/>
      <c r="T398" s="1"/>
      <c r="V398" s="13"/>
      <c r="X398" s="13"/>
      <c r="Z398" s="1"/>
      <c r="AB398" s="13"/>
      <c r="AD398" s="13"/>
      <c r="AG398" s="1"/>
    </row>
    <row r="399" spans="1:33" s="59" customFormat="1" ht="15">
      <c r="A399" s="1"/>
      <c r="B399" s="1"/>
      <c r="C399" s="1"/>
      <c r="D399" s="1"/>
      <c r="E399" s="1"/>
      <c r="F399" s="1"/>
      <c r="H399" s="1"/>
      <c r="J399" s="13"/>
      <c r="L399" s="13"/>
      <c r="N399" s="1"/>
      <c r="P399" s="13"/>
      <c r="R399" s="13"/>
      <c r="T399" s="1"/>
      <c r="V399" s="13"/>
      <c r="X399" s="13"/>
      <c r="Z399" s="1"/>
      <c r="AB399" s="13"/>
      <c r="AD399" s="13"/>
      <c r="AG399" s="1"/>
    </row>
    <row r="400" spans="1:33" s="59" customFormat="1" ht="15">
      <c r="A400" s="1"/>
      <c r="B400" s="1"/>
      <c r="C400" s="1"/>
      <c r="D400" s="1"/>
      <c r="E400" s="1"/>
      <c r="F400" s="1"/>
      <c r="H400" s="1"/>
      <c r="J400" s="13"/>
      <c r="L400" s="13"/>
      <c r="N400" s="1"/>
      <c r="P400" s="13"/>
      <c r="R400" s="13"/>
      <c r="T400" s="1"/>
      <c r="V400" s="13"/>
      <c r="X400" s="13"/>
      <c r="Z400" s="1"/>
      <c r="AB400" s="13"/>
      <c r="AD400" s="13"/>
      <c r="AG400" s="1"/>
    </row>
    <row r="401" spans="1:33" s="59" customFormat="1" ht="15">
      <c r="A401" s="1"/>
      <c r="B401" s="1"/>
      <c r="C401" s="1"/>
      <c r="D401" s="1"/>
      <c r="E401" s="1"/>
      <c r="F401" s="1"/>
      <c r="H401" s="1"/>
      <c r="J401" s="13"/>
      <c r="L401" s="13"/>
      <c r="N401" s="1"/>
      <c r="P401" s="13"/>
      <c r="R401" s="13"/>
      <c r="T401" s="1"/>
      <c r="V401" s="13"/>
      <c r="X401" s="13"/>
      <c r="Z401" s="1"/>
      <c r="AB401" s="13"/>
      <c r="AD401" s="13"/>
      <c r="AG401" s="1"/>
    </row>
    <row r="402" spans="1:33" s="59" customFormat="1" ht="15">
      <c r="A402" s="1"/>
      <c r="B402" s="1"/>
      <c r="C402" s="1"/>
      <c r="D402" s="1"/>
      <c r="E402" s="1"/>
      <c r="F402" s="1"/>
      <c r="H402" s="1"/>
      <c r="J402" s="13"/>
      <c r="L402" s="13"/>
      <c r="N402" s="1"/>
      <c r="P402" s="13"/>
      <c r="R402" s="13"/>
      <c r="T402" s="1"/>
      <c r="V402" s="13"/>
      <c r="X402" s="13"/>
      <c r="Z402" s="1"/>
      <c r="AB402" s="13"/>
      <c r="AD402" s="13"/>
      <c r="AG402" s="1"/>
    </row>
    <row r="403" spans="1:33" s="59" customFormat="1" ht="15">
      <c r="A403" s="1"/>
      <c r="B403" s="1"/>
      <c r="C403" s="1"/>
      <c r="D403" s="1"/>
      <c r="E403" s="1"/>
      <c r="F403" s="1"/>
      <c r="H403" s="1"/>
      <c r="J403" s="13"/>
      <c r="L403" s="13"/>
      <c r="N403" s="1"/>
      <c r="P403" s="13"/>
      <c r="R403" s="13"/>
      <c r="T403" s="1"/>
      <c r="V403" s="13"/>
      <c r="X403" s="13"/>
      <c r="Z403" s="1"/>
      <c r="AB403" s="13"/>
      <c r="AD403" s="13"/>
      <c r="AG403" s="1"/>
    </row>
    <row r="404" spans="1:33" s="59" customFormat="1" ht="15">
      <c r="A404" s="1"/>
      <c r="B404" s="1"/>
      <c r="C404" s="1"/>
      <c r="D404" s="1"/>
      <c r="E404" s="1"/>
      <c r="F404" s="1"/>
      <c r="H404" s="1"/>
      <c r="J404" s="13"/>
      <c r="L404" s="13"/>
      <c r="N404" s="1"/>
      <c r="P404" s="13"/>
      <c r="R404" s="13"/>
      <c r="T404" s="1"/>
      <c r="V404" s="13"/>
      <c r="X404" s="13"/>
      <c r="Z404" s="1"/>
      <c r="AB404" s="13"/>
      <c r="AD404" s="13"/>
      <c r="AG404" s="1"/>
    </row>
    <row r="405" spans="1:33" s="59" customFormat="1" ht="15">
      <c r="A405" s="1"/>
      <c r="B405" s="1"/>
      <c r="C405" s="1"/>
      <c r="D405" s="1"/>
      <c r="E405" s="1"/>
      <c r="F405" s="1"/>
      <c r="H405" s="1"/>
      <c r="J405" s="13"/>
      <c r="L405" s="13"/>
      <c r="N405" s="1"/>
      <c r="P405" s="13"/>
      <c r="R405" s="13"/>
      <c r="T405" s="1"/>
      <c r="V405" s="13"/>
      <c r="X405" s="13"/>
      <c r="Z405" s="1"/>
      <c r="AB405" s="13"/>
      <c r="AD405" s="13"/>
      <c r="AG405" s="1"/>
    </row>
    <row r="406" spans="1:33" s="59" customFormat="1" ht="15">
      <c r="A406" s="1"/>
      <c r="B406" s="1"/>
      <c r="C406" s="1"/>
      <c r="D406" s="1"/>
      <c r="E406" s="1"/>
      <c r="F406" s="1"/>
      <c r="H406" s="1"/>
      <c r="J406" s="13"/>
      <c r="L406" s="13"/>
      <c r="N406" s="1"/>
      <c r="P406" s="13"/>
      <c r="R406" s="13"/>
      <c r="T406" s="1"/>
      <c r="V406" s="13"/>
      <c r="X406" s="13"/>
      <c r="Z406" s="1"/>
      <c r="AB406" s="13"/>
      <c r="AD406" s="13"/>
      <c r="AG406" s="1"/>
    </row>
    <row r="407" spans="1:33" s="59" customFormat="1" ht="15">
      <c r="A407" s="1"/>
      <c r="B407" s="1"/>
      <c r="C407" s="1"/>
      <c r="D407" s="1"/>
      <c r="E407" s="1"/>
      <c r="F407" s="1"/>
      <c r="H407" s="1"/>
      <c r="J407" s="13"/>
      <c r="L407" s="13"/>
      <c r="N407" s="1"/>
      <c r="P407" s="13"/>
      <c r="R407" s="13"/>
      <c r="T407" s="1"/>
      <c r="V407" s="13"/>
      <c r="X407" s="13"/>
      <c r="Z407" s="1"/>
      <c r="AB407" s="13"/>
      <c r="AD407" s="13"/>
      <c r="AG407" s="1"/>
    </row>
    <row r="408" spans="1:33" s="59" customFormat="1" ht="15">
      <c r="A408" s="1"/>
      <c r="B408" s="1"/>
      <c r="C408" s="1"/>
      <c r="D408" s="1"/>
      <c r="E408" s="1"/>
      <c r="F408" s="1"/>
      <c r="H408" s="1"/>
      <c r="J408" s="13"/>
      <c r="L408" s="13"/>
      <c r="N408" s="1"/>
      <c r="P408" s="13"/>
      <c r="R408" s="13"/>
      <c r="T408" s="1"/>
      <c r="V408" s="13"/>
      <c r="X408" s="13"/>
      <c r="Z408" s="1"/>
      <c r="AB408" s="13"/>
      <c r="AD408" s="13"/>
      <c r="AG408" s="1"/>
    </row>
    <row r="409" spans="1:33" s="59" customFormat="1" ht="15">
      <c r="A409" s="1"/>
      <c r="B409" s="1"/>
      <c r="C409" s="1"/>
      <c r="D409" s="1"/>
      <c r="E409" s="1"/>
      <c r="F409" s="1"/>
      <c r="H409" s="1"/>
      <c r="J409" s="13"/>
      <c r="L409" s="13"/>
      <c r="N409" s="1"/>
      <c r="P409" s="13"/>
      <c r="R409" s="13"/>
      <c r="T409" s="1"/>
      <c r="V409" s="13"/>
      <c r="X409" s="13"/>
      <c r="Z409" s="1"/>
      <c r="AB409" s="13"/>
      <c r="AD409" s="13"/>
      <c r="AG409" s="1"/>
    </row>
    <row r="410" spans="1:33" s="59" customFormat="1" ht="15">
      <c r="A410" s="1"/>
      <c r="B410" s="1"/>
      <c r="C410" s="1"/>
      <c r="D410" s="1"/>
      <c r="E410" s="1"/>
      <c r="F410" s="1"/>
      <c r="H410" s="1"/>
      <c r="J410" s="13"/>
      <c r="L410" s="13"/>
      <c r="N410" s="1"/>
      <c r="P410" s="13"/>
      <c r="R410" s="13"/>
      <c r="T410" s="1"/>
      <c r="V410" s="13"/>
      <c r="X410" s="13"/>
      <c r="Z410" s="1"/>
      <c r="AB410" s="13"/>
      <c r="AD410" s="13"/>
      <c r="AG410" s="1"/>
    </row>
    <row r="411" spans="1:33" s="59" customFormat="1" ht="15">
      <c r="A411" s="1"/>
      <c r="B411" s="1"/>
      <c r="C411" s="1"/>
      <c r="D411" s="1"/>
      <c r="E411" s="1"/>
      <c r="F411" s="1"/>
      <c r="H411" s="1"/>
      <c r="J411" s="13"/>
      <c r="L411" s="13"/>
      <c r="N411" s="1"/>
      <c r="P411" s="13"/>
      <c r="R411" s="13"/>
      <c r="T411" s="1"/>
      <c r="V411" s="13"/>
      <c r="X411" s="13"/>
      <c r="Z411" s="1"/>
      <c r="AB411" s="13"/>
      <c r="AD411" s="13"/>
      <c r="AG411" s="1"/>
    </row>
    <row r="412" spans="1:33" s="59" customFormat="1" ht="15">
      <c r="A412" s="1"/>
      <c r="B412" s="1"/>
      <c r="C412" s="1"/>
      <c r="D412" s="1"/>
      <c r="E412" s="1"/>
      <c r="F412" s="1"/>
      <c r="H412" s="1"/>
      <c r="J412" s="13"/>
      <c r="L412" s="13"/>
      <c r="N412" s="1"/>
      <c r="P412" s="13"/>
      <c r="R412" s="13"/>
      <c r="T412" s="1"/>
      <c r="V412" s="13"/>
      <c r="X412" s="13"/>
      <c r="Z412" s="1"/>
      <c r="AB412" s="13"/>
      <c r="AD412" s="13"/>
      <c r="AG412" s="1"/>
    </row>
    <row r="413" spans="1:33" s="59" customFormat="1" ht="15">
      <c r="A413" s="1"/>
      <c r="B413" s="1"/>
      <c r="C413" s="1"/>
      <c r="D413" s="1"/>
      <c r="E413" s="1"/>
      <c r="F413" s="1"/>
      <c r="H413" s="1"/>
      <c r="J413" s="13"/>
      <c r="L413" s="13"/>
      <c r="N413" s="1"/>
      <c r="P413" s="13"/>
      <c r="R413" s="13"/>
      <c r="T413" s="1"/>
      <c r="V413" s="13"/>
      <c r="X413" s="13"/>
      <c r="Z413" s="1"/>
      <c r="AB413" s="13"/>
      <c r="AD413" s="13"/>
      <c r="AG413" s="1"/>
    </row>
    <row r="414" spans="1:33" s="59" customFormat="1" ht="15">
      <c r="A414" s="1"/>
      <c r="B414" s="1"/>
      <c r="C414" s="1"/>
      <c r="D414" s="1"/>
      <c r="E414" s="1"/>
      <c r="F414" s="1"/>
      <c r="H414" s="1"/>
      <c r="J414" s="13"/>
      <c r="L414" s="13"/>
      <c r="N414" s="1"/>
      <c r="P414" s="13"/>
      <c r="R414" s="13"/>
      <c r="T414" s="1"/>
      <c r="V414" s="13"/>
      <c r="X414" s="13"/>
      <c r="Z414" s="1"/>
      <c r="AB414" s="13"/>
      <c r="AD414" s="13"/>
      <c r="AG414" s="1"/>
    </row>
    <row r="415" spans="1:33" s="59" customFormat="1" ht="15">
      <c r="A415" s="1"/>
      <c r="B415" s="1"/>
      <c r="C415" s="1"/>
      <c r="D415" s="1"/>
      <c r="E415" s="1"/>
      <c r="F415" s="1"/>
      <c r="H415" s="1"/>
      <c r="J415" s="13"/>
      <c r="L415" s="13"/>
      <c r="N415" s="1"/>
      <c r="P415" s="13"/>
      <c r="R415" s="13"/>
      <c r="T415" s="1"/>
      <c r="V415" s="13"/>
      <c r="X415" s="13"/>
      <c r="Z415" s="1"/>
      <c r="AB415" s="13"/>
      <c r="AD415" s="13"/>
      <c r="AG415" s="1"/>
    </row>
    <row r="416" spans="1:33" s="59" customFormat="1" ht="15">
      <c r="A416" s="1"/>
      <c r="B416" s="1"/>
      <c r="C416" s="1"/>
      <c r="D416" s="1"/>
      <c r="E416" s="1"/>
      <c r="F416" s="1"/>
      <c r="H416" s="1"/>
      <c r="J416" s="13"/>
      <c r="L416" s="13"/>
      <c r="N416" s="1"/>
      <c r="P416" s="13"/>
      <c r="R416" s="13"/>
      <c r="T416" s="1"/>
      <c r="V416" s="13"/>
      <c r="X416" s="13"/>
      <c r="Z416" s="1"/>
      <c r="AB416" s="13"/>
      <c r="AD416" s="13"/>
      <c r="AG416" s="1"/>
    </row>
    <row r="417" spans="1:33" s="59" customFormat="1" ht="15">
      <c r="A417" s="1"/>
      <c r="B417" s="1"/>
      <c r="C417" s="1"/>
      <c r="D417" s="1"/>
      <c r="E417" s="1"/>
      <c r="F417" s="1"/>
      <c r="H417" s="1"/>
      <c r="J417" s="13"/>
      <c r="L417" s="13"/>
      <c r="N417" s="1"/>
      <c r="P417" s="13"/>
      <c r="R417" s="13"/>
      <c r="T417" s="1"/>
      <c r="V417" s="13"/>
      <c r="X417" s="13"/>
      <c r="Z417" s="1"/>
      <c r="AB417" s="13"/>
      <c r="AD417" s="13"/>
      <c r="AG417" s="1"/>
    </row>
    <row r="418" spans="1:33" s="59" customFormat="1" ht="15">
      <c r="A418" s="1"/>
      <c r="B418" s="1"/>
      <c r="C418" s="1"/>
      <c r="D418" s="1"/>
      <c r="E418" s="1"/>
      <c r="F418" s="1"/>
      <c r="H418" s="1"/>
      <c r="J418" s="13"/>
      <c r="L418" s="13"/>
      <c r="N418" s="1"/>
      <c r="P418" s="13"/>
      <c r="R418" s="13"/>
      <c r="T418" s="1"/>
      <c r="V418" s="13"/>
      <c r="X418" s="13"/>
      <c r="Z418" s="1"/>
      <c r="AB418" s="13"/>
      <c r="AD418" s="13"/>
      <c r="AG418" s="1"/>
    </row>
    <row r="419" spans="1:33" s="59" customFormat="1" ht="15">
      <c r="A419" s="1"/>
      <c r="B419" s="1"/>
      <c r="C419" s="1"/>
      <c r="D419" s="1"/>
      <c r="E419" s="1"/>
      <c r="F419" s="1"/>
      <c r="H419" s="1"/>
      <c r="J419" s="13"/>
      <c r="L419" s="13"/>
      <c r="N419" s="1"/>
      <c r="P419" s="13"/>
      <c r="R419" s="13"/>
      <c r="T419" s="1"/>
      <c r="V419" s="13"/>
      <c r="X419" s="13"/>
      <c r="Z419" s="1"/>
      <c r="AB419" s="13"/>
      <c r="AD419" s="13"/>
      <c r="AG419" s="1"/>
    </row>
    <row r="420" spans="1:33" s="59" customFormat="1" ht="15">
      <c r="A420" s="1"/>
      <c r="B420" s="1"/>
      <c r="C420" s="1"/>
      <c r="D420" s="1"/>
      <c r="E420" s="1"/>
      <c r="F420" s="1"/>
      <c r="H420" s="1"/>
      <c r="J420" s="13"/>
      <c r="L420" s="13"/>
      <c r="N420" s="1"/>
      <c r="P420" s="13"/>
      <c r="R420" s="13"/>
      <c r="T420" s="1"/>
      <c r="V420" s="13"/>
      <c r="X420" s="13"/>
      <c r="Z420" s="1"/>
      <c r="AB420" s="13"/>
      <c r="AD420" s="13"/>
      <c r="AG420" s="1"/>
    </row>
    <row r="421" spans="1:33" s="59" customFormat="1" ht="15">
      <c r="A421" s="1"/>
      <c r="B421" s="1"/>
      <c r="C421" s="1"/>
      <c r="D421" s="1"/>
      <c r="E421" s="1"/>
      <c r="F421" s="1"/>
      <c r="H421" s="1"/>
      <c r="J421" s="13"/>
      <c r="L421" s="13"/>
      <c r="N421" s="1"/>
      <c r="P421" s="13"/>
      <c r="R421" s="13"/>
      <c r="T421" s="1"/>
      <c r="V421" s="13"/>
      <c r="X421" s="13"/>
      <c r="Z421" s="1"/>
      <c r="AB421" s="13"/>
      <c r="AD421" s="13"/>
      <c r="AG421" s="1"/>
    </row>
    <row r="422" spans="1:33" s="59" customFormat="1" ht="15">
      <c r="A422" s="1"/>
      <c r="B422" s="1"/>
      <c r="C422" s="1"/>
      <c r="D422" s="1"/>
      <c r="E422" s="1"/>
      <c r="F422" s="1"/>
      <c r="H422" s="1"/>
      <c r="J422" s="13"/>
      <c r="L422" s="13"/>
      <c r="N422" s="1"/>
      <c r="P422" s="13"/>
      <c r="R422" s="13"/>
      <c r="T422" s="1"/>
      <c r="V422" s="13"/>
      <c r="X422" s="13"/>
      <c r="Z422" s="1"/>
      <c r="AB422" s="13"/>
      <c r="AD422" s="13"/>
      <c r="AG422" s="1"/>
    </row>
    <row r="423" spans="1:33" s="59" customFormat="1" ht="15">
      <c r="A423" s="1"/>
      <c r="B423" s="1"/>
      <c r="C423" s="1"/>
      <c r="D423" s="1"/>
      <c r="E423" s="1"/>
      <c r="F423" s="1"/>
      <c r="H423" s="1"/>
      <c r="J423" s="13"/>
      <c r="L423" s="13"/>
      <c r="N423" s="1"/>
      <c r="P423" s="13"/>
      <c r="R423" s="13"/>
      <c r="T423" s="1"/>
      <c r="V423" s="13"/>
      <c r="X423" s="13"/>
      <c r="Z423" s="1"/>
      <c r="AB423" s="13"/>
      <c r="AD423" s="13"/>
      <c r="AG423" s="1"/>
    </row>
    <row r="424" spans="1:33" s="59" customFormat="1" ht="15">
      <c r="A424" s="1"/>
      <c r="B424" s="1"/>
      <c r="C424" s="1"/>
      <c r="D424" s="1"/>
      <c r="E424" s="1"/>
      <c r="F424" s="1"/>
      <c r="H424" s="1"/>
      <c r="J424" s="13"/>
      <c r="L424" s="13"/>
      <c r="N424" s="1"/>
      <c r="P424" s="13"/>
      <c r="R424" s="13"/>
      <c r="T424" s="1"/>
      <c r="V424" s="13"/>
      <c r="X424" s="13"/>
      <c r="Z424" s="1"/>
      <c r="AB424" s="13"/>
      <c r="AD424" s="13"/>
      <c r="AG424" s="1"/>
    </row>
    <row r="425" spans="1:33" s="59" customFormat="1" ht="15">
      <c r="A425" s="1"/>
      <c r="B425" s="1"/>
      <c r="C425" s="1"/>
      <c r="D425" s="1"/>
      <c r="E425" s="1"/>
      <c r="F425" s="1"/>
      <c r="H425" s="1"/>
      <c r="J425" s="13"/>
      <c r="L425" s="13"/>
      <c r="N425" s="1"/>
      <c r="P425" s="13"/>
      <c r="R425" s="13"/>
      <c r="T425" s="1"/>
      <c r="V425" s="13"/>
      <c r="X425" s="13"/>
      <c r="Z425" s="1"/>
      <c r="AB425" s="13"/>
      <c r="AD425" s="13"/>
      <c r="AG425" s="1"/>
    </row>
    <row r="426" spans="1:33" s="59" customFormat="1" ht="15">
      <c r="A426" s="1"/>
      <c r="B426" s="1"/>
      <c r="C426" s="1"/>
      <c r="D426" s="1"/>
      <c r="E426" s="1"/>
      <c r="F426" s="1"/>
      <c r="H426" s="1"/>
      <c r="J426" s="13"/>
      <c r="L426" s="13"/>
      <c r="N426" s="1"/>
      <c r="P426" s="13"/>
      <c r="R426" s="13"/>
      <c r="T426" s="1"/>
      <c r="V426" s="13"/>
      <c r="X426" s="13"/>
      <c r="Z426" s="1"/>
      <c r="AB426" s="13"/>
      <c r="AD426" s="13"/>
      <c r="AG426" s="1"/>
    </row>
    <row r="427" spans="1:33" s="59" customFormat="1" ht="15">
      <c r="A427" s="1"/>
      <c r="B427" s="1"/>
      <c r="C427" s="1"/>
      <c r="D427" s="1"/>
      <c r="E427" s="1"/>
      <c r="F427" s="1"/>
      <c r="H427" s="1"/>
      <c r="J427" s="13"/>
      <c r="L427" s="13"/>
      <c r="N427" s="1"/>
      <c r="P427" s="13"/>
      <c r="R427" s="13"/>
      <c r="T427" s="1"/>
      <c r="V427" s="13"/>
      <c r="X427" s="13"/>
      <c r="Z427" s="1"/>
      <c r="AB427" s="13"/>
      <c r="AD427" s="13"/>
      <c r="AG427" s="1"/>
    </row>
    <row r="428" spans="1:33" s="59" customFormat="1" ht="15">
      <c r="A428" s="1"/>
      <c r="B428" s="1"/>
      <c r="C428" s="1"/>
      <c r="D428" s="1"/>
      <c r="E428" s="1"/>
      <c r="F428" s="1"/>
      <c r="H428" s="1"/>
      <c r="J428" s="13"/>
      <c r="L428" s="13"/>
      <c r="N428" s="1"/>
      <c r="P428" s="13"/>
      <c r="R428" s="13"/>
      <c r="T428" s="1"/>
      <c r="V428" s="13"/>
      <c r="X428" s="13"/>
      <c r="Z428" s="1"/>
      <c r="AB428" s="13"/>
      <c r="AD428" s="13"/>
      <c r="AG428" s="1"/>
    </row>
    <row r="429" spans="1:33" s="59" customFormat="1" ht="15">
      <c r="A429" s="1"/>
      <c r="B429" s="1"/>
      <c r="C429" s="1"/>
      <c r="D429" s="1"/>
      <c r="E429" s="1"/>
      <c r="F429" s="1"/>
      <c r="H429" s="1"/>
      <c r="J429" s="13"/>
      <c r="L429" s="13"/>
      <c r="N429" s="1"/>
      <c r="P429" s="13"/>
      <c r="R429" s="13"/>
      <c r="T429" s="1"/>
      <c r="V429" s="13"/>
      <c r="X429" s="13"/>
      <c r="Z429" s="1"/>
      <c r="AB429" s="13"/>
      <c r="AD429" s="13"/>
      <c r="AG429" s="1"/>
    </row>
    <row r="430" spans="1:33" s="59" customFormat="1" ht="15">
      <c r="A430" s="1"/>
      <c r="B430" s="1"/>
      <c r="C430" s="1"/>
      <c r="D430" s="1"/>
      <c r="E430" s="1"/>
      <c r="F430" s="1"/>
      <c r="H430" s="1"/>
      <c r="J430" s="13"/>
      <c r="L430" s="13"/>
      <c r="N430" s="1"/>
      <c r="P430" s="13"/>
      <c r="R430" s="13"/>
      <c r="T430" s="1"/>
      <c r="V430" s="13"/>
      <c r="X430" s="13"/>
      <c r="Z430" s="1"/>
      <c r="AB430" s="13"/>
      <c r="AD430" s="13"/>
      <c r="AG430" s="1"/>
    </row>
    <row r="431" spans="1:33" s="59" customFormat="1" ht="15">
      <c r="A431" s="1"/>
      <c r="B431" s="1"/>
      <c r="C431" s="1"/>
      <c r="D431" s="1"/>
      <c r="E431" s="1"/>
      <c r="F431" s="1"/>
      <c r="H431" s="1"/>
      <c r="J431" s="13"/>
      <c r="L431" s="13"/>
      <c r="N431" s="1"/>
      <c r="P431" s="13"/>
      <c r="R431" s="13"/>
      <c r="T431" s="1"/>
      <c r="V431" s="13"/>
      <c r="X431" s="13"/>
      <c r="Z431" s="1"/>
      <c r="AB431" s="13"/>
      <c r="AD431" s="13"/>
      <c r="AG431" s="1"/>
    </row>
    <row r="432" spans="1:33" s="59" customFormat="1" ht="15">
      <c r="A432" s="1"/>
      <c r="B432" s="1"/>
      <c r="C432" s="1"/>
      <c r="D432" s="1"/>
      <c r="E432" s="1"/>
      <c r="F432" s="1"/>
      <c r="H432" s="1"/>
      <c r="J432" s="13"/>
      <c r="L432" s="13"/>
      <c r="N432" s="1"/>
      <c r="P432" s="13"/>
      <c r="R432" s="13"/>
      <c r="T432" s="1"/>
      <c r="V432" s="13"/>
      <c r="X432" s="13"/>
      <c r="Z432" s="1"/>
      <c r="AB432" s="13"/>
      <c r="AD432" s="13"/>
      <c r="AG432" s="1"/>
    </row>
    <row r="433" spans="1:33" s="59" customFormat="1" ht="15">
      <c r="A433" s="1"/>
      <c r="B433" s="1"/>
      <c r="C433" s="1"/>
      <c r="D433" s="1"/>
      <c r="E433" s="1"/>
      <c r="F433" s="1"/>
      <c r="H433" s="1"/>
      <c r="J433" s="13"/>
      <c r="L433" s="13"/>
      <c r="N433" s="1"/>
      <c r="P433" s="13"/>
      <c r="R433" s="13"/>
      <c r="T433" s="1"/>
      <c r="V433" s="13"/>
      <c r="X433" s="13"/>
      <c r="Z433" s="1"/>
      <c r="AB433" s="13"/>
      <c r="AD433" s="13"/>
      <c r="AG433" s="1"/>
    </row>
    <row r="434" spans="1:33" s="59" customFormat="1" ht="15">
      <c r="A434" s="1"/>
      <c r="B434" s="1"/>
      <c r="C434" s="1"/>
      <c r="D434" s="1"/>
      <c r="E434" s="1"/>
      <c r="F434" s="1"/>
      <c r="H434" s="1"/>
      <c r="J434" s="13"/>
      <c r="L434" s="13"/>
      <c r="N434" s="1"/>
      <c r="P434" s="13"/>
      <c r="R434" s="13"/>
      <c r="T434" s="1"/>
      <c r="V434" s="13"/>
      <c r="X434" s="13"/>
      <c r="Z434" s="1"/>
      <c r="AB434" s="13"/>
      <c r="AD434" s="13"/>
      <c r="AG434" s="1"/>
    </row>
    <row r="435" spans="1:33" s="59" customFormat="1" ht="15">
      <c r="A435" s="1"/>
      <c r="B435" s="1"/>
      <c r="C435" s="1"/>
      <c r="D435" s="1"/>
      <c r="E435" s="1"/>
      <c r="F435" s="1"/>
      <c r="H435" s="1"/>
      <c r="J435" s="13"/>
      <c r="L435" s="13"/>
      <c r="N435" s="1"/>
      <c r="P435" s="13"/>
      <c r="R435" s="13"/>
      <c r="T435" s="1"/>
      <c r="V435" s="13"/>
      <c r="X435" s="13"/>
      <c r="Z435" s="1"/>
      <c r="AB435" s="13"/>
      <c r="AD435" s="13"/>
      <c r="AG435" s="1"/>
    </row>
    <row r="436" spans="1:33" s="59" customFormat="1" ht="15">
      <c r="A436" s="1"/>
      <c r="B436" s="1"/>
      <c r="C436" s="1"/>
      <c r="D436" s="1"/>
      <c r="E436" s="1"/>
      <c r="F436" s="1"/>
      <c r="H436" s="1"/>
      <c r="J436" s="13"/>
      <c r="L436" s="13"/>
      <c r="N436" s="1"/>
      <c r="P436" s="13"/>
      <c r="R436" s="13"/>
      <c r="T436" s="1"/>
      <c r="V436" s="13"/>
      <c r="X436" s="13"/>
      <c r="Z436" s="1"/>
      <c r="AB436" s="13"/>
      <c r="AD436" s="13"/>
      <c r="AG436" s="1"/>
    </row>
    <row r="437" spans="1:33" s="59" customFormat="1" ht="15">
      <c r="A437" s="1"/>
      <c r="B437" s="1"/>
      <c r="C437" s="1"/>
      <c r="D437" s="1"/>
      <c r="E437" s="1"/>
      <c r="F437" s="1"/>
      <c r="H437" s="1"/>
      <c r="J437" s="13"/>
      <c r="L437" s="13"/>
      <c r="N437" s="1"/>
      <c r="P437" s="13"/>
      <c r="R437" s="13"/>
      <c r="T437" s="1"/>
      <c r="V437" s="13"/>
      <c r="X437" s="13"/>
      <c r="Z437" s="1"/>
      <c r="AB437" s="13"/>
      <c r="AD437" s="13"/>
      <c r="AG437" s="1"/>
    </row>
    <row r="438" spans="1:33" s="59" customFormat="1" ht="15">
      <c r="A438" s="1"/>
      <c r="B438" s="1"/>
      <c r="C438" s="1"/>
      <c r="D438" s="1"/>
      <c r="E438" s="1"/>
      <c r="F438" s="1"/>
      <c r="H438" s="1"/>
      <c r="J438" s="13"/>
      <c r="L438" s="13"/>
      <c r="N438" s="1"/>
      <c r="P438" s="13"/>
      <c r="R438" s="13"/>
      <c r="T438" s="1"/>
      <c r="V438" s="13"/>
      <c r="X438" s="13"/>
      <c r="Z438" s="1"/>
      <c r="AB438" s="13"/>
      <c r="AD438" s="13"/>
      <c r="AG438" s="1"/>
    </row>
    <row r="439" spans="1:33" s="59" customFormat="1" ht="15">
      <c r="A439" s="1"/>
      <c r="B439" s="1"/>
      <c r="C439" s="1"/>
      <c r="D439" s="1"/>
      <c r="E439" s="1"/>
      <c r="F439" s="1"/>
      <c r="H439" s="1"/>
      <c r="J439" s="13"/>
      <c r="L439" s="13"/>
      <c r="N439" s="1"/>
      <c r="P439" s="13"/>
      <c r="R439" s="13"/>
      <c r="T439" s="1"/>
      <c r="V439" s="13"/>
      <c r="X439" s="13"/>
      <c r="Z439" s="1"/>
      <c r="AB439" s="13"/>
      <c r="AD439" s="13"/>
      <c r="AG439" s="1"/>
    </row>
    <row r="440" spans="1:33" s="59" customFormat="1" ht="15">
      <c r="A440" s="1"/>
      <c r="B440" s="1"/>
      <c r="C440" s="1"/>
      <c r="D440" s="1"/>
      <c r="E440" s="1"/>
      <c r="F440" s="1"/>
      <c r="H440" s="1"/>
      <c r="J440" s="13"/>
      <c r="L440" s="13"/>
      <c r="N440" s="1"/>
      <c r="P440" s="13"/>
      <c r="R440" s="13"/>
      <c r="T440" s="1"/>
      <c r="V440" s="13"/>
      <c r="X440" s="13"/>
      <c r="Z440" s="1"/>
      <c r="AB440" s="13"/>
      <c r="AD440" s="13"/>
      <c r="AG440" s="1"/>
    </row>
    <row r="441" spans="1:33" s="59" customFormat="1" ht="15">
      <c r="A441" s="1"/>
      <c r="B441" s="1"/>
      <c r="C441" s="1"/>
      <c r="D441" s="1"/>
      <c r="E441" s="1"/>
      <c r="F441" s="1"/>
      <c r="H441" s="1"/>
      <c r="J441" s="13"/>
      <c r="L441" s="13"/>
      <c r="N441" s="1"/>
      <c r="P441" s="13"/>
      <c r="R441" s="13"/>
      <c r="T441" s="1"/>
      <c r="V441" s="13"/>
      <c r="X441" s="13"/>
      <c r="Z441" s="1"/>
      <c r="AB441" s="13"/>
      <c r="AD441" s="13"/>
      <c r="AG441" s="1"/>
    </row>
    <row r="442" spans="1:33" s="59" customFormat="1" ht="15">
      <c r="A442" s="1"/>
      <c r="B442" s="1"/>
      <c r="C442" s="1"/>
      <c r="D442" s="1"/>
      <c r="E442" s="1"/>
      <c r="F442" s="1"/>
      <c r="H442" s="1"/>
      <c r="J442" s="13"/>
      <c r="L442" s="13"/>
      <c r="N442" s="1"/>
      <c r="P442" s="13"/>
      <c r="R442" s="13"/>
      <c r="T442" s="1"/>
      <c r="V442" s="13"/>
      <c r="X442" s="13"/>
      <c r="Z442" s="1"/>
      <c r="AB442" s="13"/>
      <c r="AD442" s="13"/>
      <c r="AG442" s="1"/>
    </row>
    <row r="443" spans="1:33" s="59" customFormat="1" ht="15">
      <c r="A443" s="1"/>
      <c r="B443" s="1"/>
      <c r="C443" s="1"/>
      <c r="D443" s="1"/>
      <c r="E443" s="1"/>
      <c r="F443" s="1"/>
      <c r="H443" s="1"/>
      <c r="J443" s="13"/>
      <c r="L443" s="13"/>
      <c r="N443" s="1"/>
      <c r="P443" s="13"/>
      <c r="R443" s="13"/>
      <c r="T443" s="1"/>
      <c r="V443" s="13"/>
      <c r="X443" s="13"/>
      <c r="Z443" s="1"/>
      <c r="AB443" s="13"/>
      <c r="AD443" s="13"/>
      <c r="AG443" s="1"/>
    </row>
    <row r="444" spans="1:33" s="59" customFormat="1" ht="15">
      <c r="A444" s="1"/>
      <c r="B444" s="1"/>
      <c r="C444" s="1"/>
      <c r="D444" s="1"/>
      <c r="E444" s="1"/>
      <c r="F444" s="1"/>
      <c r="H444" s="1"/>
      <c r="J444" s="13"/>
      <c r="L444" s="13"/>
      <c r="N444" s="1"/>
      <c r="P444" s="13"/>
      <c r="R444" s="13"/>
      <c r="T444" s="1"/>
      <c r="V444" s="13"/>
      <c r="X444" s="13"/>
      <c r="Z444" s="1"/>
      <c r="AB444" s="13"/>
      <c r="AD444" s="13"/>
      <c r="AG444" s="1"/>
    </row>
    <row r="445" spans="1:33" s="59" customFormat="1" ht="15">
      <c r="A445" s="1"/>
      <c r="B445" s="1"/>
      <c r="C445" s="1"/>
      <c r="D445" s="1"/>
      <c r="E445" s="1"/>
      <c r="F445" s="1"/>
      <c r="H445" s="1"/>
      <c r="J445" s="13"/>
      <c r="L445" s="13"/>
      <c r="N445" s="1"/>
      <c r="P445" s="13"/>
      <c r="R445" s="13"/>
      <c r="T445" s="1"/>
      <c r="V445" s="13"/>
      <c r="X445" s="13"/>
      <c r="Z445" s="1"/>
      <c r="AB445" s="13"/>
      <c r="AD445" s="13"/>
      <c r="AG445" s="1"/>
    </row>
    <row r="446" spans="1:33" s="59" customFormat="1" ht="15">
      <c r="A446" s="1"/>
      <c r="B446" s="1"/>
      <c r="C446" s="1"/>
      <c r="D446" s="1"/>
      <c r="E446" s="1"/>
      <c r="F446" s="1"/>
      <c r="H446" s="1"/>
      <c r="J446" s="13"/>
      <c r="L446" s="13"/>
      <c r="N446" s="1"/>
      <c r="P446" s="13"/>
      <c r="R446" s="13"/>
      <c r="T446" s="1"/>
      <c r="V446" s="13"/>
      <c r="X446" s="13"/>
      <c r="Z446" s="1"/>
      <c r="AB446" s="13"/>
      <c r="AD446" s="13"/>
      <c r="AG446" s="1"/>
    </row>
    <row r="447" spans="1:33" s="59" customFormat="1" ht="15">
      <c r="A447" s="1"/>
      <c r="B447" s="1"/>
      <c r="C447" s="1"/>
      <c r="D447" s="1"/>
      <c r="E447" s="1"/>
      <c r="F447" s="1"/>
      <c r="H447" s="1"/>
      <c r="J447" s="13"/>
      <c r="L447" s="13"/>
      <c r="N447" s="1"/>
      <c r="P447" s="13"/>
      <c r="R447" s="13"/>
      <c r="T447" s="1"/>
      <c r="V447" s="13"/>
      <c r="X447" s="13"/>
      <c r="Z447" s="1"/>
      <c r="AB447" s="13"/>
      <c r="AD447" s="13"/>
      <c r="AG447" s="1"/>
    </row>
    <row r="448" spans="1:33" s="59" customFormat="1" ht="15">
      <c r="A448" s="1"/>
      <c r="B448" s="1"/>
      <c r="C448" s="1"/>
      <c r="D448" s="1"/>
      <c r="E448" s="1"/>
      <c r="F448" s="1"/>
      <c r="H448" s="1"/>
      <c r="J448" s="13"/>
      <c r="L448" s="13"/>
      <c r="N448" s="1"/>
      <c r="P448" s="13"/>
      <c r="R448" s="13"/>
      <c r="T448" s="1"/>
      <c r="V448" s="13"/>
      <c r="X448" s="13"/>
      <c r="Z448" s="1"/>
      <c r="AB448" s="13"/>
      <c r="AD448" s="13"/>
      <c r="AG448" s="1"/>
    </row>
    <row r="449" spans="1:33" s="59" customFormat="1" ht="15">
      <c r="A449" s="1"/>
      <c r="B449" s="1"/>
      <c r="C449" s="1"/>
      <c r="D449" s="1"/>
      <c r="E449" s="1"/>
      <c r="F449" s="1"/>
      <c r="H449" s="1"/>
      <c r="J449" s="13"/>
      <c r="L449" s="13"/>
      <c r="N449" s="1"/>
      <c r="P449" s="13"/>
      <c r="R449" s="13"/>
      <c r="T449" s="1"/>
      <c r="V449" s="13"/>
      <c r="X449" s="13"/>
      <c r="Z449" s="1"/>
      <c r="AB449" s="13"/>
      <c r="AD449" s="13"/>
      <c r="AG449" s="1"/>
    </row>
    <row r="450" spans="1:33" s="59" customFormat="1" ht="15">
      <c r="A450" s="1"/>
      <c r="B450" s="1"/>
      <c r="C450" s="1"/>
      <c r="D450" s="1"/>
      <c r="E450" s="1"/>
      <c r="F450" s="1"/>
      <c r="H450" s="1"/>
      <c r="J450" s="13"/>
      <c r="L450" s="13"/>
      <c r="N450" s="1"/>
      <c r="P450" s="13"/>
      <c r="R450" s="13"/>
      <c r="T450" s="1"/>
      <c r="V450" s="13"/>
      <c r="X450" s="13"/>
      <c r="Z450" s="1"/>
      <c r="AB450" s="13"/>
      <c r="AD450" s="13"/>
      <c r="AG450" s="1"/>
    </row>
    <row r="451" spans="1:33" s="59" customFormat="1" ht="15">
      <c r="A451" s="1"/>
      <c r="B451" s="1"/>
      <c r="C451" s="1"/>
      <c r="D451" s="1"/>
      <c r="E451" s="1"/>
      <c r="F451" s="1"/>
      <c r="H451" s="1"/>
      <c r="J451" s="13"/>
      <c r="L451" s="13"/>
      <c r="N451" s="1"/>
      <c r="P451" s="13"/>
      <c r="R451" s="13"/>
      <c r="T451" s="1"/>
      <c r="V451" s="13"/>
      <c r="X451" s="13"/>
      <c r="Z451" s="1"/>
      <c r="AB451" s="13"/>
      <c r="AD451" s="13"/>
      <c r="AG451" s="1"/>
    </row>
    <row r="452" spans="1:33" s="59" customFormat="1" ht="15">
      <c r="A452" s="1"/>
      <c r="B452" s="1"/>
      <c r="C452" s="1"/>
      <c r="D452" s="1"/>
      <c r="E452" s="1"/>
      <c r="F452" s="1"/>
      <c r="H452" s="1"/>
      <c r="J452" s="13"/>
      <c r="L452" s="13"/>
      <c r="N452" s="1"/>
      <c r="P452" s="13"/>
      <c r="R452" s="13"/>
      <c r="T452" s="1"/>
      <c r="V452" s="13"/>
      <c r="X452" s="13"/>
      <c r="Z452" s="1"/>
      <c r="AB452" s="13"/>
      <c r="AD452" s="13"/>
      <c r="AG452" s="1"/>
    </row>
    <row r="453" spans="1:33" s="59" customFormat="1" ht="15">
      <c r="A453" s="1"/>
      <c r="B453" s="1"/>
      <c r="C453" s="1"/>
      <c r="D453" s="1"/>
      <c r="E453" s="1"/>
      <c r="F453" s="1"/>
      <c r="H453" s="1"/>
      <c r="J453" s="13"/>
      <c r="L453" s="13"/>
      <c r="N453" s="1"/>
      <c r="P453" s="13"/>
      <c r="R453" s="13"/>
      <c r="T453" s="1"/>
      <c r="V453" s="13"/>
      <c r="X453" s="13"/>
      <c r="Z453" s="1"/>
      <c r="AB453" s="13"/>
      <c r="AD453" s="13"/>
      <c r="AG453" s="1"/>
    </row>
    <row r="454" spans="1:33" s="59" customFormat="1" ht="15">
      <c r="A454" s="1"/>
      <c r="B454" s="1"/>
      <c r="C454" s="1"/>
      <c r="D454" s="1"/>
      <c r="E454" s="1"/>
      <c r="F454" s="1"/>
      <c r="H454" s="1"/>
      <c r="J454" s="13"/>
      <c r="L454" s="13"/>
      <c r="N454" s="1"/>
      <c r="P454" s="13"/>
      <c r="R454" s="13"/>
      <c r="T454" s="1"/>
      <c r="V454" s="13"/>
      <c r="X454" s="13"/>
      <c r="Z454" s="1"/>
      <c r="AB454" s="13"/>
      <c r="AD454" s="13"/>
      <c r="AG454" s="1"/>
    </row>
    <row r="455" spans="1:33" s="59" customFormat="1" ht="15">
      <c r="A455" s="1"/>
      <c r="B455" s="1"/>
      <c r="C455" s="1"/>
      <c r="D455" s="1"/>
      <c r="E455" s="1"/>
      <c r="F455" s="1"/>
      <c r="H455" s="1"/>
      <c r="J455" s="13"/>
      <c r="L455" s="13"/>
      <c r="N455" s="1"/>
      <c r="P455" s="13"/>
      <c r="R455" s="13"/>
      <c r="T455" s="1"/>
      <c r="V455" s="13"/>
      <c r="X455" s="13"/>
      <c r="Z455" s="1"/>
      <c r="AB455" s="13"/>
      <c r="AD455" s="13"/>
      <c r="AG455" s="1"/>
    </row>
    <row r="456" spans="1:33" s="59" customFormat="1" ht="15">
      <c r="A456" s="1"/>
      <c r="B456" s="1"/>
      <c r="C456" s="1"/>
      <c r="D456" s="1"/>
      <c r="E456" s="1"/>
      <c r="F456" s="1"/>
      <c r="H456" s="1"/>
      <c r="J456" s="13"/>
      <c r="L456" s="13"/>
      <c r="N456" s="1"/>
      <c r="P456" s="13"/>
      <c r="R456" s="13"/>
      <c r="T456" s="1"/>
      <c r="V456" s="13"/>
      <c r="X456" s="13"/>
      <c r="Z456" s="1"/>
      <c r="AB456" s="13"/>
      <c r="AD456" s="13"/>
      <c r="AG456" s="1"/>
    </row>
    <row r="457" spans="1:33" s="59" customFormat="1" ht="15">
      <c r="A457" s="1"/>
      <c r="B457" s="1"/>
      <c r="C457" s="1"/>
      <c r="D457" s="1"/>
      <c r="E457" s="1"/>
      <c r="F457" s="1"/>
      <c r="H457" s="1"/>
      <c r="J457" s="13"/>
      <c r="L457" s="13"/>
      <c r="N457" s="1"/>
      <c r="P457" s="13"/>
      <c r="R457" s="13"/>
      <c r="T457" s="1"/>
      <c r="V457" s="13"/>
      <c r="X457" s="13"/>
      <c r="Z457" s="1"/>
      <c r="AB457" s="13"/>
      <c r="AD457" s="13"/>
      <c r="AG457" s="1"/>
    </row>
    <row r="458" spans="1:33" s="59" customFormat="1">
      <c r="A458" s="1"/>
      <c r="B458" s="1"/>
      <c r="C458" s="1"/>
      <c r="D458" s="1"/>
      <c r="E458" s="1"/>
      <c r="F458" s="1"/>
      <c r="H458" s="1"/>
      <c r="J458" s="1"/>
      <c r="L458" s="1"/>
      <c r="N458" s="1"/>
      <c r="P458" s="1"/>
      <c r="R458" s="1"/>
      <c r="T458" s="1"/>
      <c r="V458" s="1"/>
      <c r="X458" s="1"/>
      <c r="Z458" s="1"/>
      <c r="AB458" s="1"/>
      <c r="AD458" s="1"/>
      <c r="AF458" s="1"/>
      <c r="AG458" s="1"/>
    </row>
    <row r="459" spans="1:33" s="59" customFormat="1">
      <c r="A459" s="1"/>
      <c r="B459" s="1"/>
      <c r="C459" s="1"/>
      <c r="D459" s="1"/>
      <c r="E459" s="1"/>
      <c r="F459" s="1"/>
      <c r="H459" s="1"/>
      <c r="J459" s="1"/>
      <c r="L459" s="1"/>
      <c r="N459" s="1"/>
      <c r="P459" s="1"/>
      <c r="R459" s="1"/>
      <c r="T459" s="1"/>
      <c r="V459" s="1"/>
      <c r="X459" s="1"/>
      <c r="Z459" s="1"/>
      <c r="AB459" s="1"/>
      <c r="AD459" s="1"/>
      <c r="AF459" s="1"/>
      <c r="AG459" s="1"/>
    </row>
    <row r="460" spans="1:33" s="59" customFormat="1">
      <c r="A460" s="1"/>
      <c r="B460" s="1"/>
      <c r="C460" s="1"/>
      <c r="D460" s="1"/>
      <c r="E460" s="1"/>
      <c r="F460" s="1"/>
      <c r="H460" s="1"/>
      <c r="J460" s="1"/>
      <c r="L460" s="1"/>
      <c r="N460" s="1"/>
      <c r="P460" s="1"/>
      <c r="R460" s="1"/>
      <c r="T460" s="1"/>
      <c r="V460" s="1"/>
      <c r="X460" s="1"/>
      <c r="Z460" s="1"/>
      <c r="AB460" s="1"/>
      <c r="AD460" s="1"/>
      <c r="AF460" s="1"/>
      <c r="AG460" s="1"/>
    </row>
    <row r="461" spans="1:33" s="59" customFormat="1">
      <c r="A461" s="1"/>
      <c r="B461" s="1"/>
      <c r="C461" s="1"/>
      <c r="D461" s="1"/>
      <c r="E461" s="1"/>
      <c r="F461" s="1"/>
      <c r="H461" s="1"/>
      <c r="J461" s="1"/>
      <c r="L461" s="1"/>
      <c r="N461" s="1"/>
      <c r="P461" s="1"/>
      <c r="R461" s="1"/>
      <c r="T461" s="1"/>
      <c r="V461" s="1"/>
      <c r="X461" s="1"/>
      <c r="Z461" s="1"/>
      <c r="AB461" s="1"/>
      <c r="AD461" s="1"/>
      <c r="AF461" s="1"/>
      <c r="AG461" s="1"/>
    </row>
    <row r="462" spans="1:33" s="59" customFormat="1">
      <c r="A462" s="1"/>
      <c r="B462" s="1"/>
      <c r="C462" s="1"/>
      <c r="D462" s="1"/>
      <c r="E462" s="1"/>
      <c r="F462" s="1"/>
      <c r="H462" s="1"/>
      <c r="J462" s="1"/>
      <c r="L462" s="1"/>
      <c r="N462" s="1"/>
      <c r="P462" s="1"/>
      <c r="R462" s="1"/>
      <c r="T462" s="1"/>
      <c r="V462" s="1"/>
      <c r="X462" s="1"/>
      <c r="Z462" s="1"/>
      <c r="AB462" s="1"/>
      <c r="AD462" s="1"/>
      <c r="AF462" s="1"/>
      <c r="AG462" s="1"/>
    </row>
    <row r="463" spans="1:33" s="59" customFormat="1">
      <c r="A463" s="1"/>
      <c r="B463" s="1"/>
      <c r="C463" s="1"/>
      <c r="D463" s="1"/>
      <c r="E463" s="1"/>
      <c r="F463" s="1"/>
      <c r="H463" s="1"/>
      <c r="J463" s="1"/>
      <c r="L463" s="1"/>
      <c r="N463" s="1"/>
      <c r="P463" s="1"/>
      <c r="R463" s="1"/>
      <c r="T463" s="1"/>
      <c r="V463" s="1"/>
      <c r="X463" s="1"/>
      <c r="Z463" s="1"/>
      <c r="AB463" s="1"/>
      <c r="AD463" s="1"/>
      <c r="AF463" s="1"/>
      <c r="AG463" s="1"/>
    </row>
    <row r="464" spans="1:33" s="59" customFormat="1">
      <c r="A464" s="1"/>
      <c r="B464" s="1"/>
      <c r="C464" s="1"/>
      <c r="D464" s="1"/>
      <c r="E464" s="1"/>
      <c r="F464" s="1"/>
      <c r="H464" s="1"/>
      <c r="J464" s="1"/>
      <c r="L464" s="1"/>
      <c r="N464" s="1"/>
      <c r="P464" s="1"/>
      <c r="R464" s="1"/>
      <c r="T464" s="1"/>
      <c r="V464" s="1"/>
      <c r="X464" s="1"/>
      <c r="Z464" s="1"/>
      <c r="AB464" s="1"/>
      <c r="AD464" s="1"/>
      <c r="AF464" s="1"/>
      <c r="AG464" s="1"/>
    </row>
    <row r="465" spans="1:33" s="59" customFormat="1">
      <c r="A465" s="1"/>
      <c r="B465" s="1"/>
      <c r="C465" s="1"/>
      <c r="D465" s="1"/>
      <c r="E465" s="1"/>
      <c r="F465" s="1"/>
      <c r="H465" s="1"/>
      <c r="J465" s="1"/>
      <c r="L465" s="1"/>
      <c r="N465" s="1"/>
      <c r="P465" s="1"/>
      <c r="R465" s="1"/>
      <c r="T465" s="1"/>
      <c r="V465" s="1"/>
      <c r="X465" s="1"/>
      <c r="Z465" s="1"/>
      <c r="AB465" s="1"/>
      <c r="AD465" s="1"/>
      <c r="AF465" s="1"/>
      <c r="AG465" s="1"/>
    </row>
    <row r="466" spans="1:33" s="59" customFormat="1">
      <c r="A466" s="1"/>
      <c r="B466" s="1"/>
      <c r="C466" s="1"/>
      <c r="D466" s="1"/>
      <c r="E466" s="1"/>
      <c r="F466" s="1"/>
      <c r="H466" s="1"/>
      <c r="J466" s="1"/>
      <c r="L466" s="1"/>
      <c r="N466" s="1"/>
      <c r="P466" s="1"/>
      <c r="R466" s="1"/>
      <c r="T466" s="1"/>
      <c r="V466" s="1"/>
      <c r="X466" s="1"/>
      <c r="Z466" s="1"/>
      <c r="AB466" s="1"/>
      <c r="AD466" s="1"/>
      <c r="AF466" s="1"/>
      <c r="AG466" s="1"/>
    </row>
    <row r="467" spans="1:33" s="59" customFormat="1">
      <c r="A467" s="1"/>
      <c r="B467" s="1"/>
      <c r="C467" s="1"/>
      <c r="D467" s="1"/>
      <c r="E467" s="1"/>
      <c r="F467" s="1"/>
      <c r="H467" s="1"/>
      <c r="J467" s="1"/>
      <c r="L467" s="1"/>
      <c r="N467" s="1"/>
      <c r="P467" s="1"/>
      <c r="R467" s="1"/>
      <c r="T467" s="1"/>
      <c r="V467" s="1"/>
      <c r="X467" s="1"/>
      <c r="Z467" s="1"/>
      <c r="AB467" s="1"/>
      <c r="AD467" s="1"/>
      <c r="AF467" s="1"/>
      <c r="AG467" s="1"/>
    </row>
    <row r="468" spans="1:33" s="59" customFormat="1">
      <c r="A468" s="1"/>
      <c r="B468" s="1"/>
      <c r="C468" s="1"/>
      <c r="D468" s="1"/>
      <c r="E468" s="1"/>
      <c r="F468" s="1"/>
      <c r="H468" s="1"/>
      <c r="J468" s="1"/>
      <c r="L468" s="1"/>
      <c r="N468" s="1"/>
      <c r="P468" s="1"/>
      <c r="R468" s="1"/>
      <c r="T468" s="1"/>
      <c r="V468" s="1"/>
      <c r="X468" s="1"/>
      <c r="Z468" s="1"/>
      <c r="AB468" s="1"/>
      <c r="AD468" s="1"/>
      <c r="AF468" s="1"/>
      <c r="AG468" s="1"/>
    </row>
    <row r="469" spans="1:33" s="59" customFormat="1">
      <c r="A469" s="1"/>
      <c r="B469" s="1"/>
      <c r="C469" s="1"/>
      <c r="D469" s="1"/>
      <c r="E469" s="1"/>
      <c r="F469" s="1"/>
      <c r="H469" s="1"/>
      <c r="J469" s="1"/>
      <c r="L469" s="1"/>
      <c r="N469" s="1"/>
      <c r="P469" s="1"/>
      <c r="R469" s="1"/>
      <c r="T469" s="1"/>
      <c r="V469" s="1"/>
      <c r="X469" s="1"/>
      <c r="Z469" s="1"/>
      <c r="AB469" s="1"/>
      <c r="AD469" s="1"/>
      <c r="AF469" s="1"/>
      <c r="AG469" s="1"/>
    </row>
    <row r="470" spans="1:33" s="59" customFormat="1">
      <c r="A470" s="1"/>
      <c r="B470" s="1"/>
      <c r="C470" s="1"/>
      <c r="D470" s="1"/>
      <c r="E470" s="1"/>
      <c r="F470" s="1"/>
      <c r="H470" s="1"/>
      <c r="J470" s="1"/>
      <c r="L470" s="1"/>
      <c r="N470" s="1"/>
      <c r="P470" s="1"/>
      <c r="R470" s="1"/>
      <c r="T470" s="1"/>
      <c r="V470" s="1"/>
      <c r="X470" s="1"/>
      <c r="Z470" s="1"/>
      <c r="AB470" s="1"/>
      <c r="AD470" s="1"/>
      <c r="AF470" s="1"/>
      <c r="AG470" s="1"/>
    </row>
    <row r="471" spans="1:33" s="59" customFormat="1">
      <c r="A471" s="1"/>
      <c r="B471" s="1"/>
      <c r="C471" s="1"/>
      <c r="D471" s="1"/>
      <c r="E471" s="1"/>
      <c r="F471" s="1"/>
      <c r="H471" s="1"/>
      <c r="J471" s="1"/>
      <c r="L471" s="1"/>
      <c r="N471" s="1"/>
      <c r="P471" s="1"/>
      <c r="R471" s="1"/>
      <c r="T471" s="1"/>
      <c r="V471" s="1"/>
      <c r="X471" s="1"/>
      <c r="Z471" s="1"/>
      <c r="AB471" s="1"/>
      <c r="AD471" s="1"/>
      <c r="AF471" s="1"/>
      <c r="AG471" s="1"/>
    </row>
    <row r="472" spans="1:33" s="59" customFormat="1">
      <c r="A472" s="1"/>
      <c r="B472" s="1"/>
      <c r="C472" s="1"/>
      <c r="D472" s="1"/>
      <c r="E472" s="1"/>
      <c r="F472" s="1"/>
      <c r="H472" s="1"/>
      <c r="J472" s="1"/>
      <c r="L472" s="1"/>
      <c r="N472" s="1"/>
      <c r="P472" s="1"/>
      <c r="R472" s="1"/>
      <c r="T472" s="1"/>
      <c r="V472" s="1"/>
      <c r="X472" s="1"/>
      <c r="Z472" s="1"/>
      <c r="AB472" s="1"/>
      <c r="AD472" s="1"/>
      <c r="AF472" s="1"/>
      <c r="AG472" s="1"/>
    </row>
  </sheetData>
  <pageMargins left="0.25" right="0.25" top="0.27" bottom="0.4" header="0.18" footer="0.25"/>
  <pageSetup scale="58" fitToHeight="4" orientation="landscape" errors="blank" horizontalDpi="4294967292" r:id="rId1"/>
  <headerFooter alignWithMargins="0">
    <oddFooter>&amp;L&amp;F - &amp;A&amp;CPrinted &amp;D - &amp;T&amp;RPage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A59"/>
  <sheetViews>
    <sheetView workbookViewId="0">
      <selection activeCell="C10" sqref="C10"/>
    </sheetView>
  </sheetViews>
  <sheetFormatPr defaultRowHeight="15"/>
  <cols>
    <col min="1" max="1" width="24.85546875" customWidth="1"/>
    <col min="2" max="2" width="7.140625" bestFit="1" customWidth="1"/>
    <col min="3" max="3" width="8.140625" bestFit="1" customWidth="1"/>
    <col min="4" max="4" width="8" bestFit="1" customWidth="1"/>
    <col min="5" max="5" width="8.140625" bestFit="1" customWidth="1"/>
    <col min="6" max="6" width="9.5703125" bestFit="1" customWidth="1"/>
    <col min="7" max="7" width="9" bestFit="1" customWidth="1"/>
    <col min="8" max="8" width="9.5703125" customWidth="1"/>
    <col min="9" max="9" width="10" bestFit="1" customWidth="1"/>
    <col min="10" max="10" width="8" bestFit="1" customWidth="1"/>
    <col min="11" max="11" width="8.140625" bestFit="1" customWidth="1"/>
    <col min="12" max="12" width="10.85546875" customWidth="1"/>
    <col min="13" max="13" width="12" bestFit="1" customWidth="1"/>
    <col min="14" max="14" width="2.5703125" customWidth="1"/>
    <col min="15" max="15" width="10.28515625" bestFit="1" customWidth="1"/>
    <col min="16" max="16" width="7.7109375" bestFit="1" customWidth="1"/>
    <col min="17" max="17" width="10.7109375" bestFit="1" customWidth="1"/>
    <col min="18" max="18" width="15" bestFit="1" customWidth="1"/>
    <col min="19" max="19" width="3.7109375" customWidth="1"/>
    <col min="20" max="20" width="10.28515625" bestFit="1" customWidth="1"/>
    <col min="21" max="21" width="7.7109375" bestFit="1" customWidth="1"/>
    <col min="22" max="22" width="10.7109375" bestFit="1" customWidth="1"/>
    <col min="23" max="23" width="12.85546875" bestFit="1" customWidth="1"/>
    <col min="25" max="25" width="18.140625" customWidth="1"/>
    <col min="26" max="26" width="10.28515625" bestFit="1" customWidth="1"/>
    <col min="27" max="27" width="12" customWidth="1"/>
  </cols>
  <sheetData>
    <row r="1" spans="1:27">
      <c r="A1" s="418" t="s">
        <v>218</v>
      </c>
    </row>
    <row r="2" spans="1:27">
      <c r="A2" s="418" t="s">
        <v>1382</v>
      </c>
    </row>
    <row r="3" spans="1:27">
      <c r="A3" s="418" t="s">
        <v>373</v>
      </c>
    </row>
    <row r="4" spans="1:27">
      <c r="A4" s="418"/>
    </row>
    <row r="5" spans="1:27">
      <c r="A5" s="418"/>
      <c r="B5" s="1121" t="s">
        <v>1383</v>
      </c>
      <c r="C5" s="1121"/>
      <c r="D5" s="1121"/>
      <c r="E5" s="1121"/>
      <c r="F5" s="1121"/>
      <c r="G5" s="1121"/>
      <c r="H5" s="1121"/>
      <c r="I5" s="1121"/>
      <c r="J5" s="1121"/>
      <c r="K5" s="1121"/>
      <c r="L5" s="1121"/>
      <c r="M5" s="1121"/>
    </row>
    <row r="6" spans="1:27">
      <c r="B6" s="1122" t="s">
        <v>1384</v>
      </c>
      <c r="C6" s="1123"/>
      <c r="D6" s="1122" t="s">
        <v>1385</v>
      </c>
      <c r="E6" s="1123"/>
      <c r="F6" s="1122" t="s">
        <v>1386</v>
      </c>
      <c r="G6" s="1123"/>
      <c r="H6" s="1122" t="s">
        <v>1387</v>
      </c>
      <c r="I6" s="1123"/>
      <c r="J6" s="1122" t="s">
        <v>1388</v>
      </c>
      <c r="K6" s="1123"/>
      <c r="L6" s="618"/>
      <c r="M6" s="619"/>
      <c r="O6" s="1119" t="s">
        <v>1389</v>
      </c>
      <c r="P6" s="1119"/>
      <c r="Q6" s="1119"/>
      <c r="R6" s="1119"/>
      <c r="T6" s="1119" t="s">
        <v>1390</v>
      </c>
      <c r="U6" s="1119"/>
      <c r="V6" s="1119"/>
      <c r="W6" s="1119"/>
    </row>
    <row r="7" spans="1:27" ht="35.25" customHeight="1">
      <c r="B7" s="620" t="s">
        <v>1391</v>
      </c>
      <c r="C7" s="621" t="s">
        <v>1392</v>
      </c>
      <c r="D7" s="620" t="s">
        <v>1391</v>
      </c>
      <c r="E7" s="621" t="s">
        <v>1392</v>
      </c>
      <c r="F7" s="620" t="s">
        <v>1391</v>
      </c>
      <c r="G7" s="621" t="s">
        <v>1392</v>
      </c>
      <c r="H7" s="620" t="s">
        <v>1391</v>
      </c>
      <c r="I7" s="621" t="s">
        <v>1392</v>
      </c>
      <c r="J7" s="620" t="s">
        <v>1391</v>
      </c>
      <c r="K7" s="621" t="s">
        <v>1392</v>
      </c>
      <c r="L7" s="620" t="s">
        <v>1393</v>
      </c>
      <c r="M7" s="621" t="s">
        <v>1394</v>
      </c>
      <c r="O7" s="622" t="s">
        <v>1395</v>
      </c>
      <c r="P7" s="622" t="s">
        <v>1396</v>
      </c>
      <c r="Q7" s="622" t="s">
        <v>1397</v>
      </c>
      <c r="R7" s="623" t="s">
        <v>1398</v>
      </c>
      <c r="T7" s="622" t="s">
        <v>1395</v>
      </c>
      <c r="U7" s="622" t="s">
        <v>1396</v>
      </c>
      <c r="V7" s="622" t="s">
        <v>1397</v>
      </c>
      <c r="W7" s="623" t="s">
        <v>1399</v>
      </c>
      <c r="Y7" s="624" t="s">
        <v>1400</v>
      </c>
      <c r="Z7" s="624" t="s">
        <v>1395</v>
      </c>
      <c r="AA7" s="624" t="s">
        <v>1401</v>
      </c>
    </row>
    <row r="8" spans="1:27">
      <c r="A8" s="625" t="s">
        <v>1402</v>
      </c>
      <c r="B8" s="626"/>
      <c r="C8" s="627"/>
      <c r="D8" s="626"/>
      <c r="E8" s="627"/>
      <c r="F8" s="626"/>
      <c r="G8" s="627"/>
      <c r="H8" s="626"/>
      <c r="I8" s="627"/>
      <c r="J8" s="626"/>
      <c r="K8" s="627"/>
      <c r="L8" s="626"/>
      <c r="M8" s="627"/>
      <c r="T8" s="628"/>
      <c r="Y8" s="628">
        <v>42095</v>
      </c>
      <c r="Z8" s="628">
        <f>O10</f>
        <v>42128</v>
      </c>
      <c r="AA8">
        <f>Z8-Y8</f>
        <v>33</v>
      </c>
    </row>
    <row r="9" spans="1:27">
      <c r="A9" s="629" t="s">
        <v>1403</v>
      </c>
      <c r="B9" s="626"/>
      <c r="C9" s="630"/>
      <c r="D9" s="626"/>
      <c r="E9" s="630"/>
      <c r="F9" s="626">
        <v>54.42</v>
      </c>
      <c r="G9" s="630">
        <v>1306.08</v>
      </c>
      <c r="H9" s="626">
        <v>399.08</v>
      </c>
      <c r="I9" s="630">
        <v>6385.28</v>
      </c>
      <c r="J9" s="626"/>
      <c r="K9" s="630"/>
      <c r="L9" s="626">
        <v>453.5</v>
      </c>
      <c r="M9" s="630">
        <f>C9+E9+G9+I9+K9</f>
        <v>7691.36</v>
      </c>
      <c r="T9" s="628">
        <v>42474</v>
      </c>
      <c r="U9" s="631">
        <v>2.5000000000000001E-2</v>
      </c>
      <c r="V9" s="632">
        <f>SUM(E9,I9,K9)</f>
        <v>6385.28</v>
      </c>
      <c r="W9" s="632">
        <f>U9*V9</f>
        <v>159.63200000000001</v>
      </c>
      <c r="Z9" s="628">
        <f>O19</f>
        <v>42149</v>
      </c>
      <c r="AA9">
        <f>Z9-Y8</f>
        <v>54</v>
      </c>
    </row>
    <row r="10" spans="1:27">
      <c r="A10" s="629" t="s">
        <v>1404</v>
      </c>
      <c r="B10" s="626">
        <v>0</v>
      </c>
      <c r="C10" s="630">
        <f>161.7+207.58</f>
        <v>369.28</v>
      </c>
      <c r="D10" s="626">
        <v>40</v>
      </c>
      <c r="E10" s="630">
        <v>700</v>
      </c>
      <c r="F10" s="626">
        <v>388.01000000000005</v>
      </c>
      <c r="G10" s="630">
        <v>10202.700000000001</v>
      </c>
      <c r="H10" s="626">
        <v>1820.5500000000002</v>
      </c>
      <c r="I10" s="630">
        <v>31859.62</v>
      </c>
      <c r="J10" s="626">
        <v>32</v>
      </c>
      <c r="K10" s="630">
        <v>560</v>
      </c>
      <c r="L10" s="626">
        <v>2280.5600000000004</v>
      </c>
      <c r="M10" s="630">
        <f t="shared" ref="M10:M14" si="0">C10+E10+G10+I10+K10</f>
        <v>43691.6</v>
      </c>
      <c r="O10" s="628">
        <v>42128</v>
      </c>
      <c r="P10" s="631">
        <v>9.3799999999999994E-2</v>
      </c>
      <c r="Q10" s="633">
        <f>(E10+I10+K10)*(AA8/365)</f>
        <v>2994.3766027397255</v>
      </c>
      <c r="R10" s="634">
        <f>P10*Q10</f>
        <v>280.87252533698626</v>
      </c>
      <c r="T10" s="628">
        <v>42128</v>
      </c>
      <c r="U10" s="631">
        <v>2.5000000000000001E-2</v>
      </c>
      <c r="V10" s="632">
        <f t="shared" ref="V10:V11" si="1">SUM(E10,I10,K10)</f>
        <v>33119.619999999995</v>
      </c>
      <c r="W10" s="632">
        <f t="shared" ref="W10:W11" si="2">U10*V10</f>
        <v>827.99049999999988</v>
      </c>
    </row>
    <row r="11" spans="1:27">
      <c r="A11" s="629" t="s">
        <v>1405</v>
      </c>
      <c r="B11" s="626">
        <v>0</v>
      </c>
      <c r="C11" s="630">
        <f>367.75+799.9</f>
        <v>1167.6500000000001</v>
      </c>
      <c r="D11" s="626">
        <v>48</v>
      </c>
      <c r="E11" s="630">
        <v>912</v>
      </c>
      <c r="F11" s="626">
        <v>527.68999999999994</v>
      </c>
      <c r="G11" s="630">
        <v>15086.869999999997</v>
      </c>
      <c r="H11" s="626">
        <v>2071.3199999999997</v>
      </c>
      <c r="I11" s="630">
        <v>39355.08</v>
      </c>
      <c r="J11" s="626">
        <v>24</v>
      </c>
      <c r="K11" s="630">
        <v>456</v>
      </c>
      <c r="L11" s="626">
        <v>2671.0099999999998</v>
      </c>
      <c r="M11" s="630">
        <f t="shared" si="0"/>
        <v>56977.599999999999</v>
      </c>
      <c r="T11" s="628">
        <v>42474</v>
      </c>
      <c r="U11" s="631">
        <v>2.5000000000000001E-2</v>
      </c>
      <c r="V11" s="632">
        <f t="shared" si="1"/>
        <v>40723.08</v>
      </c>
      <c r="W11" s="632">
        <f t="shared" si="2"/>
        <v>1018.0770000000001</v>
      </c>
    </row>
    <row r="12" spans="1:27">
      <c r="A12" s="629" t="s">
        <v>1406</v>
      </c>
      <c r="B12" s="626"/>
      <c r="C12" s="630"/>
      <c r="D12" s="626"/>
      <c r="E12" s="630"/>
      <c r="F12" s="626">
        <v>39.879999999999995</v>
      </c>
      <c r="G12" s="630">
        <v>1106.6799999999998</v>
      </c>
      <c r="H12" s="626">
        <v>192.78</v>
      </c>
      <c r="I12" s="630">
        <v>3566.43</v>
      </c>
      <c r="J12" s="626"/>
      <c r="K12" s="630"/>
      <c r="L12" s="626">
        <v>232.66</v>
      </c>
      <c r="M12" s="630">
        <f t="shared" si="0"/>
        <v>4673.1099999999997</v>
      </c>
    </row>
    <row r="13" spans="1:27">
      <c r="A13" s="629" t="s">
        <v>1407</v>
      </c>
      <c r="B13" s="626">
        <v>0</v>
      </c>
      <c r="C13" s="630">
        <f>498.93+66.67</f>
        <v>565.6</v>
      </c>
      <c r="D13" s="626">
        <v>48</v>
      </c>
      <c r="E13" s="630">
        <v>787.2</v>
      </c>
      <c r="F13" s="626">
        <v>265.58999999999997</v>
      </c>
      <c r="G13" s="630">
        <v>6476.16</v>
      </c>
      <c r="H13" s="626">
        <v>1670.05</v>
      </c>
      <c r="I13" s="630">
        <v>27342.799999999999</v>
      </c>
      <c r="J13" s="626">
        <v>112</v>
      </c>
      <c r="K13" s="630">
        <v>1804.8000000000002</v>
      </c>
      <c r="L13" s="626">
        <v>2095.64</v>
      </c>
      <c r="M13" s="630">
        <f t="shared" si="0"/>
        <v>36976.560000000005</v>
      </c>
      <c r="O13" s="628"/>
      <c r="P13" s="631"/>
      <c r="Q13" s="635"/>
      <c r="R13" s="635"/>
    </row>
    <row r="14" spans="1:27">
      <c r="A14" s="629" t="s">
        <v>1408</v>
      </c>
      <c r="B14" s="626"/>
      <c r="C14" s="630"/>
      <c r="D14" s="626"/>
      <c r="E14" s="630"/>
      <c r="F14" s="626">
        <v>11.5</v>
      </c>
      <c r="G14" s="630">
        <v>276</v>
      </c>
      <c r="H14" s="626">
        <v>40</v>
      </c>
      <c r="I14" s="630">
        <v>640</v>
      </c>
      <c r="J14" s="626"/>
      <c r="K14" s="630"/>
      <c r="L14" s="626">
        <v>51.5</v>
      </c>
      <c r="M14" s="630">
        <f t="shared" si="0"/>
        <v>916</v>
      </c>
    </row>
    <row r="15" spans="1:27">
      <c r="A15" s="636" t="s">
        <v>1409</v>
      </c>
      <c r="B15" s="637">
        <f>SUM(B9:B14)</f>
        <v>0</v>
      </c>
      <c r="C15" s="638">
        <f t="shared" ref="C15:M15" si="3">SUM(C9:C14)</f>
        <v>2102.5300000000002</v>
      </c>
      <c r="D15" s="637">
        <f t="shared" si="3"/>
        <v>136</v>
      </c>
      <c r="E15" s="638">
        <f t="shared" si="3"/>
        <v>2399.1999999999998</v>
      </c>
      <c r="F15" s="637">
        <f t="shared" si="3"/>
        <v>1287.0899999999999</v>
      </c>
      <c r="G15" s="638">
        <f t="shared" si="3"/>
        <v>34454.49</v>
      </c>
      <c r="H15" s="637">
        <f t="shared" si="3"/>
        <v>6193.78</v>
      </c>
      <c r="I15" s="638">
        <f t="shared" si="3"/>
        <v>109149.21</v>
      </c>
      <c r="J15" s="637">
        <f t="shared" si="3"/>
        <v>168</v>
      </c>
      <c r="K15" s="638">
        <f t="shared" si="3"/>
        <v>2820.8</v>
      </c>
      <c r="L15" s="637">
        <f t="shared" si="3"/>
        <v>7784.869999999999</v>
      </c>
      <c r="M15" s="638">
        <f t="shared" si="3"/>
        <v>150926.23000000001</v>
      </c>
      <c r="R15" s="639">
        <f t="shared" ref="R15" si="4">SUM(R9:R14)</f>
        <v>280.87252533698626</v>
      </c>
      <c r="W15" s="639">
        <f t="shared" ref="W15" si="5">SUM(W9:W14)</f>
        <v>2005.6995000000002</v>
      </c>
    </row>
    <row r="16" spans="1:27">
      <c r="A16" s="629"/>
      <c r="B16" s="626"/>
      <c r="C16" s="630"/>
      <c r="D16" s="626"/>
      <c r="E16" s="630"/>
      <c r="F16" s="626"/>
      <c r="G16" s="630"/>
      <c r="H16" s="626"/>
      <c r="I16" s="630"/>
      <c r="J16" s="626"/>
      <c r="K16" s="630"/>
      <c r="L16" s="626"/>
      <c r="M16" s="630"/>
    </row>
    <row r="17" spans="1:23">
      <c r="A17" s="629"/>
      <c r="B17" s="626"/>
      <c r="C17" s="630"/>
      <c r="D17" s="626"/>
      <c r="E17" s="630"/>
      <c r="F17" s="626"/>
      <c r="G17" s="630"/>
      <c r="H17" s="626"/>
      <c r="I17" s="630"/>
      <c r="J17" s="626"/>
      <c r="K17" s="630"/>
      <c r="L17" s="626"/>
      <c r="M17" s="630"/>
    </row>
    <row r="18" spans="1:23">
      <c r="A18" s="625" t="s">
        <v>1410</v>
      </c>
      <c r="B18" s="626"/>
      <c r="C18" s="630"/>
      <c r="D18" s="626"/>
      <c r="E18" s="630"/>
      <c r="F18" s="626"/>
      <c r="G18" s="630"/>
      <c r="H18" s="626"/>
      <c r="I18" s="630"/>
      <c r="J18" s="626"/>
      <c r="K18" s="630"/>
      <c r="L18" s="626"/>
      <c r="M18" s="630"/>
    </row>
    <row r="19" spans="1:23">
      <c r="A19" s="629" t="s">
        <v>1411</v>
      </c>
      <c r="B19" s="626"/>
      <c r="C19" s="630">
        <v>769.03</v>
      </c>
      <c r="D19" s="626">
        <v>32</v>
      </c>
      <c r="E19" s="630">
        <v>557.12</v>
      </c>
      <c r="F19" s="626">
        <v>189.59</v>
      </c>
      <c r="G19" s="630">
        <v>4951.1499999999996</v>
      </c>
      <c r="H19" s="626">
        <v>1251.97</v>
      </c>
      <c r="I19" s="630">
        <v>21796.81</v>
      </c>
      <c r="J19" s="626">
        <v>48</v>
      </c>
      <c r="K19" s="630">
        <v>835.68</v>
      </c>
      <c r="L19" s="626">
        <v>1521.56</v>
      </c>
      <c r="M19" s="630">
        <f>C19+E19+G19+I19+K19</f>
        <v>28909.79</v>
      </c>
      <c r="O19" s="628">
        <v>42149</v>
      </c>
      <c r="P19" s="631">
        <v>2.5000000000000001E-2</v>
      </c>
      <c r="Q19" s="633">
        <f>(E19+I19+K19)*(AA9/365)</f>
        <v>3430.7916164383564</v>
      </c>
      <c r="R19" s="634">
        <f>P19*Q19</f>
        <v>85.769790410958919</v>
      </c>
      <c r="T19" s="628">
        <v>42149</v>
      </c>
      <c r="U19" s="631">
        <v>2.5000000000000001E-2</v>
      </c>
      <c r="V19" s="632">
        <f t="shared" ref="V19" si="6">SUM(E19,I19,K19)</f>
        <v>23189.61</v>
      </c>
      <c r="W19" s="632">
        <f t="shared" ref="W19" si="7">U19*V19</f>
        <v>579.74025000000006</v>
      </c>
    </row>
    <row r="20" spans="1:23">
      <c r="A20" s="636" t="s">
        <v>1412</v>
      </c>
      <c r="B20" s="637">
        <f>SUM(B19)</f>
        <v>0</v>
      </c>
      <c r="C20" s="638">
        <f t="shared" ref="C20:M20" si="8">SUM(C19)</f>
        <v>769.03</v>
      </c>
      <c r="D20" s="637">
        <f t="shared" si="8"/>
        <v>32</v>
      </c>
      <c r="E20" s="638">
        <f t="shared" si="8"/>
        <v>557.12</v>
      </c>
      <c r="F20" s="637">
        <f t="shared" si="8"/>
        <v>189.59</v>
      </c>
      <c r="G20" s="638">
        <f t="shared" si="8"/>
        <v>4951.1499999999996</v>
      </c>
      <c r="H20" s="637">
        <f t="shared" si="8"/>
        <v>1251.97</v>
      </c>
      <c r="I20" s="638">
        <f t="shared" si="8"/>
        <v>21796.81</v>
      </c>
      <c r="J20" s="637">
        <f t="shared" si="8"/>
        <v>48</v>
      </c>
      <c r="K20" s="638">
        <f t="shared" si="8"/>
        <v>835.68</v>
      </c>
      <c r="L20" s="637">
        <f t="shared" si="8"/>
        <v>1521.56</v>
      </c>
      <c r="M20" s="638">
        <f t="shared" si="8"/>
        <v>28909.79</v>
      </c>
      <c r="R20" s="639">
        <f t="shared" ref="R20" si="9">SUM(R19)</f>
        <v>85.769790410958919</v>
      </c>
      <c r="W20" s="639">
        <f t="shared" ref="W20" si="10">SUM(W19)</f>
        <v>579.74025000000006</v>
      </c>
    </row>
    <row r="21" spans="1:23">
      <c r="A21" s="629"/>
      <c r="B21" s="626"/>
      <c r="C21" s="630"/>
      <c r="D21" s="626"/>
      <c r="E21" s="630"/>
      <c r="F21" s="626"/>
      <c r="G21" s="630"/>
      <c r="H21" s="626"/>
      <c r="I21" s="630"/>
      <c r="J21" s="626"/>
      <c r="K21" s="630"/>
      <c r="L21" s="626"/>
      <c r="M21" s="630"/>
    </row>
    <row r="22" spans="1:23">
      <c r="A22" s="625" t="s">
        <v>1591</v>
      </c>
      <c r="B22" s="626"/>
      <c r="C22" s="630"/>
      <c r="D22" s="626"/>
      <c r="E22" s="630"/>
      <c r="F22" s="626"/>
      <c r="G22" s="630"/>
      <c r="H22" s="626"/>
      <c r="I22" s="630"/>
      <c r="J22" s="626"/>
      <c r="K22" s="630"/>
      <c r="L22" s="626"/>
      <c r="M22" s="630"/>
    </row>
    <row r="23" spans="1:23">
      <c r="A23" s="629" t="s">
        <v>1413</v>
      </c>
      <c r="B23" s="626"/>
      <c r="C23" s="630"/>
      <c r="D23" s="626"/>
      <c r="E23" s="630"/>
      <c r="F23" s="626"/>
      <c r="G23" s="630"/>
      <c r="H23" s="626">
        <v>2080</v>
      </c>
      <c r="I23" s="630">
        <v>65312.5</v>
      </c>
      <c r="J23" s="626">
        <v>8</v>
      </c>
      <c r="K23" s="630">
        <v>250</v>
      </c>
      <c r="L23" s="626">
        <v>2088</v>
      </c>
      <c r="M23" s="630">
        <f>C23+E23+G23+I23+K23</f>
        <v>65562.5</v>
      </c>
      <c r="O23" s="628"/>
      <c r="P23" s="631"/>
      <c r="Q23" s="635"/>
      <c r="R23" s="635"/>
      <c r="T23" s="628">
        <v>42380</v>
      </c>
      <c r="U23" s="631">
        <v>2.5000000000000001E-2</v>
      </c>
      <c r="V23" s="632">
        <f t="shared" ref="V23" si="11">SUM(E23,I23,K23)</f>
        <v>65562.5</v>
      </c>
      <c r="W23" s="632">
        <f t="shared" ref="W23" si="12">U23*V23</f>
        <v>1639.0625</v>
      </c>
    </row>
    <row r="24" spans="1:23">
      <c r="A24" s="636" t="s">
        <v>1414</v>
      </c>
      <c r="B24" s="637">
        <f>SUM(B23)</f>
        <v>0</v>
      </c>
      <c r="C24" s="638">
        <f t="shared" ref="C24:M24" si="13">SUM(C23)</f>
        <v>0</v>
      </c>
      <c r="D24" s="637">
        <f t="shared" si="13"/>
        <v>0</v>
      </c>
      <c r="E24" s="638">
        <f t="shared" si="13"/>
        <v>0</v>
      </c>
      <c r="F24" s="637">
        <f t="shared" si="13"/>
        <v>0</v>
      </c>
      <c r="G24" s="638">
        <f t="shared" si="13"/>
        <v>0</v>
      </c>
      <c r="H24" s="637">
        <f t="shared" si="13"/>
        <v>2080</v>
      </c>
      <c r="I24" s="638">
        <f t="shared" si="13"/>
        <v>65312.5</v>
      </c>
      <c r="J24" s="637">
        <f t="shared" si="13"/>
        <v>8</v>
      </c>
      <c r="K24" s="638">
        <f t="shared" si="13"/>
        <v>250</v>
      </c>
      <c r="L24" s="637">
        <f t="shared" si="13"/>
        <v>2088</v>
      </c>
      <c r="M24" s="638">
        <f t="shared" si="13"/>
        <v>65562.5</v>
      </c>
      <c r="R24" s="639">
        <f t="shared" ref="R24" si="14">SUM(R23)</f>
        <v>0</v>
      </c>
      <c r="W24" s="639">
        <f t="shared" ref="W24" si="15">SUM(W23)</f>
        <v>1639.0625</v>
      </c>
    </row>
    <row r="25" spans="1:23">
      <c r="A25" s="629"/>
      <c r="B25" s="626"/>
      <c r="C25" s="630"/>
      <c r="D25" s="626"/>
      <c r="E25" s="630"/>
      <c r="F25" s="626"/>
      <c r="G25" s="630"/>
      <c r="H25" s="626"/>
      <c r="I25" s="630"/>
      <c r="J25" s="626"/>
      <c r="K25" s="630"/>
      <c r="L25" s="626"/>
      <c r="M25" s="630"/>
    </row>
    <row r="26" spans="1:23">
      <c r="A26" s="625" t="s">
        <v>1415</v>
      </c>
      <c r="B26" s="626"/>
      <c r="C26" s="630"/>
      <c r="D26" s="626"/>
      <c r="E26" s="630"/>
      <c r="F26" s="626"/>
      <c r="G26" s="630"/>
      <c r="H26" s="626"/>
      <c r="I26" s="630"/>
      <c r="J26" s="626"/>
      <c r="K26" s="630"/>
      <c r="L26" s="626"/>
      <c r="M26" s="630"/>
    </row>
    <row r="27" spans="1:23">
      <c r="A27" s="629" t="s">
        <v>1416</v>
      </c>
      <c r="B27" s="626">
        <v>0</v>
      </c>
      <c r="C27" s="630">
        <v>145</v>
      </c>
      <c r="D27" s="626"/>
      <c r="E27" s="630"/>
      <c r="F27" s="626">
        <v>8.83</v>
      </c>
      <c r="G27" s="630">
        <v>200.3</v>
      </c>
      <c r="H27" s="626">
        <v>174.1</v>
      </c>
      <c r="I27" s="630">
        <v>2611.5</v>
      </c>
      <c r="J27" s="626"/>
      <c r="K27" s="630"/>
      <c r="L27" s="626">
        <v>182.93</v>
      </c>
      <c r="M27" s="630">
        <f t="shared" ref="M27:M28" si="16">C27+E27+G27+I27+K27</f>
        <v>2956.8</v>
      </c>
    </row>
    <row r="28" spans="1:23">
      <c r="A28" s="629" t="s">
        <v>1417</v>
      </c>
      <c r="B28" s="626">
        <v>0</v>
      </c>
      <c r="C28" s="630">
        <v>2940</v>
      </c>
      <c r="D28" s="626">
        <v>48</v>
      </c>
      <c r="E28" s="630">
        <v>720</v>
      </c>
      <c r="F28" s="626">
        <v>223.93000000000004</v>
      </c>
      <c r="G28" s="630">
        <v>5183.5599999999986</v>
      </c>
      <c r="H28" s="626">
        <v>1935.13</v>
      </c>
      <c r="I28" s="630">
        <v>29026.95</v>
      </c>
      <c r="J28" s="626">
        <v>69.17</v>
      </c>
      <c r="K28" s="630">
        <v>1037.55</v>
      </c>
      <c r="L28" s="626">
        <v>2276.2300000000005</v>
      </c>
      <c r="M28" s="630">
        <f t="shared" si="16"/>
        <v>38908.06</v>
      </c>
      <c r="O28" s="628"/>
      <c r="P28" s="631"/>
      <c r="Q28" s="635"/>
      <c r="R28" s="635"/>
      <c r="T28" s="628">
        <v>42474</v>
      </c>
      <c r="U28" s="631">
        <v>2.5000000000000001E-2</v>
      </c>
      <c r="V28" s="632">
        <f t="shared" ref="V28" si="17">SUM(E28,I28,K28)</f>
        <v>30784.5</v>
      </c>
      <c r="W28" s="632">
        <f>U28*V28</f>
        <v>769.61250000000007</v>
      </c>
    </row>
    <row r="29" spans="1:23">
      <c r="A29" s="636" t="s">
        <v>1418</v>
      </c>
      <c r="B29" s="637">
        <f>SUM(B27:B28)</f>
        <v>0</v>
      </c>
      <c r="C29" s="638">
        <f t="shared" ref="C29:M29" si="18">SUM(C27:C28)</f>
        <v>3085</v>
      </c>
      <c r="D29" s="637">
        <f t="shared" si="18"/>
        <v>48</v>
      </c>
      <c r="E29" s="638">
        <f t="shared" si="18"/>
        <v>720</v>
      </c>
      <c r="F29" s="637">
        <f t="shared" si="18"/>
        <v>232.76000000000005</v>
      </c>
      <c r="G29" s="638">
        <f t="shared" si="18"/>
        <v>5383.8599999999988</v>
      </c>
      <c r="H29" s="637">
        <f t="shared" si="18"/>
        <v>2109.23</v>
      </c>
      <c r="I29" s="638">
        <f t="shared" si="18"/>
        <v>31638.45</v>
      </c>
      <c r="J29" s="637">
        <f t="shared" si="18"/>
        <v>69.17</v>
      </c>
      <c r="K29" s="638">
        <f t="shared" si="18"/>
        <v>1037.55</v>
      </c>
      <c r="L29" s="637">
        <f t="shared" si="18"/>
        <v>2459.1600000000003</v>
      </c>
      <c r="M29" s="638">
        <f t="shared" si="18"/>
        <v>41864.86</v>
      </c>
      <c r="R29" s="639">
        <f t="shared" ref="R29" si="19">SUM(R27:R28)</f>
        <v>0</v>
      </c>
      <c r="W29" s="639">
        <f t="shared" ref="W29" si="20">SUM(W27:W28)</f>
        <v>769.61250000000007</v>
      </c>
    </row>
    <row r="31" spans="1:23" ht="15.75" thickBot="1">
      <c r="L31" s="1120" t="s">
        <v>1419</v>
      </c>
      <c r="M31" s="1120"/>
      <c r="R31" s="640">
        <f>R15+R20+R24+R29</f>
        <v>366.64231574794519</v>
      </c>
      <c r="W31" s="640">
        <f>W15+W20+W24+W29</f>
        <v>4994.1147500000006</v>
      </c>
    </row>
    <row r="33" spans="12:13">
      <c r="L33" s="1118" t="s">
        <v>1420</v>
      </c>
      <c r="M33" s="1118"/>
    </row>
    <row r="34" spans="12:13">
      <c r="L34" s="641" t="s">
        <v>1421</v>
      </c>
      <c r="M34" s="633">
        <f>M15</f>
        <v>150926.23000000001</v>
      </c>
    </row>
    <row r="35" spans="12:13">
      <c r="L35" s="641" t="s">
        <v>430</v>
      </c>
      <c r="M35" s="865">
        <f>'Consolidated IS'!C60</f>
        <v>153283.60999999999</v>
      </c>
    </row>
    <row r="36" spans="12:13">
      <c r="L36" s="641" t="s">
        <v>589</v>
      </c>
      <c r="M36" s="633">
        <f>M34-M35</f>
        <v>-2357.3799999999756</v>
      </c>
    </row>
    <row r="39" spans="12:13">
      <c r="L39" s="1118" t="s">
        <v>599</v>
      </c>
      <c r="M39" s="1118"/>
    </row>
    <row r="40" spans="12:13">
      <c r="L40" s="641" t="s">
        <v>1421</v>
      </c>
      <c r="M40" s="633">
        <f>M20</f>
        <v>28909.79</v>
      </c>
    </row>
    <row r="41" spans="12:13">
      <c r="L41" s="641" t="s">
        <v>430</v>
      </c>
      <c r="M41" s="865">
        <f>'Consolidated IS'!C28</f>
        <v>29791.74</v>
      </c>
    </row>
    <row r="42" spans="12:13">
      <c r="L42" s="641" t="s">
        <v>589</v>
      </c>
      <c r="M42" s="633">
        <f>M40-M41</f>
        <v>-881.95000000000073</v>
      </c>
    </row>
    <row r="45" spans="12:13">
      <c r="L45" s="1118" t="s">
        <v>600</v>
      </c>
      <c r="M45" s="1118"/>
    </row>
    <row r="46" spans="12:13">
      <c r="L46" s="641" t="s">
        <v>1421</v>
      </c>
      <c r="M46" s="633">
        <f>M24</f>
        <v>65562.5</v>
      </c>
    </row>
    <row r="47" spans="12:13">
      <c r="L47" s="641" t="s">
        <v>430</v>
      </c>
      <c r="M47" s="865">
        <f>'Consolidated IS'!C52</f>
        <v>66274.87</v>
      </c>
    </row>
    <row r="48" spans="12:13">
      <c r="L48" s="641" t="s">
        <v>589</v>
      </c>
      <c r="M48" s="633">
        <f>M46-M47</f>
        <v>-712.36999999999534</v>
      </c>
    </row>
    <row r="51" spans="12:13">
      <c r="L51" s="1118" t="s">
        <v>1422</v>
      </c>
      <c r="M51" s="1118"/>
    </row>
    <row r="52" spans="12:13">
      <c r="L52" s="641" t="s">
        <v>1421</v>
      </c>
      <c r="M52" s="633">
        <f>M29</f>
        <v>41864.86</v>
      </c>
    </row>
    <row r="53" spans="12:13">
      <c r="L53" s="641" t="s">
        <v>430</v>
      </c>
      <c r="M53" s="865">
        <f>'Consolidated IS'!C94</f>
        <v>66670.930000000008</v>
      </c>
    </row>
    <row r="54" spans="12:13">
      <c r="L54" s="641" t="s">
        <v>589</v>
      </c>
      <c r="M54" s="633">
        <f>M52-M53</f>
        <v>-24806.070000000007</v>
      </c>
    </row>
    <row r="56" spans="12:13">
      <c r="L56" s="641" t="s">
        <v>1423</v>
      </c>
      <c r="M56" s="633">
        <v>6325.58</v>
      </c>
    </row>
    <row r="57" spans="12:13">
      <c r="L57" s="641" t="s">
        <v>1424</v>
      </c>
      <c r="M57" s="633">
        <v>1636.44</v>
      </c>
    </row>
    <row r="58" spans="12:13">
      <c r="L58" s="641" t="s">
        <v>1425</v>
      </c>
      <c r="M58" s="642">
        <f>12025+4875</f>
        <v>16900</v>
      </c>
    </row>
    <row r="59" spans="12:13">
      <c r="L59" s="641" t="s">
        <v>1426</v>
      </c>
      <c r="M59" s="643">
        <f>M54+M56+M57+M58</f>
        <v>55.949999999993452</v>
      </c>
    </row>
  </sheetData>
  <mergeCells count="13">
    <mergeCell ref="B5:M5"/>
    <mergeCell ref="B6:C6"/>
    <mergeCell ref="D6:E6"/>
    <mergeCell ref="F6:G6"/>
    <mergeCell ref="H6:I6"/>
    <mergeCell ref="J6:K6"/>
    <mergeCell ref="L51:M51"/>
    <mergeCell ref="O6:R6"/>
    <mergeCell ref="T6:W6"/>
    <mergeCell ref="L31:M31"/>
    <mergeCell ref="L33:M33"/>
    <mergeCell ref="L39:M39"/>
    <mergeCell ref="L45:M45"/>
  </mergeCells>
  <pageMargins left="0.7" right="0.7" top="0.75" bottom="0.75" header="0.3" footer="0.3"/>
  <pageSetup scale="54" orientation="landscape" r:id="rId1"/>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G25"/>
  <sheetViews>
    <sheetView workbookViewId="0"/>
  </sheetViews>
  <sheetFormatPr defaultRowHeight="15"/>
  <cols>
    <col min="1" max="1" width="29.42578125" customWidth="1"/>
    <col min="2" max="2" width="13.7109375" bestFit="1" customWidth="1"/>
    <col min="3" max="3" width="15.85546875" bestFit="1" customWidth="1"/>
  </cols>
  <sheetData>
    <row r="1" spans="1:7">
      <c r="A1" s="418" t="s">
        <v>218</v>
      </c>
    </row>
    <row r="2" spans="1:7">
      <c r="A2" s="418" t="s">
        <v>1447</v>
      </c>
    </row>
    <row r="4" spans="1:7" ht="75" customHeight="1">
      <c r="A4" s="1124" t="s">
        <v>1448</v>
      </c>
      <c r="B4" s="1124"/>
      <c r="C4" s="1124"/>
      <c r="D4" s="1124"/>
      <c r="E4" s="1124"/>
      <c r="F4" s="1124"/>
      <c r="G4" s="1124"/>
    </row>
    <row r="6" spans="1:7">
      <c r="A6" s="873"/>
      <c r="B6" s="635"/>
      <c r="C6" s="635"/>
    </row>
    <row r="7" spans="1:7">
      <c r="A7" s="866" t="s">
        <v>120</v>
      </c>
      <c r="B7" s="866" t="s">
        <v>19</v>
      </c>
      <c r="C7" s="874" t="s">
        <v>1444</v>
      </c>
    </row>
    <row r="8" spans="1:7">
      <c r="A8" s="867" t="s">
        <v>1433</v>
      </c>
      <c r="B8" s="868">
        <v>56732551</v>
      </c>
      <c r="C8" s="439">
        <f>B8/$B$19</f>
        <v>0.38446815904761689</v>
      </c>
    </row>
    <row r="9" spans="1:7">
      <c r="A9" s="869" t="s">
        <v>1434</v>
      </c>
      <c r="B9" s="700">
        <v>35158005</v>
      </c>
      <c r="C9" s="439">
        <f t="shared" ref="C9:C18" si="0">B9/$B$19</f>
        <v>0.23826063203357292</v>
      </c>
    </row>
    <row r="10" spans="1:7">
      <c r="A10" s="869" t="s">
        <v>1435</v>
      </c>
      <c r="B10" s="700">
        <v>931180</v>
      </c>
      <c r="C10" s="439">
        <f t="shared" si="0"/>
        <v>6.3104699864802464E-3</v>
      </c>
    </row>
    <row r="11" spans="1:7">
      <c r="A11" s="869" t="s">
        <v>1436</v>
      </c>
      <c r="B11" s="700">
        <v>2740466</v>
      </c>
      <c r="C11" s="439">
        <f t="shared" si="0"/>
        <v>1.857173526275218E-2</v>
      </c>
    </row>
    <row r="12" spans="1:7">
      <c r="A12" s="869" t="s">
        <v>1437</v>
      </c>
      <c r="B12" s="700">
        <v>4400000</v>
      </c>
      <c r="C12" s="439">
        <f t="shared" si="0"/>
        <v>2.9818153246969525E-2</v>
      </c>
    </row>
    <row r="13" spans="1:7">
      <c r="A13" s="869" t="s">
        <v>1438</v>
      </c>
      <c r="B13" s="700">
        <v>21792832</v>
      </c>
      <c r="C13" s="439">
        <f t="shared" si="0"/>
        <v>0.14768681915033213</v>
      </c>
    </row>
    <row r="14" spans="1:7">
      <c r="A14" s="869" t="s">
        <v>1439</v>
      </c>
      <c r="B14" s="700">
        <v>900000</v>
      </c>
      <c r="C14" s="439">
        <f t="shared" si="0"/>
        <v>6.0991677096074032E-3</v>
      </c>
    </row>
    <row r="15" spans="1:7">
      <c r="A15" s="869" t="s">
        <v>1440</v>
      </c>
      <c r="B15" s="700">
        <v>4054347</v>
      </c>
      <c r="C15" s="439">
        <f t="shared" si="0"/>
        <v>2.7475713673270716E-2</v>
      </c>
    </row>
    <row r="16" spans="1:7">
      <c r="A16" s="869" t="s">
        <v>1441</v>
      </c>
      <c r="B16" s="700">
        <v>4062205</v>
      </c>
      <c r="C16" s="439">
        <f t="shared" si="0"/>
        <v>2.75289661842286E-2</v>
      </c>
    </row>
    <row r="17" spans="1:3">
      <c r="A17" s="869" t="s">
        <v>1442</v>
      </c>
      <c r="B17" s="700">
        <v>3571865</v>
      </c>
      <c r="C17" s="439">
        <f t="shared" si="0"/>
        <v>2.4206004078974275E-2</v>
      </c>
    </row>
    <row r="18" spans="1:3">
      <c r="A18" s="870" t="s">
        <v>1443</v>
      </c>
      <c r="B18" s="642">
        <v>13217666</v>
      </c>
      <c r="C18" s="440">
        <f t="shared" si="0"/>
        <v>8.9574179626195155E-2</v>
      </c>
    </row>
    <row r="19" spans="1:3" ht="15.75" thickBot="1">
      <c r="B19" s="871">
        <f t="shared" ref="B19:C19" si="1">SUM(B8:B18)</f>
        <v>147561117</v>
      </c>
      <c r="C19" s="872">
        <f t="shared" si="1"/>
        <v>1</v>
      </c>
    </row>
    <row r="22" spans="1:3">
      <c r="B22" s="641" t="s">
        <v>1445</v>
      </c>
      <c r="C22" s="634">
        <v>174917.46</v>
      </c>
    </row>
    <row r="23" spans="1:3">
      <c r="B23" s="641"/>
      <c r="C23" s="634"/>
    </row>
    <row r="24" spans="1:3">
      <c r="B24" s="641" t="s">
        <v>1446</v>
      </c>
      <c r="C24" s="634">
        <f>C22*C14</f>
        <v>1066.8509238785446</v>
      </c>
    </row>
    <row r="25" spans="1:3">
      <c r="B25" s="641" t="s">
        <v>34</v>
      </c>
      <c r="C25" s="634">
        <f>C24*0.0765</f>
        <v>81.614095676708658</v>
      </c>
    </row>
  </sheetData>
  <mergeCells count="1">
    <mergeCell ref="A4:G4"/>
  </mergeCells>
  <pageMargins left="0.7" right="0.7" top="0.75" bottom="0.75" header="0.3" footer="0.3"/>
  <pageSetup scale="95"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J92"/>
  <sheetViews>
    <sheetView topLeftCell="A5" workbookViewId="0">
      <selection activeCell="A5" sqref="A5:G92"/>
    </sheetView>
  </sheetViews>
  <sheetFormatPr defaultRowHeight="15" outlineLevelRow="1"/>
  <cols>
    <col min="1" max="1" width="9.140625" style="173"/>
    <col min="2" max="2" width="36.140625" style="173" bestFit="1" customWidth="1"/>
    <col min="3" max="4" width="18" style="173" bestFit="1" customWidth="1"/>
    <col min="5" max="5" width="17.140625" style="173" customWidth="1"/>
    <col min="6" max="6" width="12.28515625" style="174" bestFit="1" customWidth="1"/>
    <col min="7" max="7" width="14.28515625" style="175" bestFit="1" customWidth="1"/>
    <col min="8" max="8" width="19.7109375" style="176" customWidth="1"/>
    <col min="9" max="10" width="9.140625" style="176"/>
    <col min="11" max="257" width="9.140625" style="173"/>
    <col min="258" max="258" width="36.140625" style="173" bestFit="1" customWidth="1"/>
    <col min="259" max="260" width="18" style="173" bestFit="1" customWidth="1"/>
    <col min="261" max="261" width="13.5703125" style="173" customWidth="1"/>
    <col min="262" max="513" width="9.140625" style="173"/>
    <col min="514" max="514" width="36.140625" style="173" bestFit="1" customWidth="1"/>
    <col min="515" max="516" width="18" style="173" bestFit="1" customWidth="1"/>
    <col min="517" max="517" width="13.5703125" style="173" customWidth="1"/>
    <col min="518" max="769" width="9.140625" style="173"/>
    <col min="770" max="770" width="36.140625" style="173" bestFit="1" customWidth="1"/>
    <col min="771" max="772" width="18" style="173" bestFit="1" customWidth="1"/>
    <col min="773" max="773" width="13.5703125" style="173" customWidth="1"/>
    <col min="774" max="1025" width="9.140625" style="173"/>
    <col min="1026" max="1026" width="36.140625" style="173" bestFit="1" customWidth="1"/>
    <col min="1027" max="1028" width="18" style="173" bestFit="1" customWidth="1"/>
    <col min="1029" max="1029" width="13.5703125" style="173" customWidth="1"/>
    <col min="1030" max="1281" width="9.140625" style="173"/>
    <col min="1282" max="1282" width="36.140625" style="173" bestFit="1" customWidth="1"/>
    <col min="1283" max="1284" width="18" style="173" bestFit="1" customWidth="1"/>
    <col min="1285" max="1285" width="13.5703125" style="173" customWidth="1"/>
    <col min="1286" max="1537" width="9.140625" style="173"/>
    <col min="1538" max="1538" width="36.140625" style="173" bestFit="1" customWidth="1"/>
    <col min="1539" max="1540" width="18" style="173" bestFit="1" customWidth="1"/>
    <col min="1541" max="1541" width="13.5703125" style="173" customWidth="1"/>
    <col min="1542" max="1793" width="9.140625" style="173"/>
    <col min="1794" max="1794" width="36.140625" style="173" bestFit="1" customWidth="1"/>
    <col min="1795" max="1796" width="18" style="173" bestFit="1" customWidth="1"/>
    <col min="1797" max="1797" width="13.5703125" style="173" customWidth="1"/>
    <col min="1798" max="2049" width="9.140625" style="173"/>
    <col min="2050" max="2050" width="36.140625" style="173" bestFit="1" customWidth="1"/>
    <col min="2051" max="2052" width="18" style="173" bestFit="1" customWidth="1"/>
    <col min="2053" max="2053" width="13.5703125" style="173" customWidth="1"/>
    <col min="2054" max="2305" width="9.140625" style="173"/>
    <col min="2306" max="2306" width="36.140625" style="173" bestFit="1" customWidth="1"/>
    <col min="2307" max="2308" width="18" style="173" bestFit="1" customWidth="1"/>
    <col min="2309" max="2309" width="13.5703125" style="173" customWidth="1"/>
    <col min="2310" max="2561" width="9.140625" style="173"/>
    <col min="2562" max="2562" width="36.140625" style="173" bestFit="1" customWidth="1"/>
    <col min="2563" max="2564" width="18" style="173" bestFit="1" customWidth="1"/>
    <col min="2565" max="2565" width="13.5703125" style="173" customWidth="1"/>
    <col min="2566" max="2817" width="9.140625" style="173"/>
    <col min="2818" max="2818" width="36.140625" style="173" bestFit="1" customWidth="1"/>
    <col min="2819" max="2820" width="18" style="173" bestFit="1" customWidth="1"/>
    <col min="2821" max="2821" width="13.5703125" style="173" customWidth="1"/>
    <col min="2822" max="3073" width="9.140625" style="173"/>
    <col min="3074" max="3074" width="36.140625" style="173" bestFit="1" customWidth="1"/>
    <col min="3075" max="3076" width="18" style="173" bestFit="1" customWidth="1"/>
    <col min="3077" max="3077" width="13.5703125" style="173" customWidth="1"/>
    <col min="3078" max="3329" width="9.140625" style="173"/>
    <col min="3330" max="3330" width="36.140625" style="173" bestFit="1" customWidth="1"/>
    <col min="3331" max="3332" width="18" style="173" bestFit="1" customWidth="1"/>
    <col min="3333" max="3333" width="13.5703125" style="173" customWidth="1"/>
    <col min="3334" max="3585" width="9.140625" style="173"/>
    <col min="3586" max="3586" width="36.140625" style="173" bestFit="1" customWidth="1"/>
    <col min="3587" max="3588" width="18" style="173" bestFit="1" customWidth="1"/>
    <col min="3589" max="3589" width="13.5703125" style="173" customWidth="1"/>
    <col min="3590" max="3841" width="9.140625" style="173"/>
    <col min="3842" max="3842" width="36.140625" style="173" bestFit="1" customWidth="1"/>
    <col min="3843" max="3844" width="18" style="173" bestFit="1" customWidth="1"/>
    <col min="3845" max="3845" width="13.5703125" style="173" customWidth="1"/>
    <col min="3846" max="4097" width="9.140625" style="173"/>
    <col min="4098" max="4098" width="36.140625" style="173" bestFit="1" customWidth="1"/>
    <col min="4099" max="4100" width="18" style="173" bestFit="1" customWidth="1"/>
    <col min="4101" max="4101" width="13.5703125" style="173" customWidth="1"/>
    <col min="4102" max="4353" width="9.140625" style="173"/>
    <col min="4354" max="4354" width="36.140625" style="173" bestFit="1" customWidth="1"/>
    <col min="4355" max="4356" width="18" style="173" bestFit="1" customWidth="1"/>
    <col min="4357" max="4357" width="13.5703125" style="173" customWidth="1"/>
    <col min="4358" max="4609" width="9.140625" style="173"/>
    <col min="4610" max="4610" width="36.140625" style="173" bestFit="1" customWidth="1"/>
    <col min="4611" max="4612" width="18" style="173" bestFit="1" customWidth="1"/>
    <col min="4613" max="4613" width="13.5703125" style="173" customWidth="1"/>
    <col min="4614" max="4865" width="9.140625" style="173"/>
    <col min="4866" max="4866" width="36.140625" style="173" bestFit="1" customWidth="1"/>
    <col min="4867" max="4868" width="18" style="173" bestFit="1" customWidth="1"/>
    <col min="4869" max="4869" width="13.5703125" style="173" customWidth="1"/>
    <col min="4870" max="5121" width="9.140625" style="173"/>
    <col min="5122" max="5122" width="36.140625" style="173" bestFit="1" customWidth="1"/>
    <col min="5123" max="5124" width="18" style="173" bestFit="1" customWidth="1"/>
    <col min="5125" max="5125" width="13.5703125" style="173" customWidth="1"/>
    <col min="5126" max="5377" width="9.140625" style="173"/>
    <col min="5378" max="5378" width="36.140625" style="173" bestFit="1" customWidth="1"/>
    <col min="5379" max="5380" width="18" style="173" bestFit="1" customWidth="1"/>
    <col min="5381" max="5381" width="13.5703125" style="173" customWidth="1"/>
    <col min="5382" max="5633" width="9.140625" style="173"/>
    <col min="5634" max="5634" width="36.140625" style="173" bestFit="1" customWidth="1"/>
    <col min="5635" max="5636" width="18" style="173" bestFit="1" customWidth="1"/>
    <col min="5637" max="5637" width="13.5703125" style="173" customWidth="1"/>
    <col min="5638" max="5889" width="9.140625" style="173"/>
    <col min="5890" max="5890" width="36.140625" style="173" bestFit="1" customWidth="1"/>
    <col min="5891" max="5892" width="18" style="173" bestFit="1" customWidth="1"/>
    <col min="5893" max="5893" width="13.5703125" style="173" customWidth="1"/>
    <col min="5894" max="6145" width="9.140625" style="173"/>
    <col min="6146" max="6146" width="36.140625" style="173" bestFit="1" customWidth="1"/>
    <col min="6147" max="6148" width="18" style="173" bestFit="1" customWidth="1"/>
    <col min="6149" max="6149" width="13.5703125" style="173" customWidth="1"/>
    <col min="6150" max="6401" width="9.140625" style="173"/>
    <col min="6402" max="6402" width="36.140625" style="173" bestFit="1" customWidth="1"/>
    <col min="6403" max="6404" width="18" style="173" bestFit="1" customWidth="1"/>
    <col min="6405" max="6405" width="13.5703125" style="173" customWidth="1"/>
    <col min="6406" max="6657" width="9.140625" style="173"/>
    <col min="6658" max="6658" width="36.140625" style="173" bestFit="1" customWidth="1"/>
    <col min="6659" max="6660" width="18" style="173" bestFit="1" customWidth="1"/>
    <col min="6661" max="6661" width="13.5703125" style="173" customWidth="1"/>
    <col min="6662" max="6913" width="9.140625" style="173"/>
    <col min="6914" max="6914" width="36.140625" style="173" bestFit="1" customWidth="1"/>
    <col min="6915" max="6916" width="18" style="173" bestFit="1" customWidth="1"/>
    <col min="6917" max="6917" width="13.5703125" style="173" customWidth="1"/>
    <col min="6918" max="7169" width="9.140625" style="173"/>
    <col min="7170" max="7170" width="36.140625" style="173" bestFit="1" customWidth="1"/>
    <col min="7171" max="7172" width="18" style="173" bestFit="1" customWidth="1"/>
    <col min="7173" max="7173" width="13.5703125" style="173" customWidth="1"/>
    <col min="7174" max="7425" width="9.140625" style="173"/>
    <col min="7426" max="7426" width="36.140625" style="173" bestFit="1" customWidth="1"/>
    <col min="7427" max="7428" width="18" style="173" bestFit="1" customWidth="1"/>
    <col min="7429" max="7429" width="13.5703125" style="173" customWidth="1"/>
    <col min="7430" max="7681" width="9.140625" style="173"/>
    <col min="7682" max="7682" width="36.140625" style="173" bestFit="1" customWidth="1"/>
    <col min="7683" max="7684" width="18" style="173" bestFit="1" customWidth="1"/>
    <col min="7685" max="7685" width="13.5703125" style="173" customWidth="1"/>
    <col min="7686" max="7937" width="9.140625" style="173"/>
    <col min="7938" max="7938" width="36.140625" style="173" bestFit="1" customWidth="1"/>
    <col min="7939" max="7940" width="18" style="173" bestFit="1" customWidth="1"/>
    <col min="7941" max="7941" width="13.5703125" style="173" customWidth="1"/>
    <col min="7942" max="8193" width="9.140625" style="173"/>
    <col min="8194" max="8194" width="36.140625" style="173" bestFit="1" customWidth="1"/>
    <col min="8195" max="8196" width="18" style="173" bestFit="1" customWidth="1"/>
    <col min="8197" max="8197" width="13.5703125" style="173" customWidth="1"/>
    <col min="8198" max="8449" width="9.140625" style="173"/>
    <col min="8450" max="8450" width="36.140625" style="173" bestFit="1" customWidth="1"/>
    <col min="8451" max="8452" width="18" style="173" bestFit="1" customWidth="1"/>
    <col min="8453" max="8453" width="13.5703125" style="173" customWidth="1"/>
    <col min="8454" max="8705" width="9.140625" style="173"/>
    <col min="8706" max="8706" width="36.140625" style="173" bestFit="1" customWidth="1"/>
    <col min="8707" max="8708" width="18" style="173" bestFit="1" customWidth="1"/>
    <col min="8709" max="8709" width="13.5703125" style="173" customWidth="1"/>
    <col min="8710" max="8961" width="9.140625" style="173"/>
    <col min="8962" max="8962" width="36.140625" style="173" bestFit="1" customWidth="1"/>
    <col min="8963" max="8964" width="18" style="173" bestFit="1" customWidth="1"/>
    <col min="8965" max="8965" width="13.5703125" style="173" customWidth="1"/>
    <col min="8966" max="9217" width="9.140625" style="173"/>
    <col min="9218" max="9218" width="36.140625" style="173" bestFit="1" customWidth="1"/>
    <col min="9219" max="9220" width="18" style="173" bestFit="1" customWidth="1"/>
    <col min="9221" max="9221" width="13.5703125" style="173" customWidth="1"/>
    <col min="9222" max="9473" width="9.140625" style="173"/>
    <col min="9474" max="9474" width="36.140625" style="173" bestFit="1" customWidth="1"/>
    <col min="9475" max="9476" width="18" style="173" bestFit="1" customWidth="1"/>
    <col min="9477" max="9477" width="13.5703125" style="173" customWidth="1"/>
    <col min="9478" max="9729" width="9.140625" style="173"/>
    <col min="9730" max="9730" width="36.140625" style="173" bestFit="1" customWidth="1"/>
    <col min="9731" max="9732" width="18" style="173" bestFit="1" customWidth="1"/>
    <col min="9733" max="9733" width="13.5703125" style="173" customWidth="1"/>
    <col min="9734" max="9985" width="9.140625" style="173"/>
    <col min="9986" max="9986" width="36.140625" style="173" bestFit="1" customWidth="1"/>
    <col min="9987" max="9988" width="18" style="173" bestFit="1" customWidth="1"/>
    <col min="9989" max="9989" width="13.5703125" style="173" customWidth="1"/>
    <col min="9990" max="10241" width="9.140625" style="173"/>
    <col min="10242" max="10242" width="36.140625" style="173" bestFit="1" customWidth="1"/>
    <col min="10243" max="10244" width="18" style="173" bestFit="1" customWidth="1"/>
    <col min="10245" max="10245" width="13.5703125" style="173" customWidth="1"/>
    <col min="10246" max="10497" width="9.140625" style="173"/>
    <col min="10498" max="10498" width="36.140625" style="173" bestFit="1" customWidth="1"/>
    <col min="10499" max="10500" width="18" style="173" bestFit="1" customWidth="1"/>
    <col min="10501" max="10501" width="13.5703125" style="173" customWidth="1"/>
    <col min="10502" max="10753" width="9.140625" style="173"/>
    <col min="10754" max="10754" width="36.140625" style="173" bestFit="1" customWidth="1"/>
    <col min="10755" max="10756" width="18" style="173" bestFit="1" customWidth="1"/>
    <col min="10757" max="10757" width="13.5703125" style="173" customWidth="1"/>
    <col min="10758" max="11009" width="9.140625" style="173"/>
    <col min="11010" max="11010" width="36.140625" style="173" bestFit="1" customWidth="1"/>
    <col min="11011" max="11012" width="18" style="173" bestFit="1" customWidth="1"/>
    <col min="11013" max="11013" width="13.5703125" style="173" customWidth="1"/>
    <col min="11014" max="11265" width="9.140625" style="173"/>
    <col min="11266" max="11266" width="36.140625" style="173" bestFit="1" customWidth="1"/>
    <col min="11267" max="11268" width="18" style="173" bestFit="1" customWidth="1"/>
    <col min="11269" max="11269" width="13.5703125" style="173" customWidth="1"/>
    <col min="11270" max="11521" width="9.140625" style="173"/>
    <col min="11522" max="11522" width="36.140625" style="173" bestFit="1" customWidth="1"/>
    <col min="11523" max="11524" width="18" style="173" bestFit="1" customWidth="1"/>
    <col min="11525" max="11525" width="13.5703125" style="173" customWidth="1"/>
    <col min="11526" max="11777" width="9.140625" style="173"/>
    <col min="11778" max="11778" width="36.140625" style="173" bestFit="1" customWidth="1"/>
    <col min="11779" max="11780" width="18" style="173" bestFit="1" customWidth="1"/>
    <col min="11781" max="11781" width="13.5703125" style="173" customWidth="1"/>
    <col min="11782" max="12033" width="9.140625" style="173"/>
    <col min="12034" max="12034" width="36.140625" style="173" bestFit="1" customWidth="1"/>
    <col min="12035" max="12036" width="18" style="173" bestFit="1" customWidth="1"/>
    <col min="12037" max="12037" width="13.5703125" style="173" customWidth="1"/>
    <col min="12038" max="12289" width="9.140625" style="173"/>
    <col min="12290" max="12290" width="36.140625" style="173" bestFit="1" customWidth="1"/>
    <col min="12291" max="12292" width="18" style="173" bestFit="1" customWidth="1"/>
    <col min="12293" max="12293" width="13.5703125" style="173" customWidth="1"/>
    <col min="12294" max="12545" width="9.140625" style="173"/>
    <col min="12546" max="12546" width="36.140625" style="173" bestFit="1" customWidth="1"/>
    <col min="12547" max="12548" width="18" style="173" bestFit="1" customWidth="1"/>
    <col min="12549" max="12549" width="13.5703125" style="173" customWidth="1"/>
    <col min="12550" max="12801" width="9.140625" style="173"/>
    <col min="12802" max="12802" width="36.140625" style="173" bestFit="1" customWidth="1"/>
    <col min="12803" max="12804" width="18" style="173" bestFit="1" customWidth="1"/>
    <col min="12805" max="12805" width="13.5703125" style="173" customWidth="1"/>
    <col min="12806" max="13057" width="9.140625" style="173"/>
    <col min="13058" max="13058" width="36.140625" style="173" bestFit="1" customWidth="1"/>
    <col min="13059" max="13060" width="18" style="173" bestFit="1" customWidth="1"/>
    <col min="13061" max="13061" width="13.5703125" style="173" customWidth="1"/>
    <col min="13062" max="13313" width="9.140625" style="173"/>
    <col min="13314" max="13314" width="36.140625" style="173" bestFit="1" customWidth="1"/>
    <col min="13315" max="13316" width="18" style="173" bestFit="1" customWidth="1"/>
    <col min="13317" max="13317" width="13.5703125" style="173" customWidth="1"/>
    <col min="13318" max="13569" width="9.140625" style="173"/>
    <col min="13570" max="13570" width="36.140625" style="173" bestFit="1" customWidth="1"/>
    <col min="13571" max="13572" width="18" style="173" bestFit="1" customWidth="1"/>
    <col min="13573" max="13573" width="13.5703125" style="173" customWidth="1"/>
    <col min="13574" max="13825" width="9.140625" style="173"/>
    <col min="13826" max="13826" width="36.140625" style="173" bestFit="1" customWidth="1"/>
    <col min="13827" max="13828" width="18" style="173" bestFit="1" customWidth="1"/>
    <col min="13829" max="13829" width="13.5703125" style="173" customWidth="1"/>
    <col min="13830" max="14081" width="9.140625" style="173"/>
    <col min="14082" max="14082" width="36.140625" style="173" bestFit="1" customWidth="1"/>
    <col min="14083" max="14084" width="18" style="173" bestFit="1" customWidth="1"/>
    <col min="14085" max="14085" width="13.5703125" style="173" customWidth="1"/>
    <col min="14086" max="14337" width="9.140625" style="173"/>
    <col min="14338" max="14338" width="36.140625" style="173" bestFit="1" customWidth="1"/>
    <col min="14339" max="14340" width="18" style="173" bestFit="1" customWidth="1"/>
    <col min="14341" max="14341" width="13.5703125" style="173" customWidth="1"/>
    <col min="14342" max="14593" width="9.140625" style="173"/>
    <col min="14594" max="14594" width="36.140625" style="173" bestFit="1" customWidth="1"/>
    <col min="14595" max="14596" width="18" style="173" bestFit="1" customWidth="1"/>
    <col min="14597" max="14597" width="13.5703125" style="173" customWidth="1"/>
    <col min="14598" max="14849" width="9.140625" style="173"/>
    <col min="14850" max="14850" width="36.140625" style="173" bestFit="1" customWidth="1"/>
    <col min="14851" max="14852" width="18" style="173" bestFit="1" customWidth="1"/>
    <col min="14853" max="14853" width="13.5703125" style="173" customWidth="1"/>
    <col min="14854" max="15105" width="9.140625" style="173"/>
    <col min="15106" max="15106" width="36.140625" style="173" bestFit="1" customWidth="1"/>
    <col min="15107" max="15108" width="18" style="173" bestFit="1" customWidth="1"/>
    <col min="15109" max="15109" width="13.5703125" style="173" customWidth="1"/>
    <col min="15110" max="15361" width="9.140625" style="173"/>
    <col min="15362" max="15362" width="36.140625" style="173" bestFit="1" customWidth="1"/>
    <col min="15363" max="15364" width="18" style="173" bestFit="1" customWidth="1"/>
    <col min="15365" max="15365" width="13.5703125" style="173" customWidth="1"/>
    <col min="15366" max="15617" width="9.140625" style="173"/>
    <col min="15618" max="15618" width="36.140625" style="173" bestFit="1" customWidth="1"/>
    <col min="15619" max="15620" width="18" style="173" bestFit="1" customWidth="1"/>
    <col min="15621" max="15621" width="13.5703125" style="173" customWidth="1"/>
    <col min="15622" max="15873" width="9.140625" style="173"/>
    <col min="15874" max="15874" width="36.140625" style="173" bestFit="1" customWidth="1"/>
    <col min="15875" max="15876" width="18" style="173" bestFit="1" customWidth="1"/>
    <col min="15877" max="15877" width="13.5703125" style="173" customWidth="1"/>
    <col min="15878" max="16129" width="9.140625" style="173"/>
    <col min="16130" max="16130" width="36.140625" style="173" bestFit="1" customWidth="1"/>
    <col min="16131" max="16132" width="18" style="173" bestFit="1" customWidth="1"/>
    <col min="16133" max="16133" width="13.5703125" style="173" customWidth="1"/>
    <col min="16134" max="16384" width="9.140625" style="173"/>
  </cols>
  <sheetData>
    <row r="1" spans="1:10" hidden="1" outlineLevel="1">
      <c r="C1" t="s">
        <v>384</v>
      </c>
      <c r="D1"/>
    </row>
    <row r="2" spans="1:10" hidden="1" outlineLevel="1">
      <c r="C2" t="s">
        <v>245</v>
      </c>
      <c r="D2" t="s">
        <v>129</v>
      </c>
    </row>
    <row r="3" spans="1:10" hidden="1" outlineLevel="1">
      <c r="C3" t="s">
        <v>245</v>
      </c>
      <c r="D3"/>
    </row>
    <row r="4" spans="1:10" hidden="1" outlineLevel="1">
      <c r="C4" t="s">
        <v>385</v>
      </c>
      <c r="D4"/>
    </row>
    <row r="5" spans="1:10" collapsed="1">
      <c r="A5" s="175" t="s">
        <v>386</v>
      </c>
      <c r="B5" s="177"/>
      <c r="C5" s="178"/>
      <c r="D5" s="178"/>
    </row>
    <row r="6" spans="1:10">
      <c r="A6" s="175" t="s">
        <v>387</v>
      </c>
    </row>
    <row r="7" spans="1:10">
      <c r="A7" s="175"/>
      <c r="E7" s="179" t="s">
        <v>388</v>
      </c>
      <c r="H7" s="180">
        <f>C29/(C21+C22+C23+C24+C25+C26+C28+C31+C32)</f>
        <v>3.2212303093889304E-2</v>
      </c>
      <c r="I7" s="181" t="s">
        <v>389</v>
      </c>
    </row>
    <row r="8" spans="1:10">
      <c r="A8" s="175"/>
      <c r="C8" s="179" t="s">
        <v>390</v>
      </c>
      <c r="D8" s="179"/>
      <c r="E8" s="179" t="s">
        <v>391</v>
      </c>
    </row>
    <row r="9" spans="1:10">
      <c r="A9" s="175"/>
      <c r="C9" s="182" t="s">
        <v>392</v>
      </c>
      <c r="D9" s="182"/>
      <c r="E9" s="179" t="s">
        <v>392</v>
      </c>
    </row>
    <row r="10" spans="1:10">
      <c r="C10" s="183">
        <v>2015</v>
      </c>
      <c r="D10" s="183" t="s">
        <v>125</v>
      </c>
      <c r="E10" s="184" t="s">
        <v>393</v>
      </c>
      <c r="F10" s="174" t="s">
        <v>394</v>
      </c>
    </row>
    <row r="11" spans="1:10" s="191" customFormat="1">
      <c r="A11" s="185">
        <v>50086</v>
      </c>
      <c r="B11" s="186" t="s">
        <v>37</v>
      </c>
      <c r="C11" s="187">
        <v>123681.78</v>
      </c>
      <c r="D11" s="187"/>
      <c r="E11" s="188">
        <f>SUM(C11:D11)</f>
        <v>123681.78</v>
      </c>
      <c r="F11" s="189"/>
      <c r="G11" s="190">
        <f>E11+F11</f>
        <v>123681.78</v>
      </c>
      <c r="H11" s="181"/>
      <c r="I11" s="181"/>
      <c r="J11" s="181"/>
    </row>
    <row r="12" spans="1:10" s="191" customFormat="1">
      <c r="A12" s="185">
        <v>51260</v>
      </c>
      <c r="B12" s="186" t="s">
        <v>101</v>
      </c>
      <c r="C12" s="187">
        <v>43483.839999999997</v>
      </c>
      <c r="D12" s="187">
        <v>-13909.84</v>
      </c>
      <c r="E12" s="188">
        <f t="shared" ref="E12:E75" si="0">SUM(C12:D12)</f>
        <v>29573.999999999996</v>
      </c>
      <c r="F12" s="189"/>
      <c r="G12" s="190">
        <f t="shared" ref="G12:G75" si="1">E12+F12</f>
        <v>29573.999999999996</v>
      </c>
      <c r="H12" s="181"/>
      <c r="I12" s="181"/>
      <c r="J12" s="181"/>
    </row>
    <row r="13" spans="1:10" s="191" customFormat="1">
      <c r="A13" s="185">
        <v>52090</v>
      </c>
      <c r="B13" s="186" t="s">
        <v>38</v>
      </c>
      <c r="C13" s="187">
        <v>0</v>
      </c>
      <c r="D13" s="187"/>
      <c r="E13" s="188">
        <f t="shared" si="0"/>
        <v>0</v>
      </c>
      <c r="F13" s="189"/>
      <c r="G13" s="190">
        <f t="shared" si="1"/>
        <v>0</v>
      </c>
      <c r="H13" s="181"/>
      <c r="I13" s="181"/>
      <c r="J13" s="181"/>
    </row>
    <row r="14" spans="1:10" s="191" customFormat="1">
      <c r="A14" s="185">
        <v>52120</v>
      </c>
      <c r="B14" s="186" t="s">
        <v>42</v>
      </c>
      <c r="C14" s="187">
        <v>-65902.679999999993</v>
      </c>
      <c r="D14" s="187">
        <f>-C14</f>
        <v>65902.679999999993</v>
      </c>
      <c r="E14" s="188">
        <f t="shared" si="0"/>
        <v>0</v>
      </c>
      <c r="F14" s="189"/>
      <c r="G14" s="190">
        <f t="shared" si="1"/>
        <v>0</v>
      </c>
      <c r="H14" s="181"/>
      <c r="I14" s="181"/>
      <c r="J14" s="181"/>
    </row>
    <row r="15" spans="1:10" s="191" customFormat="1">
      <c r="A15" s="185">
        <v>56037</v>
      </c>
      <c r="B15" s="186" t="s">
        <v>395</v>
      </c>
      <c r="C15" s="187">
        <v>0</v>
      </c>
      <c r="D15" s="187"/>
      <c r="E15" s="188">
        <f t="shared" si="0"/>
        <v>0</v>
      </c>
      <c r="F15" s="189"/>
      <c r="G15" s="190">
        <f t="shared" si="1"/>
        <v>0</v>
      </c>
      <c r="H15" s="181"/>
      <c r="I15" s="181"/>
      <c r="J15" s="181"/>
    </row>
    <row r="16" spans="1:10" s="191" customFormat="1">
      <c r="A16" s="185">
        <v>57255</v>
      </c>
      <c r="B16" s="186" t="s">
        <v>91</v>
      </c>
      <c r="C16" s="187">
        <v>0</v>
      </c>
      <c r="D16" s="187"/>
      <c r="E16" s="188">
        <f t="shared" si="0"/>
        <v>0</v>
      </c>
      <c r="F16" s="189"/>
      <c r="G16" s="190">
        <f t="shared" si="1"/>
        <v>0</v>
      </c>
      <c r="H16" s="181"/>
      <c r="I16" s="181"/>
      <c r="J16" s="181"/>
    </row>
    <row r="17" spans="1:10" s="191" customFormat="1">
      <c r="A17" s="185">
        <v>57260</v>
      </c>
      <c r="B17" s="186" t="s">
        <v>101</v>
      </c>
      <c r="C17" s="187">
        <v>511368.21</v>
      </c>
      <c r="D17" s="187"/>
      <c r="E17" s="192">
        <f t="shared" si="0"/>
        <v>511368.21</v>
      </c>
      <c r="F17" s="193">
        <v>-4570.95</v>
      </c>
      <c r="G17" s="194">
        <f t="shared" si="1"/>
        <v>506797.26</v>
      </c>
      <c r="H17" s="181" t="s">
        <v>396</v>
      </c>
      <c r="I17" s="181"/>
      <c r="J17" s="181"/>
    </row>
    <row r="18" spans="1:10" s="191" customFormat="1">
      <c r="A18" s="185">
        <v>59271</v>
      </c>
      <c r="B18" s="186" t="s">
        <v>397</v>
      </c>
      <c r="C18" s="187">
        <v>0</v>
      </c>
      <c r="D18" s="187"/>
      <c r="E18" s="188">
        <f t="shared" si="0"/>
        <v>0</v>
      </c>
      <c r="F18" s="189"/>
      <c r="G18" s="190">
        <f t="shared" si="1"/>
        <v>0</v>
      </c>
      <c r="H18" s="181"/>
      <c r="I18" s="181"/>
      <c r="J18" s="181"/>
    </row>
    <row r="19" spans="1:10" s="191" customFormat="1">
      <c r="A19" s="185">
        <v>59331</v>
      </c>
      <c r="B19" s="186" t="s">
        <v>398</v>
      </c>
      <c r="C19" s="187">
        <v>624820.46</v>
      </c>
      <c r="D19" s="187"/>
      <c r="E19" s="188">
        <f t="shared" si="0"/>
        <v>624820.46</v>
      </c>
      <c r="F19" s="189"/>
      <c r="G19" s="190">
        <f t="shared" si="1"/>
        <v>624820.46</v>
      </c>
      <c r="H19" s="181"/>
      <c r="I19" s="181"/>
      <c r="J19" s="181"/>
    </row>
    <row r="20" spans="1:10" s="191" customFormat="1">
      <c r="A20" s="185">
        <v>59340</v>
      </c>
      <c r="B20" s="186" t="s">
        <v>63</v>
      </c>
      <c r="C20" s="187">
        <v>24713.21</v>
      </c>
      <c r="D20" s="187"/>
      <c r="E20" s="188">
        <f t="shared" si="0"/>
        <v>24713.21</v>
      </c>
      <c r="F20" s="189"/>
      <c r="G20" s="190">
        <f t="shared" si="1"/>
        <v>24713.21</v>
      </c>
      <c r="H20" s="181"/>
      <c r="I20" s="181"/>
      <c r="J20" s="181"/>
    </row>
    <row r="21" spans="1:10" s="191" customFormat="1">
      <c r="A21" s="185">
        <v>70010</v>
      </c>
      <c r="B21" s="186" t="s">
        <v>53</v>
      </c>
      <c r="C21" s="187">
        <v>32973333.210000001</v>
      </c>
      <c r="D21" s="187"/>
      <c r="E21" s="188">
        <f t="shared" si="0"/>
        <v>32973333.210000001</v>
      </c>
      <c r="F21" s="189"/>
      <c r="G21" s="190">
        <f t="shared" si="1"/>
        <v>32973333.210000001</v>
      </c>
      <c r="H21" s="181"/>
      <c r="I21" s="181"/>
      <c r="J21" s="181"/>
    </row>
    <row r="22" spans="1:10" s="191" customFormat="1">
      <c r="A22" s="185">
        <v>70015</v>
      </c>
      <c r="B22" s="186" t="s">
        <v>399</v>
      </c>
      <c r="C22" s="187">
        <v>-14109.13</v>
      </c>
      <c r="D22" s="187">
        <f>-C22</f>
        <v>14109.13</v>
      </c>
      <c r="E22" s="188">
        <f t="shared" si="0"/>
        <v>0</v>
      </c>
      <c r="F22" s="189"/>
      <c r="G22" s="190">
        <f t="shared" si="1"/>
        <v>0</v>
      </c>
      <c r="H22" s="181"/>
      <c r="I22" s="181"/>
      <c r="J22" s="181"/>
    </row>
    <row r="23" spans="1:10" s="191" customFormat="1">
      <c r="A23" s="185">
        <v>70020</v>
      </c>
      <c r="B23" s="186" t="s">
        <v>30</v>
      </c>
      <c r="C23" s="187">
        <v>741706.16</v>
      </c>
      <c r="D23" s="187"/>
      <c r="E23" s="188">
        <f t="shared" si="0"/>
        <v>741706.16</v>
      </c>
      <c r="F23" s="189"/>
      <c r="G23" s="190">
        <f t="shared" si="1"/>
        <v>741706.16</v>
      </c>
      <c r="H23" s="181"/>
      <c r="I23" s="181"/>
      <c r="J23" s="181"/>
    </row>
    <row r="24" spans="1:10" s="191" customFormat="1">
      <c r="A24" s="185">
        <v>70025</v>
      </c>
      <c r="B24" s="186" t="s">
        <v>31</v>
      </c>
      <c r="C24" s="187">
        <v>65587.41</v>
      </c>
      <c r="D24" s="187"/>
      <c r="E24" s="188">
        <f t="shared" si="0"/>
        <v>65587.41</v>
      </c>
      <c r="F24" s="189"/>
      <c r="G24" s="190">
        <f t="shared" si="1"/>
        <v>65587.41</v>
      </c>
      <c r="H24" s="181"/>
      <c r="I24" s="181"/>
      <c r="J24" s="181"/>
    </row>
    <row r="25" spans="1:10" s="191" customFormat="1">
      <c r="A25" s="185">
        <v>70030</v>
      </c>
      <c r="B25" s="186" t="s">
        <v>400</v>
      </c>
      <c r="C25" s="187">
        <v>17318528</v>
      </c>
      <c r="D25" s="187">
        <f>-C25</f>
        <v>-17318528</v>
      </c>
      <c r="E25" s="188">
        <f t="shared" si="0"/>
        <v>0</v>
      </c>
      <c r="F25" s="189"/>
      <c r="G25" s="190">
        <f t="shared" si="1"/>
        <v>0</v>
      </c>
      <c r="H25" s="181"/>
      <c r="I25" s="181"/>
      <c r="J25" s="181"/>
    </row>
    <row r="26" spans="1:10" s="191" customFormat="1">
      <c r="A26" s="185">
        <v>70036</v>
      </c>
      <c r="B26" s="186" t="s">
        <v>33</v>
      </c>
      <c r="C26" s="187">
        <v>87311.58</v>
      </c>
      <c r="D26" s="187">
        <f>-C26</f>
        <v>-87311.58</v>
      </c>
      <c r="E26" s="188">
        <f t="shared" si="0"/>
        <v>0</v>
      </c>
      <c r="F26" s="189"/>
      <c r="G26" s="190">
        <f t="shared" si="1"/>
        <v>0</v>
      </c>
      <c r="H26" s="181"/>
      <c r="I26" s="181"/>
      <c r="J26" s="181"/>
    </row>
    <row r="27" spans="1:10" s="191" customFormat="1">
      <c r="A27" s="185">
        <v>70037</v>
      </c>
      <c r="B27" s="186" t="s">
        <v>395</v>
      </c>
      <c r="C27" s="187">
        <v>62837.82</v>
      </c>
      <c r="D27" s="187">
        <f>-C27</f>
        <v>-62837.82</v>
      </c>
      <c r="E27" s="188">
        <f t="shared" si="0"/>
        <v>0</v>
      </c>
      <c r="F27" s="189"/>
      <c r="G27" s="190">
        <f t="shared" si="1"/>
        <v>0</v>
      </c>
      <c r="H27" s="181"/>
      <c r="I27" s="181"/>
      <c r="J27" s="181"/>
    </row>
    <row r="28" spans="1:10" s="191" customFormat="1">
      <c r="A28" s="185">
        <v>70045</v>
      </c>
      <c r="B28" s="186" t="s">
        <v>149</v>
      </c>
      <c r="C28" s="187">
        <v>546990.16</v>
      </c>
      <c r="D28" s="187"/>
      <c r="E28" s="188">
        <f t="shared" si="0"/>
        <v>546990.16</v>
      </c>
      <c r="F28" s="189"/>
      <c r="G28" s="190">
        <f t="shared" si="1"/>
        <v>546990.16</v>
      </c>
      <c r="H28" s="181"/>
      <c r="I28" s="181"/>
      <c r="J28" s="181"/>
    </row>
    <row r="29" spans="1:10" s="191" customFormat="1">
      <c r="A29" s="185">
        <v>70050</v>
      </c>
      <c r="B29" s="186" t="s">
        <v>34</v>
      </c>
      <c r="C29" s="187">
        <v>1667437.61</v>
      </c>
      <c r="D29" s="187"/>
      <c r="E29" s="188">
        <f t="shared" si="0"/>
        <v>1667437.61</v>
      </c>
      <c r="F29" s="189">
        <f>H7*D22+H7*D25+H7*D26+H7*D27</f>
        <v>-562251.84348622302</v>
      </c>
      <c r="G29" s="190">
        <f t="shared" si="1"/>
        <v>1105185.766513777</v>
      </c>
      <c r="H29" s="181"/>
      <c r="I29" s="181"/>
      <c r="J29" s="181"/>
    </row>
    <row r="30" spans="1:10" s="191" customFormat="1">
      <c r="A30" s="185">
        <v>70060</v>
      </c>
      <c r="B30" s="186" t="s">
        <v>35</v>
      </c>
      <c r="C30" s="187">
        <v>680254.67</v>
      </c>
      <c r="D30" s="187"/>
      <c r="E30" s="188">
        <f t="shared" si="0"/>
        <v>680254.67</v>
      </c>
      <c r="F30" s="189"/>
      <c r="G30" s="190">
        <f t="shared" si="1"/>
        <v>680254.67</v>
      </c>
      <c r="H30" s="181"/>
      <c r="I30" s="181"/>
      <c r="J30" s="181"/>
    </row>
    <row r="31" spans="1:10" s="191" customFormat="1">
      <c r="A31" s="185">
        <v>70065</v>
      </c>
      <c r="B31" s="186" t="s">
        <v>36</v>
      </c>
      <c r="C31" s="187">
        <v>32861.980000000003</v>
      </c>
      <c r="D31" s="187"/>
      <c r="E31" s="188">
        <f t="shared" si="0"/>
        <v>32861.980000000003</v>
      </c>
      <c r="F31" s="189"/>
      <c r="G31" s="190">
        <f t="shared" si="1"/>
        <v>32861.980000000003</v>
      </c>
      <c r="H31" s="181"/>
      <c r="I31" s="181"/>
      <c r="J31" s="181"/>
    </row>
    <row r="32" spans="1:10" s="191" customFormat="1">
      <c r="A32" s="185">
        <v>70070</v>
      </c>
      <c r="B32" s="186" t="s">
        <v>70</v>
      </c>
      <c r="C32" s="187">
        <v>11789.16</v>
      </c>
      <c r="D32" s="187"/>
      <c r="E32" s="188">
        <f t="shared" si="0"/>
        <v>11789.16</v>
      </c>
      <c r="F32" s="189"/>
      <c r="G32" s="190">
        <f t="shared" si="1"/>
        <v>11789.16</v>
      </c>
      <c r="H32" s="181"/>
      <c r="I32" s="181"/>
      <c r="J32" s="181"/>
    </row>
    <row r="33" spans="1:10" s="191" customFormat="1">
      <c r="A33" s="185">
        <v>70086</v>
      </c>
      <c r="B33" s="186" t="s">
        <v>37</v>
      </c>
      <c r="C33" s="187">
        <v>92549.18</v>
      </c>
      <c r="D33" s="187"/>
      <c r="E33" s="188">
        <f t="shared" si="0"/>
        <v>92549.18</v>
      </c>
      <c r="F33" s="189"/>
      <c r="G33" s="190">
        <f t="shared" si="1"/>
        <v>92549.18</v>
      </c>
      <c r="H33" s="181"/>
      <c r="I33" s="181"/>
      <c r="J33" s="181"/>
    </row>
    <row r="34" spans="1:10" s="191" customFormat="1">
      <c r="A34" s="185">
        <v>70090</v>
      </c>
      <c r="B34" s="186" t="s">
        <v>186</v>
      </c>
      <c r="C34" s="187">
        <v>867925.47</v>
      </c>
      <c r="D34" s="187"/>
      <c r="E34" s="188">
        <f t="shared" si="0"/>
        <v>867925.47</v>
      </c>
      <c r="F34" s="189"/>
      <c r="G34" s="190">
        <f t="shared" si="1"/>
        <v>867925.47</v>
      </c>
      <c r="H34" s="181"/>
      <c r="I34" s="181"/>
      <c r="J34" s="181"/>
    </row>
    <row r="35" spans="1:10" s="191" customFormat="1">
      <c r="A35" s="185">
        <v>70095</v>
      </c>
      <c r="B35" s="186" t="s">
        <v>71</v>
      </c>
      <c r="C35" s="187">
        <v>489364.84</v>
      </c>
      <c r="D35" s="187">
        <f>-C35</f>
        <v>-489364.84</v>
      </c>
      <c r="E35" s="188">
        <f t="shared" si="0"/>
        <v>0</v>
      </c>
      <c r="F35" s="189"/>
      <c r="G35" s="190">
        <f t="shared" si="1"/>
        <v>0</v>
      </c>
      <c r="H35" s="181"/>
      <c r="I35" s="181"/>
      <c r="J35" s="181"/>
    </row>
    <row r="36" spans="1:10" s="191" customFormat="1">
      <c r="A36" s="185">
        <v>70105</v>
      </c>
      <c r="B36" s="186" t="s">
        <v>187</v>
      </c>
      <c r="C36" s="187">
        <v>332997.15999999997</v>
      </c>
      <c r="D36" s="187">
        <f>-C36</f>
        <v>-332997.15999999997</v>
      </c>
      <c r="E36" s="188">
        <f t="shared" si="0"/>
        <v>0</v>
      </c>
      <c r="F36" s="189"/>
      <c r="G36" s="190">
        <f t="shared" si="1"/>
        <v>0</v>
      </c>
      <c r="H36" s="181"/>
      <c r="I36" s="181"/>
      <c r="J36" s="181"/>
    </row>
    <row r="37" spans="1:10" s="191" customFormat="1">
      <c r="A37" s="185">
        <v>70106</v>
      </c>
      <c r="B37" s="186" t="s">
        <v>401</v>
      </c>
      <c r="C37" s="187">
        <v>0</v>
      </c>
      <c r="D37" s="187"/>
      <c r="E37" s="188">
        <f t="shared" si="0"/>
        <v>0</v>
      </c>
      <c r="F37" s="189"/>
      <c r="G37" s="190">
        <f t="shared" si="1"/>
        <v>0</v>
      </c>
      <c r="H37" s="181"/>
      <c r="I37" s="181"/>
      <c r="J37" s="181"/>
    </row>
    <row r="38" spans="1:10" s="191" customFormat="1">
      <c r="A38" s="185">
        <v>70110</v>
      </c>
      <c r="B38" s="186" t="s">
        <v>72</v>
      </c>
      <c r="C38" s="187">
        <v>133508.46</v>
      </c>
      <c r="D38" s="187">
        <f>-C38</f>
        <v>-133508.46</v>
      </c>
      <c r="E38" s="188">
        <f t="shared" si="0"/>
        <v>0</v>
      </c>
      <c r="F38" s="189"/>
      <c r="G38" s="190">
        <f t="shared" si="1"/>
        <v>0</v>
      </c>
      <c r="H38" s="181"/>
      <c r="I38" s="181"/>
      <c r="J38" s="181"/>
    </row>
    <row r="39" spans="1:10" s="191" customFormat="1">
      <c r="A39" s="185">
        <v>70112</v>
      </c>
      <c r="B39" s="186" t="s">
        <v>402</v>
      </c>
      <c r="C39" s="187">
        <v>0</v>
      </c>
      <c r="D39" s="187"/>
      <c r="E39" s="188">
        <f t="shared" si="0"/>
        <v>0</v>
      </c>
      <c r="F39" s="189"/>
      <c r="G39" s="190">
        <f t="shared" si="1"/>
        <v>0</v>
      </c>
      <c r="H39" s="181"/>
      <c r="I39" s="181"/>
      <c r="J39" s="181"/>
    </row>
    <row r="40" spans="1:10" s="191" customFormat="1">
      <c r="A40" s="185">
        <v>70116</v>
      </c>
      <c r="B40" s="186" t="s">
        <v>73</v>
      </c>
      <c r="C40" s="187">
        <v>297229.01</v>
      </c>
      <c r="D40" s="187"/>
      <c r="E40" s="188">
        <f t="shared" si="0"/>
        <v>297229.01</v>
      </c>
      <c r="F40" s="189"/>
      <c r="G40" s="190">
        <f t="shared" si="1"/>
        <v>297229.01</v>
      </c>
      <c r="H40" s="181"/>
      <c r="I40" s="181"/>
      <c r="J40" s="181"/>
    </row>
    <row r="41" spans="1:10" s="191" customFormat="1">
      <c r="A41" s="185">
        <v>70120</v>
      </c>
      <c r="B41" s="186" t="s">
        <v>403</v>
      </c>
      <c r="C41" s="187">
        <v>35527.74</v>
      </c>
      <c r="D41" s="187">
        <f>-C41</f>
        <v>-35527.74</v>
      </c>
      <c r="E41" s="188">
        <f t="shared" si="0"/>
        <v>0</v>
      </c>
      <c r="F41" s="189"/>
      <c r="G41" s="190">
        <f t="shared" si="1"/>
        <v>0</v>
      </c>
      <c r="H41" s="181"/>
      <c r="I41" s="181"/>
      <c r="J41" s="181"/>
    </row>
    <row r="42" spans="1:10" s="191" customFormat="1">
      <c r="A42" s="185">
        <v>70142</v>
      </c>
      <c r="B42" s="186" t="s">
        <v>46</v>
      </c>
      <c r="C42" s="187">
        <v>475469.83</v>
      </c>
      <c r="D42" s="187"/>
      <c r="E42" s="188">
        <f t="shared" si="0"/>
        <v>475469.83</v>
      </c>
      <c r="F42" s="189"/>
      <c r="G42" s="190">
        <f t="shared" si="1"/>
        <v>475469.83</v>
      </c>
      <c r="H42" s="181"/>
      <c r="I42" s="181"/>
      <c r="J42" s="181"/>
    </row>
    <row r="43" spans="1:10" s="191" customFormat="1">
      <c r="A43" s="185">
        <v>70145</v>
      </c>
      <c r="B43" s="186" t="s">
        <v>48</v>
      </c>
      <c r="C43" s="187">
        <v>86085.11</v>
      </c>
      <c r="D43" s="187"/>
      <c r="E43" s="188">
        <f t="shared" si="0"/>
        <v>86085.11</v>
      </c>
      <c r="F43" s="189"/>
      <c r="G43" s="190">
        <f t="shared" si="1"/>
        <v>86085.11</v>
      </c>
      <c r="H43" s="181"/>
      <c r="I43" s="181"/>
      <c r="J43" s="181"/>
    </row>
    <row r="44" spans="1:10" s="191" customFormat="1">
      <c r="A44" s="185">
        <v>70146</v>
      </c>
      <c r="B44" s="186" t="s">
        <v>404</v>
      </c>
      <c r="C44" s="187">
        <v>4142.34</v>
      </c>
      <c r="D44" s="187">
        <f>-C44</f>
        <v>-4142.34</v>
      </c>
      <c r="E44" s="188">
        <f t="shared" si="0"/>
        <v>0</v>
      </c>
      <c r="F44" s="189"/>
      <c r="G44" s="190">
        <f t="shared" si="1"/>
        <v>0</v>
      </c>
      <c r="H44" s="181"/>
      <c r="I44" s="181"/>
      <c r="J44" s="181"/>
    </row>
    <row r="45" spans="1:10" s="191" customFormat="1">
      <c r="A45" s="185">
        <v>70147</v>
      </c>
      <c r="B45" s="186" t="s">
        <v>74</v>
      </c>
      <c r="C45" s="187">
        <v>30525.17</v>
      </c>
      <c r="D45" s="187"/>
      <c r="E45" s="188">
        <f t="shared" si="0"/>
        <v>30525.17</v>
      </c>
      <c r="F45" s="189"/>
      <c r="G45" s="190">
        <f t="shared" si="1"/>
        <v>30525.17</v>
      </c>
      <c r="H45" s="181"/>
      <c r="I45" s="181"/>
      <c r="J45" s="181"/>
    </row>
    <row r="46" spans="1:10" s="191" customFormat="1">
      <c r="A46" s="185">
        <v>70165</v>
      </c>
      <c r="B46" s="186" t="s">
        <v>77</v>
      </c>
      <c r="C46" s="187">
        <v>502015.92</v>
      </c>
      <c r="D46" s="187"/>
      <c r="E46" s="188">
        <f t="shared" si="0"/>
        <v>502015.92</v>
      </c>
      <c r="F46" s="189"/>
      <c r="G46" s="190">
        <f t="shared" si="1"/>
        <v>502015.92</v>
      </c>
      <c r="H46" s="181"/>
      <c r="I46" s="181"/>
      <c r="J46" s="181"/>
    </row>
    <row r="47" spans="1:10" s="191" customFormat="1">
      <c r="A47" s="185">
        <v>70167</v>
      </c>
      <c r="B47" s="186" t="s">
        <v>78</v>
      </c>
      <c r="C47" s="187">
        <v>29804.78</v>
      </c>
      <c r="D47" s="187"/>
      <c r="E47" s="188">
        <f t="shared" si="0"/>
        <v>29804.78</v>
      </c>
      <c r="F47" s="189"/>
      <c r="G47" s="190">
        <f t="shared" si="1"/>
        <v>29804.78</v>
      </c>
      <c r="H47" s="181"/>
      <c r="I47" s="181"/>
      <c r="J47" s="181"/>
    </row>
    <row r="48" spans="1:10" s="191" customFormat="1">
      <c r="A48" s="185">
        <v>70170</v>
      </c>
      <c r="B48" s="186" t="s">
        <v>56</v>
      </c>
      <c r="C48" s="187">
        <v>1393067.07</v>
      </c>
      <c r="D48" s="187"/>
      <c r="E48" s="188">
        <f t="shared" si="0"/>
        <v>1393067.07</v>
      </c>
      <c r="F48" s="189"/>
      <c r="G48" s="190">
        <f t="shared" si="1"/>
        <v>1393067.07</v>
      </c>
      <c r="H48" s="181"/>
      <c r="I48" s="181"/>
      <c r="J48" s="181"/>
    </row>
    <row r="49" spans="1:10" s="191" customFormat="1">
      <c r="A49" s="185">
        <v>70175</v>
      </c>
      <c r="B49" s="186" t="s">
        <v>49</v>
      </c>
      <c r="C49" s="187">
        <v>761110.03</v>
      </c>
      <c r="D49" s="187"/>
      <c r="E49" s="188">
        <f t="shared" si="0"/>
        <v>761110.03</v>
      </c>
      <c r="F49" s="189"/>
      <c r="G49" s="190">
        <f t="shared" si="1"/>
        <v>761110.03</v>
      </c>
      <c r="H49" s="181"/>
      <c r="I49" s="181"/>
      <c r="J49" s="181"/>
    </row>
    <row r="50" spans="1:10" s="191" customFormat="1">
      <c r="A50" s="185">
        <v>70185</v>
      </c>
      <c r="B50" s="186" t="s">
        <v>79</v>
      </c>
      <c r="C50" s="187">
        <v>292941.3</v>
      </c>
      <c r="D50" s="187"/>
      <c r="E50" s="188">
        <f t="shared" si="0"/>
        <v>292941.3</v>
      </c>
      <c r="F50" s="189"/>
      <c r="G50" s="190">
        <f t="shared" si="1"/>
        <v>292941.3</v>
      </c>
      <c r="H50" s="181"/>
      <c r="I50" s="181"/>
      <c r="J50" s="181"/>
    </row>
    <row r="51" spans="1:10" s="191" customFormat="1">
      <c r="A51" s="185">
        <v>70190</v>
      </c>
      <c r="B51" s="186" t="s">
        <v>405</v>
      </c>
      <c r="C51" s="187">
        <v>337193.48</v>
      </c>
      <c r="D51" s="187">
        <f>-C51</f>
        <v>-337193.48</v>
      </c>
      <c r="E51" s="188">
        <f t="shared" si="0"/>
        <v>0</v>
      </c>
      <c r="F51" s="189"/>
      <c r="G51" s="190">
        <f t="shared" si="1"/>
        <v>0</v>
      </c>
      <c r="H51" s="181"/>
      <c r="I51" s="181"/>
      <c r="J51" s="181"/>
    </row>
    <row r="52" spans="1:10" s="191" customFormat="1">
      <c r="A52" s="185">
        <v>70195</v>
      </c>
      <c r="B52" s="186" t="s">
        <v>406</v>
      </c>
      <c r="C52" s="187">
        <v>1570238.58</v>
      </c>
      <c r="D52" s="187"/>
      <c r="E52" s="188">
        <f t="shared" si="0"/>
        <v>1570238.58</v>
      </c>
      <c r="F52" s="189">
        <v>-135350</v>
      </c>
      <c r="G52" s="190">
        <f t="shared" si="1"/>
        <v>1434888.58</v>
      </c>
      <c r="H52" s="181" t="s">
        <v>407</v>
      </c>
      <c r="I52" s="181"/>
      <c r="J52" s="181"/>
    </row>
    <row r="53" spans="1:10" s="191" customFormat="1">
      <c r="A53" s="185">
        <v>70196</v>
      </c>
      <c r="B53" s="186" t="s">
        <v>190</v>
      </c>
      <c r="C53" s="187">
        <v>146960.29999999999</v>
      </c>
      <c r="D53" s="187">
        <f>-C53</f>
        <v>-146960.29999999999</v>
      </c>
      <c r="E53" s="188">
        <f t="shared" si="0"/>
        <v>0</v>
      </c>
      <c r="F53" s="189"/>
      <c r="G53" s="190">
        <f t="shared" si="1"/>
        <v>0</v>
      </c>
      <c r="H53" s="181"/>
      <c r="I53" s="181"/>
      <c r="J53" s="181"/>
    </row>
    <row r="54" spans="1:10" s="191" customFormat="1">
      <c r="A54" s="185">
        <v>70200</v>
      </c>
      <c r="B54" s="186" t="s">
        <v>80</v>
      </c>
      <c r="C54" s="187">
        <v>598465.22</v>
      </c>
      <c r="D54" s="187"/>
      <c r="E54" s="188">
        <f t="shared" si="0"/>
        <v>598465.22</v>
      </c>
      <c r="F54" s="189"/>
      <c r="G54" s="190">
        <f t="shared" si="1"/>
        <v>598465.22</v>
      </c>
      <c r="H54" s="181"/>
      <c r="I54" s="181"/>
      <c r="J54" s="181"/>
    </row>
    <row r="55" spans="1:10" s="191" customFormat="1">
      <c r="A55" s="185">
        <v>70201</v>
      </c>
      <c r="B55" s="186" t="s">
        <v>81</v>
      </c>
      <c r="C55" s="187">
        <v>389065.83</v>
      </c>
      <c r="D55" s="187">
        <f>-C55</f>
        <v>-389065.83</v>
      </c>
      <c r="E55" s="188">
        <f t="shared" si="0"/>
        <v>0</v>
      </c>
      <c r="F55" s="189"/>
      <c r="G55" s="190">
        <f t="shared" si="1"/>
        <v>0</v>
      </c>
      <c r="H55" s="181"/>
      <c r="I55" s="181"/>
      <c r="J55" s="181"/>
    </row>
    <row r="56" spans="1:10" s="191" customFormat="1">
      <c r="A56" s="185">
        <v>70202</v>
      </c>
      <c r="B56" s="186" t="s">
        <v>82</v>
      </c>
      <c r="C56" s="187">
        <v>1396431.04</v>
      </c>
      <c r="D56" s="187"/>
      <c r="E56" s="188">
        <f t="shared" si="0"/>
        <v>1396431.04</v>
      </c>
      <c r="F56" s="189"/>
      <c r="G56" s="190">
        <f t="shared" si="1"/>
        <v>1396431.04</v>
      </c>
      <c r="H56" s="181"/>
      <c r="I56" s="181"/>
      <c r="J56" s="181"/>
    </row>
    <row r="57" spans="1:10" s="191" customFormat="1">
      <c r="A57" s="185">
        <v>70203</v>
      </c>
      <c r="B57" s="186" t="s">
        <v>83</v>
      </c>
      <c r="C57" s="187">
        <v>355871.18</v>
      </c>
      <c r="D57" s="187"/>
      <c r="E57" s="188">
        <f t="shared" si="0"/>
        <v>355871.18</v>
      </c>
      <c r="F57" s="189"/>
      <c r="G57" s="190">
        <f t="shared" si="1"/>
        <v>355871.18</v>
      </c>
      <c r="H57" s="181"/>
      <c r="I57" s="181"/>
      <c r="J57" s="181"/>
    </row>
    <row r="58" spans="1:10" s="191" customFormat="1">
      <c r="A58" s="185">
        <v>70205</v>
      </c>
      <c r="B58" s="186" t="s">
        <v>84</v>
      </c>
      <c r="C58" s="187">
        <v>227922.69</v>
      </c>
      <c r="D58" s="187"/>
      <c r="E58" s="188">
        <f t="shared" si="0"/>
        <v>227922.69</v>
      </c>
      <c r="F58" s="189"/>
      <c r="G58" s="190">
        <f t="shared" si="1"/>
        <v>227922.69</v>
      </c>
      <c r="H58" s="181"/>
      <c r="I58" s="181"/>
      <c r="J58" s="181"/>
    </row>
    <row r="59" spans="1:10" s="191" customFormat="1">
      <c r="A59" s="185">
        <v>70206</v>
      </c>
      <c r="B59" s="186" t="s">
        <v>408</v>
      </c>
      <c r="C59" s="187">
        <v>228820.33</v>
      </c>
      <c r="D59" s="187"/>
      <c r="E59" s="188">
        <f t="shared" si="0"/>
        <v>228820.33</v>
      </c>
      <c r="F59" s="189"/>
      <c r="G59" s="190">
        <f t="shared" si="1"/>
        <v>228820.33</v>
      </c>
      <c r="H59" s="181"/>
      <c r="I59" s="181"/>
      <c r="J59" s="181"/>
    </row>
    <row r="60" spans="1:10" s="191" customFormat="1">
      <c r="A60" s="185">
        <v>70210</v>
      </c>
      <c r="B60" s="186" t="s">
        <v>85</v>
      </c>
      <c r="C60" s="187">
        <v>187331.23</v>
      </c>
      <c r="D60" s="187"/>
      <c r="E60" s="188">
        <f t="shared" si="0"/>
        <v>187331.23</v>
      </c>
      <c r="F60" s="189"/>
      <c r="G60" s="190">
        <f t="shared" si="1"/>
        <v>187331.23</v>
      </c>
      <c r="H60" s="181"/>
      <c r="I60" s="181"/>
      <c r="J60" s="181"/>
    </row>
    <row r="61" spans="1:10" s="191" customFormat="1">
      <c r="A61" s="185">
        <v>70214</v>
      </c>
      <c r="B61" s="186" t="s">
        <v>86</v>
      </c>
      <c r="C61" s="187">
        <v>30144.959999999999</v>
      </c>
      <c r="D61" s="187"/>
      <c r="E61" s="188">
        <f t="shared" si="0"/>
        <v>30144.959999999999</v>
      </c>
      <c r="F61" s="189"/>
      <c r="G61" s="190">
        <f t="shared" si="1"/>
        <v>30144.959999999999</v>
      </c>
      <c r="H61" s="181"/>
      <c r="I61" s="181"/>
      <c r="J61" s="181"/>
    </row>
    <row r="62" spans="1:10" s="191" customFormat="1">
      <c r="A62" s="185">
        <v>70215</v>
      </c>
      <c r="B62" s="186" t="s">
        <v>87</v>
      </c>
      <c r="C62" s="187">
        <v>2276862.7200000002</v>
      </c>
      <c r="D62" s="187"/>
      <c r="E62" s="188">
        <f t="shared" si="0"/>
        <v>2276862.7200000002</v>
      </c>
      <c r="F62" s="189"/>
      <c r="G62" s="190">
        <f t="shared" si="1"/>
        <v>2276862.7200000002</v>
      </c>
      <c r="H62" s="181"/>
      <c r="I62" s="181"/>
      <c r="J62" s="181"/>
    </row>
    <row r="63" spans="1:10" s="191" customFormat="1">
      <c r="A63" s="185">
        <v>70216</v>
      </c>
      <c r="B63" s="186" t="s">
        <v>409</v>
      </c>
      <c r="C63" s="187">
        <v>83010.86</v>
      </c>
      <c r="D63" s="187"/>
      <c r="E63" s="188">
        <f t="shared" si="0"/>
        <v>83010.86</v>
      </c>
      <c r="F63" s="189"/>
      <c r="G63" s="190">
        <f t="shared" si="1"/>
        <v>83010.86</v>
      </c>
      <c r="H63" s="181"/>
      <c r="I63" s="181"/>
      <c r="J63" s="181"/>
    </row>
    <row r="64" spans="1:10" s="191" customFormat="1">
      <c r="A64" s="185">
        <v>70230</v>
      </c>
      <c r="B64" s="186" t="s">
        <v>88</v>
      </c>
      <c r="C64" s="187">
        <v>22068</v>
      </c>
      <c r="D64" s="187"/>
      <c r="E64" s="188">
        <f t="shared" si="0"/>
        <v>22068</v>
      </c>
      <c r="F64" s="189"/>
      <c r="G64" s="190">
        <f t="shared" si="1"/>
        <v>22068</v>
      </c>
      <c r="H64" s="181"/>
      <c r="I64" s="181"/>
      <c r="J64" s="181"/>
    </row>
    <row r="65" spans="1:10" s="191" customFormat="1">
      <c r="A65" s="185">
        <v>70231</v>
      </c>
      <c r="B65" s="186" t="s">
        <v>410</v>
      </c>
      <c r="C65" s="187">
        <v>275533.21999999997</v>
      </c>
      <c r="D65" s="187"/>
      <c r="E65" s="188">
        <f t="shared" si="0"/>
        <v>275533.21999999997</v>
      </c>
      <c r="F65" s="189"/>
      <c r="G65" s="190">
        <f t="shared" si="1"/>
        <v>275533.21999999997</v>
      </c>
      <c r="H65" s="181"/>
      <c r="I65" s="181"/>
      <c r="J65" s="181"/>
    </row>
    <row r="66" spans="1:10" s="191" customFormat="1">
      <c r="A66" s="185">
        <v>70232</v>
      </c>
      <c r="B66" s="186" t="s">
        <v>193</v>
      </c>
      <c r="C66" s="187">
        <v>7665.23</v>
      </c>
      <c r="D66" s="187"/>
      <c r="E66" s="188">
        <f t="shared" si="0"/>
        <v>7665.23</v>
      </c>
      <c r="F66" s="189"/>
      <c r="G66" s="190">
        <f t="shared" si="1"/>
        <v>7665.23</v>
      </c>
      <c r="H66" s="181"/>
      <c r="I66" s="181"/>
      <c r="J66" s="181"/>
    </row>
    <row r="67" spans="1:10" s="191" customFormat="1">
      <c r="A67" s="185">
        <v>70235</v>
      </c>
      <c r="B67" s="186" t="s">
        <v>89</v>
      </c>
      <c r="C67" s="187">
        <v>3350858.04</v>
      </c>
      <c r="D67" s="187">
        <f>-C67</f>
        <v>-3350858.04</v>
      </c>
      <c r="E67" s="188">
        <f t="shared" si="0"/>
        <v>0</v>
      </c>
      <c r="F67" s="189"/>
      <c r="G67" s="190">
        <f t="shared" si="1"/>
        <v>0</v>
      </c>
      <c r="H67" s="181"/>
      <c r="I67" s="181"/>
      <c r="J67" s="181"/>
    </row>
    <row r="68" spans="1:10" s="191" customFormat="1">
      <c r="A68" s="185">
        <v>70240</v>
      </c>
      <c r="B68" s="186" t="s">
        <v>411</v>
      </c>
      <c r="C68" s="187">
        <v>2039369.79</v>
      </c>
      <c r="D68" s="187"/>
      <c r="E68" s="188">
        <f t="shared" si="0"/>
        <v>2039369.79</v>
      </c>
      <c r="F68" s="189"/>
      <c r="G68" s="190">
        <f t="shared" si="1"/>
        <v>2039369.79</v>
      </c>
      <c r="H68" s="181"/>
      <c r="I68" s="181"/>
      <c r="J68" s="181"/>
    </row>
    <row r="69" spans="1:10" s="191" customFormat="1">
      <c r="A69" s="185">
        <v>70245</v>
      </c>
      <c r="B69" s="186" t="s">
        <v>90</v>
      </c>
      <c r="C69" s="187">
        <v>632976.71</v>
      </c>
      <c r="D69" s="187"/>
      <c r="E69" s="188">
        <f t="shared" si="0"/>
        <v>632976.71</v>
      </c>
      <c r="F69" s="189"/>
      <c r="G69" s="190">
        <f t="shared" si="1"/>
        <v>632976.71</v>
      </c>
      <c r="H69" s="181"/>
      <c r="I69" s="181"/>
      <c r="J69" s="181"/>
    </row>
    <row r="70" spans="1:10" s="191" customFormat="1">
      <c r="A70" s="185">
        <v>70250</v>
      </c>
      <c r="B70" s="186" t="s">
        <v>412</v>
      </c>
      <c r="C70" s="187">
        <v>4234774.3600000003</v>
      </c>
      <c r="D70" s="187">
        <f>-C70</f>
        <v>-4234774.3600000003</v>
      </c>
      <c r="E70" s="188">
        <f t="shared" si="0"/>
        <v>0</v>
      </c>
      <c r="F70" s="189"/>
      <c r="G70" s="190">
        <f t="shared" si="1"/>
        <v>0</v>
      </c>
      <c r="H70" s="181"/>
      <c r="I70" s="181"/>
      <c r="J70" s="181"/>
    </row>
    <row r="71" spans="1:10" s="191" customFormat="1">
      <c r="A71" s="185">
        <v>70255</v>
      </c>
      <c r="B71" s="186" t="s">
        <v>91</v>
      </c>
      <c r="C71" s="187">
        <v>2144647.2200000002</v>
      </c>
      <c r="D71" s="187"/>
      <c r="E71" s="188">
        <f t="shared" si="0"/>
        <v>2144647.2200000002</v>
      </c>
      <c r="F71" s="189">
        <v>-370424.63999999943</v>
      </c>
      <c r="G71" s="190">
        <f t="shared" si="1"/>
        <v>1774222.5800000008</v>
      </c>
      <c r="H71" s="181" t="s">
        <v>413</v>
      </c>
      <c r="I71" s="181"/>
      <c r="J71" s="181"/>
    </row>
    <row r="72" spans="1:10" s="191" customFormat="1">
      <c r="A72" s="185">
        <v>70260</v>
      </c>
      <c r="B72" s="186" t="s">
        <v>101</v>
      </c>
      <c r="C72" s="187">
        <v>2303930.39</v>
      </c>
      <c r="D72" s="187">
        <v>-63926.55</v>
      </c>
      <c r="E72" s="188">
        <f t="shared" si="0"/>
        <v>2240003.8400000003</v>
      </c>
      <c r="F72" s="189"/>
      <c r="G72" s="190">
        <f t="shared" si="1"/>
        <v>2240003.8400000003</v>
      </c>
      <c r="H72" s="181"/>
      <c r="I72" s="181"/>
      <c r="J72" s="181"/>
    </row>
    <row r="73" spans="1:10" s="191" customFormat="1">
      <c r="A73" s="185">
        <v>70271</v>
      </c>
      <c r="B73" s="186" t="s">
        <v>397</v>
      </c>
      <c r="C73" s="187">
        <v>360861.89</v>
      </c>
      <c r="D73" s="187"/>
      <c r="E73" s="188">
        <f t="shared" si="0"/>
        <v>360861.89</v>
      </c>
      <c r="F73" s="189"/>
      <c r="G73" s="190">
        <f t="shared" si="1"/>
        <v>360861.89</v>
      </c>
      <c r="H73" s="181"/>
      <c r="I73" s="181"/>
      <c r="J73" s="181"/>
    </row>
    <row r="74" spans="1:10" s="191" customFormat="1">
      <c r="A74" s="185">
        <v>70273</v>
      </c>
      <c r="B74" s="186" t="s">
        <v>414</v>
      </c>
      <c r="C74" s="187">
        <v>428202.91</v>
      </c>
      <c r="D74" s="187">
        <f>-C74</f>
        <v>-428202.91</v>
      </c>
      <c r="E74" s="188">
        <f t="shared" si="0"/>
        <v>0</v>
      </c>
      <c r="F74" s="189"/>
      <c r="G74" s="190">
        <f t="shared" si="1"/>
        <v>0</v>
      </c>
      <c r="H74" s="181"/>
      <c r="I74" s="181"/>
      <c r="J74" s="181"/>
    </row>
    <row r="75" spans="1:10" s="191" customFormat="1">
      <c r="A75" s="185">
        <v>70275</v>
      </c>
      <c r="B75" s="186" t="s">
        <v>415</v>
      </c>
      <c r="C75" s="187">
        <v>249176.64</v>
      </c>
      <c r="D75" s="187"/>
      <c r="E75" s="188">
        <f t="shared" si="0"/>
        <v>249176.64</v>
      </c>
      <c r="F75" s="189"/>
      <c r="G75" s="190">
        <f t="shared" si="1"/>
        <v>249176.64</v>
      </c>
      <c r="H75" s="181"/>
      <c r="I75" s="181"/>
      <c r="J75" s="181"/>
    </row>
    <row r="76" spans="1:10" s="191" customFormat="1">
      <c r="A76" s="185">
        <v>70300</v>
      </c>
      <c r="B76" s="186" t="s">
        <v>177</v>
      </c>
      <c r="C76" s="187">
        <v>-67743.06</v>
      </c>
      <c r="D76" s="187">
        <f>-C76</f>
        <v>67743.06</v>
      </c>
      <c r="E76" s="188">
        <f t="shared" ref="E76:E84" si="2">SUM(C76:D76)</f>
        <v>0</v>
      </c>
      <c r="F76" s="189"/>
      <c r="G76" s="190">
        <f t="shared" ref="G76:G84" si="3">E76+F76</f>
        <v>0</v>
      </c>
      <c r="H76" s="181"/>
      <c r="I76" s="181"/>
      <c r="J76" s="181"/>
    </row>
    <row r="77" spans="1:10" s="191" customFormat="1">
      <c r="A77" s="185">
        <v>70301</v>
      </c>
      <c r="B77" s="186" t="s">
        <v>195</v>
      </c>
      <c r="C77" s="187">
        <v>5944.53</v>
      </c>
      <c r="D77" s="187"/>
      <c r="E77" s="188">
        <f t="shared" si="2"/>
        <v>5944.53</v>
      </c>
      <c r="F77" s="189"/>
      <c r="G77" s="190">
        <f t="shared" si="3"/>
        <v>5944.53</v>
      </c>
      <c r="H77" s="181"/>
      <c r="I77" s="181"/>
      <c r="J77" s="181"/>
    </row>
    <row r="78" spans="1:10" s="191" customFormat="1">
      <c r="A78" s="185">
        <v>70302</v>
      </c>
      <c r="B78" s="186" t="s">
        <v>92</v>
      </c>
      <c r="C78" s="187">
        <v>53317</v>
      </c>
      <c r="D78" s="187"/>
      <c r="E78" s="188">
        <f t="shared" si="2"/>
        <v>53317</v>
      </c>
      <c r="F78" s="189"/>
      <c r="G78" s="190">
        <f t="shared" si="3"/>
        <v>53317</v>
      </c>
      <c r="H78" s="181"/>
      <c r="I78" s="181"/>
      <c r="J78" s="181"/>
    </row>
    <row r="79" spans="1:10" s="191" customFormat="1">
      <c r="A79" s="185">
        <v>70324</v>
      </c>
      <c r="B79" s="186" t="s">
        <v>59</v>
      </c>
      <c r="C79" s="187">
        <v>8963.59</v>
      </c>
      <c r="D79" s="187">
        <f>-C79</f>
        <v>-8963.59</v>
      </c>
      <c r="E79" s="188">
        <f t="shared" si="2"/>
        <v>0</v>
      </c>
      <c r="F79" s="189"/>
      <c r="G79" s="190">
        <f t="shared" si="3"/>
        <v>0</v>
      </c>
      <c r="H79" s="181"/>
      <c r="I79" s="181"/>
      <c r="J79" s="181"/>
    </row>
    <row r="80" spans="1:10" s="191" customFormat="1">
      <c r="A80" s="185">
        <v>70345</v>
      </c>
      <c r="B80" s="186" t="s">
        <v>174</v>
      </c>
      <c r="C80" s="187">
        <v>0</v>
      </c>
      <c r="D80" s="187"/>
      <c r="E80" s="188">
        <f t="shared" si="2"/>
        <v>0</v>
      </c>
      <c r="F80" s="189"/>
      <c r="G80" s="190">
        <f t="shared" si="3"/>
        <v>0</v>
      </c>
      <c r="H80" s="181"/>
      <c r="I80" s="181"/>
      <c r="J80" s="181"/>
    </row>
    <row r="81" spans="1:7">
      <c r="A81" s="185">
        <v>70357</v>
      </c>
      <c r="B81" s="186" t="s">
        <v>60</v>
      </c>
      <c r="C81" s="187">
        <v>0</v>
      </c>
      <c r="D81" s="187"/>
      <c r="E81" s="188">
        <f t="shared" si="2"/>
        <v>0</v>
      </c>
      <c r="G81" s="190">
        <f t="shared" si="3"/>
        <v>0</v>
      </c>
    </row>
    <row r="82" spans="1:7">
      <c r="A82" s="185">
        <v>70371</v>
      </c>
      <c r="B82" s="186" t="s">
        <v>416</v>
      </c>
      <c r="C82" s="187">
        <v>269999.88</v>
      </c>
      <c r="D82" s="187">
        <f>-C82</f>
        <v>-269999.88</v>
      </c>
      <c r="E82" s="188">
        <f t="shared" si="2"/>
        <v>0</v>
      </c>
      <c r="G82" s="190">
        <f t="shared" si="3"/>
        <v>0</v>
      </c>
    </row>
    <row r="83" spans="1:7">
      <c r="A83" s="185">
        <v>70372</v>
      </c>
      <c r="B83" s="186" t="s">
        <v>417</v>
      </c>
      <c r="C83" s="187">
        <v>42430.46</v>
      </c>
      <c r="D83" s="187"/>
      <c r="E83" s="188">
        <f t="shared" si="2"/>
        <v>42430.46</v>
      </c>
      <c r="G83" s="190">
        <f t="shared" si="3"/>
        <v>42430.46</v>
      </c>
    </row>
    <row r="84" spans="1:7">
      <c r="A84" s="185">
        <v>70475</v>
      </c>
      <c r="B84" s="186" t="s">
        <v>198</v>
      </c>
      <c r="C84" s="195">
        <v>463641.72</v>
      </c>
      <c r="D84" s="195">
        <f>-C84</f>
        <v>-463641.72</v>
      </c>
      <c r="E84" s="196">
        <f t="shared" si="2"/>
        <v>0</v>
      </c>
      <c r="G84" s="197">
        <f t="shared" si="3"/>
        <v>0</v>
      </c>
    </row>
    <row r="85" spans="1:7">
      <c r="A85" s="186"/>
      <c r="B85" s="186" t="s">
        <v>418</v>
      </c>
      <c r="C85" s="198">
        <f>SUM(C11:C84)</f>
        <v>85915893.799999967</v>
      </c>
      <c r="D85" s="198">
        <f t="shared" ref="D85:E85" si="4">SUM(D11:D84)</f>
        <v>-28023959.569999997</v>
      </c>
      <c r="E85" s="198">
        <f t="shared" si="4"/>
        <v>57891934.229999967</v>
      </c>
      <c r="G85" s="199">
        <f>SUM(G11:G84)</f>
        <v>56819336.796513751</v>
      </c>
    </row>
    <row r="86" spans="1:7">
      <c r="A86" s="186"/>
      <c r="B86" s="186" t="s">
        <v>419</v>
      </c>
      <c r="C86" s="187">
        <v>2117286754.3199999</v>
      </c>
      <c r="D86" s="200"/>
      <c r="E86" s="201">
        <v>2117286754.3199999</v>
      </c>
      <c r="G86" s="202">
        <f>E86</f>
        <v>2117286754.3199999</v>
      </c>
    </row>
    <row r="87" spans="1:7" ht="15.75" thickBot="1">
      <c r="A87" s="186"/>
      <c r="B87" s="186"/>
      <c r="C87" s="203">
        <f>+C85/C86</f>
        <v>4.0578298440068036E-2</v>
      </c>
      <c r="D87" s="204"/>
      <c r="E87" s="203">
        <f>+E85/E86</f>
        <v>2.7342509989202134E-2</v>
      </c>
      <c r="G87" s="205">
        <f>+G85/G86</f>
        <v>2.6835919452375821E-2</v>
      </c>
    </row>
    <row r="88" spans="1:7">
      <c r="D88" s="191"/>
    </row>
    <row r="89" spans="1:7">
      <c r="B89" s="206" t="s">
        <v>420</v>
      </c>
      <c r="C89" s="207">
        <f>+C90-C86</f>
        <v>273903280.77999997</v>
      </c>
      <c r="D89" s="208"/>
    </row>
    <row r="90" spans="1:7">
      <c r="B90" s="206" t="s">
        <v>421</v>
      </c>
      <c r="C90" s="187">
        <v>2391190035.0999999</v>
      </c>
      <c r="D90" s="200"/>
    </row>
    <row r="91" spans="1:7" ht="15.75" thickBot="1">
      <c r="B91" s="206" t="s">
        <v>422</v>
      </c>
      <c r="C91" s="209">
        <f>+C85/C90</f>
        <v>3.5930182268598718E-2</v>
      </c>
      <c r="D91" s="210"/>
    </row>
    <row r="92" spans="1:7">
      <c r="C92" s="211"/>
    </row>
  </sheetData>
  <pageMargins left="0.7" right="0.7" top="0.75" bottom="0.75" header="0.3" footer="0.3"/>
  <pageSetup scale="53" orientation="portrait" r:id="rId1"/>
</worksheet>
</file>

<file path=xl/worksheets/sheet23.xml><?xml version="1.0" encoding="utf-8"?>
<worksheet xmlns="http://schemas.openxmlformats.org/spreadsheetml/2006/main" xmlns:r="http://schemas.openxmlformats.org/officeDocument/2006/relationships">
  <dimension ref="A1:AQ238"/>
  <sheetViews>
    <sheetView showGridLines="0" zoomScale="85" zoomScaleNormal="85" workbookViewId="0">
      <selection sqref="A1:AK47"/>
    </sheetView>
  </sheetViews>
  <sheetFormatPr defaultColWidth="13.85546875" defaultRowHeight="12.75" outlineLevelRow="1" outlineLevelCol="1"/>
  <cols>
    <col min="1" max="1" width="7.85546875" style="1" customWidth="1"/>
    <col min="2" max="3" width="2.28515625" style="1" customWidth="1"/>
    <col min="4" max="4" width="31.42578125" style="1" customWidth="1"/>
    <col min="5" max="5" width="2.28515625" style="1" customWidth="1"/>
    <col min="6" max="6" width="2.140625" style="1" customWidth="1"/>
    <col min="7" max="7" width="12.28515625" style="59" hidden="1" customWidth="1" outlineLevel="1"/>
    <col min="8" max="8" width="1.5703125" style="1" hidden="1" customWidth="1" outlineLevel="1"/>
    <col min="9" max="9" width="12.28515625" style="59" hidden="1" customWidth="1" outlineLevel="1"/>
    <col min="10" max="10" width="1.5703125" style="1" hidden="1" customWidth="1" outlineLevel="1"/>
    <col min="11" max="11" width="12.28515625" style="59" hidden="1" customWidth="1" outlineLevel="1"/>
    <col min="12" max="12" width="1.5703125" style="1" hidden="1" customWidth="1" outlineLevel="1"/>
    <col min="13" max="13" width="13.5703125" style="59" hidden="1" customWidth="1" outlineLevel="1"/>
    <col min="14" max="14" width="0.85546875" style="1" hidden="1" customWidth="1" outlineLevel="1"/>
    <col min="15" max="15" width="12.28515625" style="59" hidden="1" customWidth="1" outlineLevel="1"/>
    <col min="16" max="16" width="1.5703125" style="1" hidden="1" customWidth="1" outlineLevel="1"/>
    <col min="17" max="17" width="12.28515625" style="59" hidden="1" customWidth="1" outlineLevel="1"/>
    <col min="18" max="18" width="1.5703125" style="1" hidden="1" customWidth="1" outlineLevel="1"/>
    <col min="19" max="19" width="12.28515625" style="59" hidden="1" customWidth="1" outlineLevel="1"/>
    <col min="20" max="20" width="0.85546875" style="1" hidden="1" customWidth="1" outlineLevel="1"/>
    <col min="21" max="21" width="12.28515625" style="59" hidden="1" customWidth="1" outlineLevel="1"/>
    <col min="22" max="22" width="1.5703125" style="1" hidden="1" customWidth="1" outlineLevel="1"/>
    <col min="23" max="23" width="12.28515625" style="59" hidden="1" customWidth="1" outlineLevel="1"/>
    <col min="24" max="24" width="1.5703125" style="1" hidden="1" customWidth="1" outlineLevel="1"/>
    <col min="25" max="25" width="12.28515625" style="59" hidden="1" customWidth="1" outlineLevel="1"/>
    <col min="26" max="26" width="0.85546875" style="1" hidden="1" customWidth="1" outlineLevel="1"/>
    <col min="27" max="27" width="12.28515625" style="59" hidden="1" customWidth="1" outlineLevel="1"/>
    <col min="28" max="28" width="1.5703125" style="1" hidden="1" customWidth="1" outlineLevel="1"/>
    <col min="29" max="29" width="12.28515625" style="59" hidden="1" customWidth="1" outlineLevel="1"/>
    <col min="30" max="30" width="1.5703125" style="1" hidden="1" customWidth="1" outlineLevel="1"/>
    <col min="31" max="31" width="12.28515625" style="59" customWidth="1" collapsed="1"/>
    <col min="32" max="32" width="4.5703125" style="1" customWidth="1"/>
    <col min="33" max="33" width="1.42578125" style="1" customWidth="1"/>
    <col min="34" max="34" width="10.5703125" style="1" bestFit="1" customWidth="1"/>
    <col min="35" max="35" width="12.5703125" style="1" bestFit="1" customWidth="1"/>
    <col min="36" max="36" width="16.5703125" style="1" bestFit="1" customWidth="1"/>
    <col min="37" max="40" width="13.85546875" style="1"/>
    <col min="41" max="41" width="21.5703125" style="1" bestFit="1" customWidth="1"/>
    <col min="42" max="16384" width="13.85546875" style="1"/>
  </cols>
  <sheetData>
    <row r="1" spans="1:43" s="13" customFormat="1" ht="15.75">
      <c r="A1" s="418" t="s">
        <v>218</v>
      </c>
      <c r="J1" s="14"/>
      <c r="K1" s="15"/>
      <c r="N1" s="14"/>
      <c r="O1" s="16"/>
      <c r="P1" s="14"/>
      <c r="Q1" s="15"/>
      <c r="V1" s="14"/>
      <c r="W1" s="15"/>
      <c r="AB1" s="14"/>
      <c r="AC1" s="15"/>
      <c r="AE1" s="17"/>
      <c r="AN1" s="213"/>
      <c r="AO1" s="214"/>
      <c r="AP1" s="214"/>
    </row>
    <row r="2" spans="1:43" s="13" customFormat="1" ht="16.5" thickBot="1">
      <c r="A2" s="212" t="s">
        <v>1449</v>
      </c>
      <c r="K2" s="18"/>
      <c r="N2" s="14"/>
      <c r="O2" s="18"/>
      <c r="Q2" s="18" t="s">
        <v>0</v>
      </c>
      <c r="W2" s="18" t="s">
        <v>0</v>
      </c>
      <c r="AC2" s="18" t="s">
        <v>0</v>
      </c>
      <c r="AN2" s="217"/>
      <c r="AO2" s="218"/>
      <c r="AP2" s="219"/>
    </row>
    <row r="3" spans="1:43" s="13" customFormat="1" ht="19.5" customHeight="1" thickBot="1">
      <c r="A3" s="212" t="s">
        <v>373</v>
      </c>
      <c r="AG3" s="215" t="s">
        <v>1450</v>
      </c>
      <c r="AH3" s="216">
        <f>AP11</f>
        <v>2.3125031818947255E-3</v>
      </c>
      <c r="AN3" s="875" t="s">
        <v>120</v>
      </c>
      <c r="AO3" s="876" t="s">
        <v>1451</v>
      </c>
      <c r="AP3" s="877" t="s">
        <v>423</v>
      </c>
    </row>
    <row r="4" spans="1:43" s="13" customFormat="1" ht="16.5" thickBot="1">
      <c r="A4" s="19"/>
      <c r="AE4" s="220"/>
      <c r="AF4" s="220"/>
      <c r="AH4" s="220"/>
      <c r="AI4" s="220"/>
      <c r="AJ4" s="220"/>
      <c r="AN4" s="878">
        <v>2010</v>
      </c>
      <c r="AO4" s="879">
        <v>128337</v>
      </c>
      <c r="AP4" s="221">
        <f>AO4/$AO$86</f>
        <v>0.12564763795716485</v>
      </c>
      <c r="AQ4" s="880"/>
    </row>
    <row r="5" spans="1:43" s="13" customFormat="1" ht="15.75">
      <c r="A5" s="222" t="s">
        <v>424</v>
      </c>
      <c r="B5" s="223"/>
      <c r="C5" s="223"/>
      <c r="D5" s="223"/>
      <c r="E5" s="223"/>
      <c r="F5" s="223"/>
      <c r="G5" s="224"/>
      <c r="H5" s="222"/>
      <c r="I5" s="222"/>
      <c r="J5" s="222"/>
      <c r="K5" s="222"/>
      <c r="L5" s="222"/>
      <c r="M5" s="222"/>
      <c r="N5" s="222"/>
      <c r="O5" s="222"/>
      <c r="P5" s="222"/>
      <c r="Q5" s="222"/>
      <c r="R5" s="222"/>
      <c r="S5" s="222"/>
      <c r="T5" s="222"/>
      <c r="U5" s="222"/>
      <c r="V5" s="222"/>
      <c r="W5" s="222"/>
      <c r="X5" s="222"/>
      <c r="Y5" s="222"/>
      <c r="Z5" s="222"/>
      <c r="AA5" s="222"/>
      <c r="AB5" s="222"/>
      <c r="AC5" s="222"/>
      <c r="AD5" s="222"/>
      <c r="AE5" s="225"/>
      <c r="AF5" s="225"/>
      <c r="AH5" s="226" t="s">
        <v>1452</v>
      </c>
      <c r="AI5" s="226" t="s">
        <v>425</v>
      </c>
      <c r="AJ5" s="226" t="s">
        <v>426</v>
      </c>
      <c r="AN5" s="878">
        <v>2011</v>
      </c>
      <c r="AO5" s="879">
        <v>30394</v>
      </c>
      <c r="AP5" s="221">
        <f t="shared" ref="AP5:AP68" si="0">AO5/$AO$86</f>
        <v>2.9757079471002659E-2</v>
      </c>
      <c r="AQ5" s="880"/>
    </row>
    <row r="6" spans="1:43" s="13" customFormat="1" ht="16.5" thickBot="1">
      <c r="A6" s="20"/>
      <c r="B6" s="20"/>
      <c r="C6" s="20"/>
      <c r="D6" s="20"/>
      <c r="E6" s="20"/>
      <c r="F6" s="20"/>
      <c r="G6" s="24">
        <v>42098</v>
      </c>
      <c r="H6" s="25"/>
      <c r="I6" s="24">
        <v>42129</v>
      </c>
      <c r="J6" s="25"/>
      <c r="K6" s="24">
        <v>42161</v>
      </c>
      <c r="L6" s="26"/>
      <c r="M6" s="24">
        <v>42192</v>
      </c>
      <c r="N6" s="25"/>
      <c r="O6" s="24">
        <v>42224</v>
      </c>
      <c r="P6" s="25"/>
      <c r="Q6" s="24">
        <v>42256</v>
      </c>
      <c r="R6" s="26"/>
      <c r="S6" s="24">
        <v>42287</v>
      </c>
      <c r="T6" s="25"/>
      <c r="U6" s="24">
        <v>42319</v>
      </c>
      <c r="V6" s="25"/>
      <c r="W6" s="24">
        <v>42350</v>
      </c>
      <c r="X6" s="26"/>
      <c r="Y6" s="24">
        <v>42370</v>
      </c>
      <c r="Z6" s="25"/>
      <c r="AA6" s="24">
        <v>42402</v>
      </c>
      <c r="AB6" s="25"/>
      <c r="AC6" s="24">
        <v>42432</v>
      </c>
      <c r="AD6" s="26"/>
      <c r="AE6" s="27" t="s">
        <v>1</v>
      </c>
      <c r="AF6" s="28"/>
      <c r="AH6" s="24" t="s">
        <v>427</v>
      </c>
      <c r="AI6" s="24" t="s">
        <v>428</v>
      </c>
      <c r="AJ6" s="24" t="s">
        <v>429</v>
      </c>
      <c r="AN6" s="878">
        <v>2012</v>
      </c>
      <c r="AO6" s="879">
        <v>21971</v>
      </c>
      <c r="AP6" s="221">
        <f t="shared" si="0"/>
        <v>2.1510587387556734E-2</v>
      </c>
      <c r="AQ6" s="880"/>
    </row>
    <row r="7" spans="1:43" s="6" customFormat="1" ht="15.75" outlineLevel="1">
      <c r="G7" s="35"/>
      <c r="H7" s="34"/>
      <c r="I7" s="35"/>
      <c r="J7" s="34"/>
      <c r="K7" s="35"/>
      <c r="L7" s="34"/>
      <c r="M7" s="35"/>
      <c r="N7" s="34"/>
      <c r="O7" s="35"/>
      <c r="P7" s="34"/>
      <c r="Q7" s="35"/>
      <c r="R7" s="34"/>
      <c r="S7" s="35"/>
      <c r="T7" s="34"/>
      <c r="U7" s="35"/>
      <c r="V7" s="34"/>
      <c r="W7" s="35"/>
      <c r="X7" s="34"/>
      <c r="Y7" s="35"/>
      <c r="Z7" s="34"/>
      <c r="AA7" s="35"/>
      <c r="AB7" s="34"/>
      <c r="AC7" s="35"/>
      <c r="AD7" s="34"/>
      <c r="AE7" s="35"/>
      <c r="AF7" s="30"/>
      <c r="AG7" s="13"/>
      <c r="AN7" s="878">
        <v>2013</v>
      </c>
      <c r="AO7" s="879">
        <v>59448</v>
      </c>
      <c r="AP7" s="221">
        <f t="shared" si="0"/>
        <v>5.8202239270650984E-2</v>
      </c>
      <c r="AQ7" s="880"/>
    </row>
    <row r="8" spans="1:43" ht="15.75" outlineLevel="1">
      <c r="A8" s="4">
        <v>70035</v>
      </c>
      <c r="B8" s="4" t="s">
        <v>32</v>
      </c>
      <c r="C8" s="5"/>
      <c r="D8" s="2"/>
      <c r="E8" s="6"/>
      <c r="F8" s="7"/>
      <c r="G8" s="8">
        <v>258.13</v>
      </c>
      <c r="H8" s="7"/>
      <c r="I8" s="8">
        <v>191.56</v>
      </c>
      <c r="J8" s="7"/>
      <c r="K8" s="8">
        <v>191.56</v>
      </c>
      <c r="L8" s="7"/>
      <c r="M8" s="8">
        <v>191.56</v>
      </c>
      <c r="N8" s="7"/>
      <c r="O8" s="8">
        <v>191.57</v>
      </c>
      <c r="P8" s="7"/>
      <c r="Q8" s="8">
        <v>191.56</v>
      </c>
      <c r="R8" s="7"/>
      <c r="S8" s="8">
        <v>191.56</v>
      </c>
      <c r="T8" s="7"/>
      <c r="U8" s="8">
        <v>125</v>
      </c>
      <c r="V8" s="7"/>
      <c r="W8" s="8">
        <v>937.5</v>
      </c>
      <c r="X8" s="7"/>
      <c r="Y8" s="8">
        <v>187.5</v>
      </c>
      <c r="Z8" s="7"/>
      <c r="AA8" s="8">
        <v>187.5</v>
      </c>
      <c r="AB8" s="7"/>
      <c r="AC8" s="8">
        <v>251.79</v>
      </c>
      <c r="AD8" s="7"/>
      <c r="AE8" s="8">
        <f t="shared" ref="AE8:AE41" si="1">AC8+AA8+Y8+W8+U8+S8+Q8+O8+M8+K8+I8+G8</f>
        <v>3096.79</v>
      </c>
      <c r="AF8" s="9"/>
      <c r="AG8" s="10"/>
      <c r="AH8" s="227">
        <f t="shared" ref="AH8:AH41" si="2">AE8*$AH$3</f>
        <v>7.1613367286597667</v>
      </c>
      <c r="AI8" s="889"/>
      <c r="AJ8" s="889">
        <f t="shared" ref="AJ8:AJ41" si="3">AH8+AI8</f>
        <v>7.1613367286597667</v>
      </c>
      <c r="AN8" s="878">
        <v>2014</v>
      </c>
      <c r="AO8" s="879">
        <v>52</v>
      </c>
      <c r="AP8" s="221">
        <f t="shared" si="0"/>
        <v>5.0910315604794969E-5</v>
      </c>
      <c r="AQ8" s="880"/>
    </row>
    <row r="9" spans="1:43" ht="15.75" outlineLevel="1">
      <c r="A9" s="4">
        <v>70036</v>
      </c>
      <c r="B9" s="4" t="s">
        <v>33</v>
      </c>
      <c r="C9" s="5"/>
      <c r="D9" s="2"/>
      <c r="E9" s="6"/>
      <c r="F9" s="7"/>
      <c r="G9" s="8">
        <v>4778.72</v>
      </c>
      <c r="H9" s="7"/>
      <c r="I9" s="8">
        <v>3432.7</v>
      </c>
      <c r="J9" s="7"/>
      <c r="K9" s="8">
        <v>3447.7</v>
      </c>
      <c r="L9" s="7"/>
      <c r="M9" s="8">
        <v>4586.55</v>
      </c>
      <c r="N9" s="7"/>
      <c r="O9" s="8">
        <v>3432.7</v>
      </c>
      <c r="P9" s="7"/>
      <c r="Q9" s="8">
        <v>2293.85</v>
      </c>
      <c r="R9" s="7"/>
      <c r="S9" s="8">
        <v>4586.55</v>
      </c>
      <c r="T9" s="7"/>
      <c r="U9" s="8">
        <v>3432.7</v>
      </c>
      <c r="V9" s="7"/>
      <c r="W9" s="8">
        <v>4586.55</v>
      </c>
      <c r="X9" s="7"/>
      <c r="Y9" s="8">
        <v>3769.83</v>
      </c>
      <c r="Z9" s="7"/>
      <c r="AA9" s="8">
        <v>2625</v>
      </c>
      <c r="AB9" s="7"/>
      <c r="AC9" s="8">
        <v>4471.1499999999996</v>
      </c>
      <c r="AD9" s="7"/>
      <c r="AE9" s="8">
        <f t="shared" si="1"/>
        <v>45443.999999999993</v>
      </c>
      <c r="AF9" s="9"/>
      <c r="AG9" s="10"/>
      <c r="AH9" s="227">
        <f t="shared" si="2"/>
        <v>105.08939459802389</v>
      </c>
      <c r="AI9" s="889"/>
      <c r="AJ9" s="889">
        <f t="shared" si="3"/>
        <v>105.08939459802389</v>
      </c>
      <c r="AN9" s="878">
        <v>2015</v>
      </c>
      <c r="AO9" s="879">
        <v>0</v>
      </c>
      <c r="AP9" s="221">
        <f t="shared" si="0"/>
        <v>0</v>
      </c>
      <c r="AQ9" s="880"/>
    </row>
    <row r="10" spans="1:43" ht="15.75" outlineLevel="1">
      <c r="A10" s="4">
        <v>70086</v>
      </c>
      <c r="B10" s="4" t="s">
        <v>37</v>
      </c>
      <c r="C10" s="5"/>
      <c r="D10" s="2"/>
      <c r="E10" s="6"/>
      <c r="F10" s="7"/>
      <c r="G10" s="8">
        <v>653.84</v>
      </c>
      <c r="H10" s="7"/>
      <c r="I10" s="8">
        <v>3141.56</v>
      </c>
      <c r="J10" s="7"/>
      <c r="K10" s="8">
        <v>1397.83</v>
      </c>
      <c r="L10" s="7"/>
      <c r="M10" s="8">
        <v>115.89</v>
      </c>
      <c r="N10" s="7"/>
      <c r="O10" s="8">
        <v>1798.52</v>
      </c>
      <c r="P10" s="7"/>
      <c r="Q10" s="8">
        <v>11.38</v>
      </c>
      <c r="R10" s="7"/>
      <c r="S10" s="8">
        <v>826.29</v>
      </c>
      <c r="T10" s="7"/>
      <c r="U10" s="8">
        <v>3093.28</v>
      </c>
      <c r="V10" s="7"/>
      <c r="W10" s="8">
        <v>1926.25</v>
      </c>
      <c r="X10" s="7"/>
      <c r="Y10" s="8">
        <v>1523.4</v>
      </c>
      <c r="Z10" s="7"/>
      <c r="AA10" s="8">
        <v>2922.36</v>
      </c>
      <c r="AB10" s="7"/>
      <c r="AC10" s="8">
        <v>679.5</v>
      </c>
      <c r="AD10" s="7"/>
      <c r="AE10" s="8">
        <f t="shared" si="1"/>
        <v>18090.100000000002</v>
      </c>
      <c r="AF10" s="9"/>
      <c r="AG10" s="10"/>
      <c r="AH10" s="227">
        <f t="shared" si="2"/>
        <v>41.833413810793779</v>
      </c>
      <c r="AI10" s="889"/>
      <c r="AJ10" s="889">
        <f t="shared" si="3"/>
        <v>41.833413810793779</v>
      </c>
      <c r="AN10" s="878">
        <v>2020</v>
      </c>
      <c r="AO10" s="879">
        <v>0</v>
      </c>
      <c r="AP10" s="221">
        <f t="shared" si="0"/>
        <v>0</v>
      </c>
      <c r="AQ10" s="880"/>
    </row>
    <row r="11" spans="1:43" ht="15.75" outlineLevel="1">
      <c r="A11" s="4">
        <v>70090</v>
      </c>
      <c r="B11" s="4" t="s">
        <v>186</v>
      </c>
      <c r="C11" s="5"/>
      <c r="D11" s="2"/>
      <c r="E11" s="6"/>
      <c r="F11" s="7"/>
      <c r="G11" s="8">
        <v>1337.03</v>
      </c>
      <c r="H11" s="7"/>
      <c r="I11" s="8">
        <v>0</v>
      </c>
      <c r="J11" s="7"/>
      <c r="K11" s="8">
        <v>299</v>
      </c>
      <c r="L11" s="7"/>
      <c r="M11" s="8">
        <v>0</v>
      </c>
      <c r="N11" s="7"/>
      <c r="O11" s="8">
        <v>0</v>
      </c>
      <c r="P11" s="7"/>
      <c r="Q11" s="8">
        <v>0</v>
      </c>
      <c r="R11" s="7"/>
      <c r="S11" s="8">
        <v>0</v>
      </c>
      <c r="T11" s="7"/>
      <c r="U11" s="8">
        <v>0</v>
      </c>
      <c r="V11" s="7"/>
      <c r="W11" s="8">
        <v>0</v>
      </c>
      <c r="X11" s="7"/>
      <c r="Y11" s="8">
        <v>0</v>
      </c>
      <c r="Z11" s="7"/>
      <c r="AA11" s="8">
        <v>0</v>
      </c>
      <c r="AB11" s="7"/>
      <c r="AC11" s="8">
        <v>0</v>
      </c>
      <c r="AD11" s="7"/>
      <c r="AE11" s="8">
        <f t="shared" si="1"/>
        <v>1636.03</v>
      </c>
      <c r="AF11" s="9"/>
      <c r="AG11" s="10"/>
      <c r="AH11" s="227">
        <f t="shared" si="2"/>
        <v>3.7833245806752278</v>
      </c>
      <c r="AI11" s="889"/>
      <c r="AJ11" s="889">
        <f t="shared" si="3"/>
        <v>3.7833245806752278</v>
      </c>
      <c r="AN11" s="881">
        <v>2025</v>
      </c>
      <c r="AO11" s="882">
        <v>2362</v>
      </c>
      <c r="AP11" s="883">
        <f t="shared" si="0"/>
        <v>2.3125031818947255E-3</v>
      </c>
      <c r="AQ11" s="884" t="s">
        <v>1452</v>
      </c>
    </row>
    <row r="12" spans="1:43" ht="15.75" outlineLevel="1">
      <c r="A12" s="4">
        <v>70095</v>
      </c>
      <c r="B12" s="4" t="s">
        <v>71</v>
      </c>
      <c r="C12" s="5"/>
      <c r="D12" s="2"/>
      <c r="E12" s="6"/>
      <c r="F12" s="7"/>
      <c r="G12" s="8">
        <v>3511.19</v>
      </c>
      <c r="H12" s="7"/>
      <c r="I12" s="8">
        <v>1090.0899999999999</v>
      </c>
      <c r="J12" s="7"/>
      <c r="K12" s="8">
        <v>1298.82</v>
      </c>
      <c r="L12" s="7"/>
      <c r="M12" s="8">
        <v>5484.21</v>
      </c>
      <c r="N12" s="7"/>
      <c r="O12" s="8">
        <v>2242.2800000000002</v>
      </c>
      <c r="P12" s="7"/>
      <c r="Q12" s="8">
        <v>11984.05</v>
      </c>
      <c r="R12" s="7"/>
      <c r="S12" s="8">
        <v>2998.39</v>
      </c>
      <c r="T12" s="7"/>
      <c r="U12" s="8">
        <v>6015.84</v>
      </c>
      <c r="V12" s="7"/>
      <c r="W12" s="8">
        <v>30697.53</v>
      </c>
      <c r="X12" s="7"/>
      <c r="Y12" s="8">
        <v>5397.07</v>
      </c>
      <c r="Z12" s="7"/>
      <c r="AA12" s="8">
        <v>2144.94</v>
      </c>
      <c r="AB12" s="7"/>
      <c r="AC12" s="8">
        <v>1917.19</v>
      </c>
      <c r="AD12" s="7"/>
      <c r="AE12" s="8">
        <f t="shared" si="1"/>
        <v>74781.600000000006</v>
      </c>
      <c r="AF12" s="9"/>
      <c r="AG12" s="10"/>
      <c r="AH12" s="227">
        <f t="shared" si="2"/>
        <v>172.93268794717861</v>
      </c>
      <c r="AI12" s="889">
        <f>-AH12</f>
        <v>-172.93268794717861</v>
      </c>
      <c r="AJ12" s="889">
        <f t="shared" si="3"/>
        <v>0</v>
      </c>
      <c r="AN12" s="878">
        <v>2040</v>
      </c>
      <c r="AO12" s="879">
        <v>7628</v>
      </c>
      <c r="AP12" s="221">
        <f t="shared" si="0"/>
        <v>7.468151681411077E-3</v>
      </c>
      <c r="AQ12" s="880"/>
    </row>
    <row r="13" spans="1:43" ht="15.75" outlineLevel="1">
      <c r="A13" s="4">
        <v>70105</v>
      </c>
      <c r="B13" s="4" t="s">
        <v>187</v>
      </c>
      <c r="C13" s="5"/>
      <c r="D13" s="2"/>
      <c r="E13" s="6"/>
      <c r="F13" s="7"/>
      <c r="G13" s="8">
        <v>23650.48</v>
      </c>
      <c r="H13" s="7"/>
      <c r="I13" s="8">
        <v>4500</v>
      </c>
      <c r="J13" s="7"/>
      <c r="K13" s="8">
        <v>4938.51</v>
      </c>
      <c r="L13" s="7"/>
      <c r="M13" s="8">
        <v>12371.39</v>
      </c>
      <c r="N13" s="7"/>
      <c r="O13" s="8">
        <v>2597.23</v>
      </c>
      <c r="P13" s="7"/>
      <c r="Q13" s="8">
        <v>0</v>
      </c>
      <c r="R13" s="7"/>
      <c r="S13" s="8">
        <v>34.97</v>
      </c>
      <c r="T13" s="7"/>
      <c r="U13" s="8">
        <v>0</v>
      </c>
      <c r="V13" s="7"/>
      <c r="W13" s="8">
        <v>0</v>
      </c>
      <c r="X13" s="7"/>
      <c r="Y13" s="8">
        <v>0</v>
      </c>
      <c r="Z13" s="7"/>
      <c r="AA13" s="8">
        <v>0</v>
      </c>
      <c r="AB13" s="7"/>
      <c r="AC13" s="8">
        <v>0</v>
      </c>
      <c r="AD13" s="7"/>
      <c r="AE13" s="8">
        <f t="shared" si="1"/>
        <v>48092.58</v>
      </c>
      <c r="AF13" s="9"/>
      <c r="AG13" s="10"/>
      <c r="AH13" s="227">
        <f t="shared" si="2"/>
        <v>111.21424427552664</v>
      </c>
      <c r="AI13" s="889"/>
      <c r="AJ13" s="889">
        <f t="shared" si="3"/>
        <v>111.21424427552664</v>
      </c>
      <c r="AN13" s="878">
        <v>2041</v>
      </c>
      <c r="AO13" s="879">
        <v>2532</v>
      </c>
      <c r="AP13" s="221">
        <f t="shared" si="0"/>
        <v>2.4789407521411703E-3</v>
      </c>
      <c r="AQ13" s="880"/>
    </row>
    <row r="14" spans="1:43" ht="15.75" outlineLevel="1">
      <c r="A14" s="4">
        <v>70110</v>
      </c>
      <c r="B14" s="4" t="s">
        <v>72</v>
      </c>
      <c r="C14" s="5"/>
      <c r="D14" s="2"/>
      <c r="E14" s="6"/>
      <c r="F14" s="7"/>
      <c r="G14" s="8">
        <v>5000</v>
      </c>
      <c r="H14" s="7"/>
      <c r="I14" s="8">
        <v>9000</v>
      </c>
      <c r="J14" s="7"/>
      <c r="K14" s="8">
        <v>186949</v>
      </c>
      <c r="L14" s="7"/>
      <c r="M14" s="8">
        <v>0</v>
      </c>
      <c r="N14" s="7"/>
      <c r="O14" s="8">
        <v>109000</v>
      </c>
      <c r="P14" s="7"/>
      <c r="Q14" s="8">
        <v>0</v>
      </c>
      <c r="R14" s="7"/>
      <c r="S14" s="8">
        <v>0</v>
      </c>
      <c r="T14" s="7"/>
      <c r="U14" s="8">
        <v>-171000</v>
      </c>
      <c r="V14" s="7"/>
      <c r="W14" s="8">
        <v>7500</v>
      </c>
      <c r="X14" s="7"/>
      <c r="Y14" s="8">
        <v>0</v>
      </c>
      <c r="Z14" s="7"/>
      <c r="AA14" s="8">
        <v>5000</v>
      </c>
      <c r="AB14" s="7"/>
      <c r="AC14" s="8">
        <v>23500</v>
      </c>
      <c r="AD14" s="7"/>
      <c r="AE14" s="8">
        <f t="shared" si="1"/>
        <v>174949</v>
      </c>
      <c r="AF14" s="9"/>
      <c r="AG14" s="10"/>
      <c r="AH14" s="227">
        <f t="shared" si="2"/>
        <v>404.57011916930031</v>
      </c>
      <c r="AI14" s="889">
        <f>-AH14</f>
        <v>-404.57011916930031</v>
      </c>
      <c r="AJ14" s="889">
        <f t="shared" si="3"/>
        <v>0</v>
      </c>
      <c r="AN14" s="878">
        <v>2042</v>
      </c>
      <c r="AO14" s="879">
        <v>114</v>
      </c>
      <c r="AP14" s="221">
        <f t="shared" si="0"/>
        <v>1.1161107651820436E-4</v>
      </c>
      <c r="AQ14" s="880"/>
    </row>
    <row r="15" spans="1:43" ht="15.75" outlineLevel="1">
      <c r="A15" s="4">
        <v>70112</v>
      </c>
      <c r="B15" s="4" t="s">
        <v>402</v>
      </c>
      <c r="C15" s="5"/>
      <c r="D15" s="2"/>
      <c r="E15" s="6"/>
      <c r="F15" s="7"/>
      <c r="G15" s="8">
        <v>0</v>
      </c>
      <c r="H15" s="7"/>
      <c r="I15" s="8">
        <v>0</v>
      </c>
      <c r="J15" s="7"/>
      <c r="K15" s="8">
        <v>10000</v>
      </c>
      <c r="L15" s="7"/>
      <c r="M15" s="8">
        <v>0</v>
      </c>
      <c r="N15" s="7"/>
      <c r="O15" s="8">
        <v>0</v>
      </c>
      <c r="P15" s="7"/>
      <c r="Q15" s="8">
        <v>0</v>
      </c>
      <c r="R15" s="7"/>
      <c r="S15" s="8">
        <v>0</v>
      </c>
      <c r="T15" s="7"/>
      <c r="U15" s="8">
        <v>-225</v>
      </c>
      <c r="V15" s="7"/>
      <c r="W15" s="8">
        <v>0</v>
      </c>
      <c r="X15" s="7"/>
      <c r="Y15" s="8">
        <v>0</v>
      </c>
      <c r="Z15" s="7"/>
      <c r="AA15" s="8">
        <v>0</v>
      </c>
      <c r="AB15" s="7"/>
      <c r="AC15" s="8">
        <v>0</v>
      </c>
      <c r="AD15" s="7"/>
      <c r="AE15" s="8">
        <f t="shared" si="1"/>
        <v>9775</v>
      </c>
      <c r="AF15" s="9"/>
      <c r="AG15" s="10"/>
      <c r="AH15" s="227">
        <f t="shared" si="2"/>
        <v>22.604718603020942</v>
      </c>
      <c r="AI15" s="889">
        <f>-AH15</f>
        <v>-22.604718603020942</v>
      </c>
      <c r="AJ15" s="889">
        <f t="shared" si="3"/>
        <v>0</v>
      </c>
      <c r="AN15" s="878">
        <v>2043</v>
      </c>
      <c r="AO15" s="879">
        <v>5013</v>
      </c>
      <c r="AP15" s="221">
        <f t="shared" si="0"/>
        <v>4.9079502332084069E-3</v>
      </c>
      <c r="AQ15" s="880"/>
    </row>
    <row r="16" spans="1:43" ht="15.75" outlineLevel="1">
      <c r="A16" s="4">
        <v>70147</v>
      </c>
      <c r="B16" s="4" t="s">
        <v>74</v>
      </c>
      <c r="C16" s="5"/>
      <c r="D16" s="2"/>
      <c r="E16" s="6"/>
      <c r="F16" s="7"/>
      <c r="G16" s="8">
        <v>2464.9699999999998</v>
      </c>
      <c r="H16" s="7"/>
      <c r="I16" s="8">
        <v>2073.98</v>
      </c>
      <c r="J16" s="7"/>
      <c r="K16" s="8">
        <v>2249.59</v>
      </c>
      <c r="L16" s="7"/>
      <c r="M16" s="8">
        <v>2486.4299999999998</v>
      </c>
      <c r="N16" s="7"/>
      <c r="O16" s="8">
        <v>2205.42</v>
      </c>
      <c r="P16" s="7"/>
      <c r="Q16" s="8">
        <v>1138.98</v>
      </c>
      <c r="R16" s="7"/>
      <c r="S16" s="8">
        <v>2458.0100000000002</v>
      </c>
      <c r="T16" s="7"/>
      <c r="U16" s="8">
        <v>2349.8000000000002</v>
      </c>
      <c r="V16" s="7"/>
      <c r="W16" s="8">
        <v>3048.64</v>
      </c>
      <c r="X16" s="7"/>
      <c r="Y16" s="8">
        <v>2759.91</v>
      </c>
      <c r="Z16" s="7"/>
      <c r="AA16" s="8">
        <v>1331.72</v>
      </c>
      <c r="AB16" s="7"/>
      <c r="AC16" s="8">
        <v>2329.36</v>
      </c>
      <c r="AD16" s="7"/>
      <c r="AE16" s="8">
        <f t="shared" si="1"/>
        <v>26896.81</v>
      </c>
      <c r="AF16" s="9"/>
      <c r="AG16" s="10"/>
      <c r="AH16" s="227">
        <f t="shared" si="2"/>
        <v>62.198958707817873</v>
      </c>
      <c r="AI16" s="889"/>
      <c r="AJ16" s="889">
        <f t="shared" si="3"/>
        <v>62.198958707817873</v>
      </c>
      <c r="AN16" s="878">
        <v>2044</v>
      </c>
      <c r="AO16" s="879">
        <v>7605</v>
      </c>
      <c r="AP16" s="221">
        <f t="shared" si="0"/>
        <v>7.445633657201264E-3</v>
      </c>
      <c r="AQ16" s="880"/>
    </row>
    <row r="17" spans="1:43" ht="15.75" outlineLevel="1">
      <c r="A17" s="4">
        <v>70165</v>
      </c>
      <c r="B17" s="4" t="s">
        <v>77</v>
      </c>
      <c r="C17" s="5"/>
      <c r="D17" s="2"/>
      <c r="E17" s="6"/>
      <c r="F17" s="7"/>
      <c r="G17" s="8">
        <v>4203.17</v>
      </c>
      <c r="H17" s="7"/>
      <c r="I17" s="8">
        <v>6870.7</v>
      </c>
      <c r="J17" s="7"/>
      <c r="K17" s="8">
        <v>1526.35</v>
      </c>
      <c r="L17" s="7"/>
      <c r="M17" s="8">
        <v>4065.69</v>
      </c>
      <c r="N17" s="7"/>
      <c r="O17" s="8">
        <v>3756.16</v>
      </c>
      <c r="P17" s="7"/>
      <c r="Q17" s="8">
        <v>4837.3500000000004</v>
      </c>
      <c r="R17" s="7"/>
      <c r="S17" s="8">
        <v>4220.8100000000004</v>
      </c>
      <c r="T17" s="7"/>
      <c r="U17" s="8">
        <v>4235.8500000000004</v>
      </c>
      <c r="V17" s="7"/>
      <c r="W17" s="8">
        <v>4868.13</v>
      </c>
      <c r="X17" s="7"/>
      <c r="Y17" s="8">
        <v>5638.99</v>
      </c>
      <c r="Z17" s="7"/>
      <c r="AA17" s="8">
        <v>1684.77</v>
      </c>
      <c r="AB17" s="7"/>
      <c r="AC17" s="8">
        <v>2288.89</v>
      </c>
      <c r="AD17" s="7"/>
      <c r="AE17" s="8">
        <f t="shared" si="1"/>
        <v>48196.859999999993</v>
      </c>
      <c r="AF17" s="9"/>
      <c r="AG17" s="10"/>
      <c r="AH17" s="227">
        <f t="shared" si="2"/>
        <v>111.4553921073346</v>
      </c>
      <c r="AI17" s="889"/>
      <c r="AJ17" s="889">
        <f t="shared" si="3"/>
        <v>111.4553921073346</v>
      </c>
      <c r="AN17" s="878">
        <v>2045</v>
      </c>
      <c r="AO17" s="879">
        <v>6089</v>
      </c>
      <c r="AP17" s="221">
        <f t="shared" si="0"/>
        <v>5.9614021484153184E-3</v>
      </c>
      <c r="AQ17" s="880"/>
    </row>
    <row r="18" spans="1:43" ht="15.75" outlineLevel="1">
      <c r="A18" s="4">
        <v>70167</v>
      </c>
      <c r="B18" s="4" t="s">
        <v>78</v>
      </c>
      <c r="C18" s="5"/>
      <c r="D18" s="2"/>
      <c r="E18" s="6"/>
      <c r="F18" s="7"/>
      <c r="G18" s="8">
        <v>3296.21</v>
      </c>
      <c r="H18" s="7"/>
      <c r="I18" s="8">
        <v>3517.23</v>
      </c>
      <c r="J18" s="7"/>
      <c r="K18" s="8">
        <v>2732.76</v>
      </c>
      <c r="L18" s="7"/>
      <c r="M18" s="8">
        <v>3194.3</v>
      </c>
      <c r="N18" s="7"/>
      <c r="O18" s="8">
        <v>1584.6</v>
      </c>
      <c r="P18" s="7"/>
      <c r="Q18" s="8">
        <v>2884.84</v>
      </c>
      <c r="R18" s="7"/>
      <c r="S18" s="8">
        <v>1818.92</v>
      </c>
      <c r="T18" s="7"/>
      <c r="U18" s="8">
        <v>2450.94</v>
      </c>
      <c r="V18" s="7"/>
      <c r="W18" s="8">
        <v>1781.38</v>
      </c>
      <c r="X18" s="7"/>
      <c r="Y18" s="8">
        <v>1728.58</v>
      </c>
      <c r="Z18" s="7"/>
      <c r="AA18" s="8">
        <v>1995.67</v>
      </c>
      <c r="AB18" s="7"/>
      <c r="AC18" s="8">
        <v>2318.94</v>
      </c>
      <c r="AD18" s="7"/>
      <c r="AE18" s="8">
        <f t="shared" si="1"/>
        <v>29304.37</v>
      </c>
      <c r="AF18" s="9"/>
      <c r="AG18" s="10"/>
      <c r="AH18" s="227">
        <f t="shared" si="2"/>
        <v>67.766448868420326</v>
      </c>
      <c r="AI18" s="889"/>
      <c r="AJ18" s="889">
        <f t="shared" si="3"/>
        <v>67.766448868420326</v>
      </c>
      <c r="AN18" s="878">
        <v>2046</v>
      </c>
      <c r="AO18" s="879">
        <v>9174</v>
      </c>
      <c r="AP18" s="221">
        <f t="shared" si="0"/>
        <v>8.9817545261228655E-3</v>
      </c>
      <c r="AQ18" s="880"/>
    </row>
    <row r="19" spans="1:43" ht="15.75" outlineLevel="1">
      <c r="A19" s="4">
        <v>70170</v>
      </c>
      <c r="B19" s="4" t="s">
        <v>56</v>
      </c>
      <c r="C19" s="5"/>
      <c r="D19" s="2"/>
      <c r="E19" s="6"/>
      <c r="F19" s="7"/>
      <c r="G19" s="8">
        <v>21327.35</v>
      </c>
      <c r="H19" s="7"/>
      <c r="I19" s="8">
        <v>21327.35</v>
      </c>
      <c r="J19" s="7"/>
      <c r="K19" s="8">
        <v>21327.35</v>
      </c>
      <c r="L19" s="7"/>
      <c r="M19" s="8">
        <v>21327.35</v>
      </c>
      <c r="N19" s="7"/>
      <c r="O19" s="8">
        <v>21327.35</v>
      </c>
      <c r="P19" s="7"/>
      <c r="Q19" s="8">
        <v>21327.35</v>
      </c>
      <c r="R19" s="7"/>
      <c r="S19" s="8">
        <v>21327.35</v>
      </c>
      <c r="T19" s="7"/>
      <c r="U19" s="8">
        <v>21327.35</v>
      </c>
      <c r="V19" s="7"/>
      <c r="W19" s="8">
        <v>21327.35</v>
      </c>
      <c r="X19" s="7"/>
      <c r="Y19" s="8">
        <v>21327.35</v>
      </c>
      <c r="Z19" s="7"/>
      <c r="AA19" s="8">
        <v>21327.35</v>
      </c>
      <c r="AB19" s="7"/>
      <c r="AC19" s="8">
        <v>21327.35</v>
      </c>
      <c r="AD19" s="7"/>
      <c r="AE19" s="8">
        <f t="shared" si="1"/>
        <v>255928.20000000004</v>
      </c>
      <c r="AF19" s="9"/>
      <c r="AG19" s="10"/>
      <c r="AH19" s="227">
        <f t="shared" si="2"/>
        <v>591.83477683658975</v>
      </c>
      <c r="AI19" s="889"/>
      <c r="AJ19" s="889">
        <f t="shared" si="3"/>
        <v>591.83477683658975</v>
      </c>
      <c r="AN19" s="878">
        <v>2047</v>
      </c>
      <c r="AO19" s="879">
        <v>13384</v>
      </c>
      <c r="AP19" s="221">
        <f t="shared" si="0"/>
        <v>1.3103532001049537E-2</v>
      </c>
      <c r="AQ19" s="880"/>
    </row>
    <row r="20" spans="1:43" ht="15.75" outlineLevel="1">
      <c r="A20" s="4">
        <v>70175</v>
      </c>
      <c r="B20" s="4" t="s">
        <v>49</v>
      </c>
      <c r="C20" s="5"/>
      <c r="D20" s="2"/>
      <c r="E20" s="6"/>
      <c r="F20" s="7"/>
      <c r="G20" s="8">
        <v>0</v>
      </c>
      <c r="H20" s="7"/>
      <c r="I20" s="8">
        <v>0</v>
      </c>
      <c r="J20" s="7"/>
      <c r="K20" s="8">
        <v>0</v>
      </c>
      <c r="L20" s="7"/>
      <c r="M20" s="8">
        <v>0</v>
      </c>
      <c r="N20" s="7"/>
      <c r="O20" s="8">
        <v>0</v>
      </c>
      <c r="P20" s="7"/>
      <c r="Q20" s="8">
        <v>0</v>
      </c>
      <c r="R20" s="7"/>
      <c r="S20" s="8">
        <v>0</v>
      </c>
      <c r="T20" s="7"/>
      <c r="U20" s="8">
        <v>812.42</v>
      </c>
      <c r="V20" s="7"/>
      <c r="W20" s="8">
        <v>-812.42</v>
      </c>
      <c r="X20" s="7"/>
      <c r="Y20" s="8">
        <v>0</v>
      </c>
      <c r="Z20" s="7"/>
      <c r="AA20" s="8">
        <v>0</v>
      </c>
      <c r="AB20" s="7"/>
      <c r="AC20" s="8">
        <v>0</v>
      </c>
      <c r="AD20" s="7"/>
      <c r="AE20" s="8">
        <f t="shared" si="1"/>
        <v>0</v>
      </c>
      <c r="AF20" s="9"/>
      <c r="AG20" s="10"/>
      <c r="AH20" s="227">
        <f t="shared" si="2"/>
        <v>0</v>
      </c>
      <c r="AI20" s="889"/>
      <c r="AJ20" s="889">
        <f t="shared" si="3"/>
        <v>0</v>
      </c>
      <c r="AN20" s="878">
        <v>2048</v>
      </c>
      <c r="AO20" s="879">
        <v>109</v>
      </c>
      <c r="AP20" s="221">
        <f t="shared" si="0"/>
        <v>1.0671585386389715E-4</v>
      </c>
      <c r="AQ20" s="880"/>
    </row>
    <row r="21" spans="1:43" ht="15.75" outlineLevel="1">
      <c r="A21" s="4">
        <v>70185</v>
      </c>
      <c r="B21" s="4" t="s">
        <v>79</v>
      </c>
      <c r="C21" s="5"/>
      <c r="D21" s="2"/>
      <c r="E21" s="6"/>
      <c r="F21" s="7"/>
      <c r="G21" s="8">
        <v>1002.48</v>
      </c>
      <c r="H21" s="7"/>
      <c r="I21" s="8">
        <v>1491.73</v>
      </c>
      <c r="J21" s="7"/>
      <c r="K21" s="8">
        <v>2389.41</v>
      </c>
      <c r="L21" s="7"/>
      <c r="M21" s="8">
        <v>413.71</v>
      </c>
      <c r="N21" s="7"/>
      <c r="O21" s="8">
        <v>931.46</v>
      </c>
      <c r="P21" s="7"/>
      <c r="Q21" s="8">
        <v>886.74</v>
      </c>
      <c r="R21" s="7"/>
      <c r="S21" s="8">
        <v>1016.7</v>
      </c>
      <c r="T21" s="7"/>
      <c r="U21" s="8">
        <v>1361.65</v>
      </c>
      <c r="V21" s="7"/>
      <c r="W21" s="8">
        <v>2023.82</v>
      </c>
      <c r="X21" s="7"/>
      <c r="Y21" s="8">
        <v>763.28</v>
      </c>
      <c r="Z21" s="7"/>
      <c r="AA21" s="8">
        <v>1598.3</v>
      </c>
      <c r="AB21" s="7"/>
      <c r="AC21" s="8">
        <v>412.13</v>
      </c>
      <c r="AD21" s="7"/>
      <c r="AE21" s="8">
        <f t="shared" si="1"/>
        <v>14291.409999999998</v>
      </c>
      <c r="AF21" s="9"/>
      <c r="AG21" s="10"/>
      <c r="AH21" s="227">
        <f t="shared" si="2"/>
        <v>33.048931098762097</v>
      </c>
      <c r="AI21" s="889"/>
      <c r="AJ21" s="889">
        <f t="shared" si="3"/>
        <v>33.048931098762097</v>
      </c>
      <c r="AN21" s="878">
        <v>2049</v>
      </c>
      <c r="AO21" s="879">
        <v>16</v>
      </c>
      <c r="AP21" s="221">
        <f t="shared" si="0"/>
        <v>1.5664712493783066E-5</v>
      </c>
      <c r="AQ21" s="880"/>
    </row>
    <row r="22" spans="1:43" ht="15.75" outlineLevel="1">
      <c r="A22" s="4">
        <v>70190</v>
      </c>
      <c r="B22" s="4" t="s">
        <v>405</v>
      </c>
      <c r="C22" s="5"/>
      <c r="D22" s="2"/>
      <c r="E22" s="6"/>
      <c r="F22" s="7"/>
      <c r="G22" s="8">
        <v>0</v>
      </c>
      <c r="H22" s="7"/>
      <c r="I22" s="8">
        <v>0</v>
      </c>
      <c r="J22" s="7"/>
      <c r="K22" s="8">
        <v>0</v>
      </c>
      <c r="L22" s="7"/>
      <c r="M22" s="8">
        <v>1758</v>
      </c>
      <c r="N22" s="7"/>
      <c r="O22" s="8">
        <v>0</v>
      </c>
      <c r="P22" s="7"/>
      <c r="Q22" s="8">
        <v>0</v>
      </c>
      <c r="R22" s="7"/>
      <c r="S22" s="8">
        <v>0</v>
      </c>
      <c r="T22" s="7"/>
      <c r="U22" s="8">
        <v>0</v>
      </c>
      <c r="V22" s="7"/>
      <c r="W22" s="8">
        <v>0</v>
      </c>
      <c r="X22" s="7"/>
      <c r="Y22" s="8">
        <v>0</v>
      </c>
      <c r="Z22" s="7"/>
      <c r="AA22" s="8">
        <v>0</v>
      </c>
      <c r="AB22" s="7"/>
      <c r="AC22" s="8">
        <v>0</v>
      </c>
      <c r="AD22" s="7"/>
      <c r="AE22" s="8">
        <f t="shared" si="1"/>
        <v>1758</v>
      </c>
      <c r="AF22" s="9"/>
      <c r="AG22" s="10"/>
      <c r="AH22" s="227">
        <f t="shared" si="2"/>
        <v>4.0653805937709278</v>
      </c>
      <c r="AI22" s="889"/>
      <c r="AJ22" s="889">
        <f t="shared" si="3"/>
        <v>4.0653805937709278</v>
      </c>
      <c r="AN22" s="878">
        <v>2050</v>
      </c>
      <c r="AO22" s="879">
        <v>54</v>
      </c>
      <c r="AP22" s="221">
        <f t="shared" si="0"/>
        <v>5.2868404666517854E-5</v>
      </c>
      <c r="AQ22" s="880"/>
    </row>
    <row r="23" spans="1:43" ht="15.75" outlineLevel="1">
      <c r="A23" s="4">
        <v>70195</v>
      </c>
      <c r="B23" s="4" t="s">
        <v>406</v>
      </c>
      <c r="C23" s="5"/>
      <c r="D23" s="2"/>
      <c r="E23" s="6"/>
      <c r="F23" s="7"/>
      <c r="G23" s="8">
        <v>2946.61</v>
      </c>
      <c r="H23" s="7"/>
      <c r="I23" s="8">
        <v>812.37</v>
      </c>
      <c r="J23" s="7"/>
      <c r="K23" s="8">
        <v>4966.84</v>
      </c>
      <c r="L23" s="7"/>
      <c r="M23" s="8">
        <v>4801.6899999999996</v>
      </c>
      <c r="N23" s="7"/>
      <c r="O23" s="8">
        <v>3244.23</v>
      </c>
      <c r="P23" s="7"/>
      <c r="Q23" s="8">
        <v>2077.48</v>
      </c>
      <c r="R23" s="7"/>
      <c r="S23" s="8">
        <v>3208.78</v>
      </c>
      <c r="T23" s="7"/>
      <c r="U23" s="8">
        <v>7050.09</v>
      </c>
      <c r="V23" s="7"/>
      <c r="W23" s="8">
        <v>1077.2</v>
      </c>
      <c r="X23" s="7"/>
      <c r="Y23" s="8">
        <v>2763.27</v>
      </c>
      <c r="Z23" s="7"/>
      <c r="AA23" s="8">
        <v>3984.22</v>
      </c>
      <c r="AB23" s="7"/>
      <c r="AC23" s="8">
        <v>4350.2700000000004</v>
      </c>
      <c r="AD23" s="7"/>
      <c r="AE23" s="8">
        <f t="shared" si="1"/>
        <v>41283.050000000003</v>
      </c>
      <c r="AF23" s="9"/>
      <c r="AG23" s="10"/>
      <c r="AH23" s="227">
        <f t="shared" si="2"/>
        <v>95.467184483319059</v>
      </c>
      <c r="AI23" s="889"/>
      <c r="AJ23" s="889">
        <f t="shared" si="3"/>
        <v>95.467184483319059</v>
      </c>
      <c r="AN23" s="878">
        <v>2051</v>
      </c>
      <c r="AO23" s="879">
        <v>437</v>
      </c>
      <c r="AP23" s="221">
        <f t="shared" si="0"/>
        <v>4.2784245998645003E-4</v>
      </c>
      <c r="AQ23" s="880"/>
    </row>
    <row r="24" spans="1:43" ht="15.75" outlineLevel="1">
      <c r="A24" s="4">
        <v>70200</v>
      </c>
      <c r="B24" s="4" t="s">
        <v>80</v>
      </c>
      <c r="C24" s="5"/>
      <c r="D24" s="2"/>
      <c r="E24" s="6"/>
      <c r="F24" s="7"/>
      <c r="G24" s="8">
        <v>8078.89</v>
      </c>
      <c r="H24" s="7"/>
      <c r="I24" s="8">
        <v>20827.27</v>
      </c>
      <c r="J24" s="7"/>
      <c r="K24" s="8">
        <v>26613.14</v>
      </c>
      <c r="L24" s="7"/>
      <c r="M24" s="8">
        <v>11945.82</v>
      </c>
      <c r="N24" s="7"/>
      <c r="O24" s="8">
        <v>10886.81</v>
      </c>
      <c r="P24" s="7"/>
      <c r="Q24" s="8">
        <v>15124.93</v>
      </c>
      <c r="R24" s="7"/>
      <c r="S24" s="8">
        <v>22679.360000000001</v>
      </c>
      <c r="T24" s="7"/>
      <c r="U24" s="8">
        <v>4185.6899999999996</v>
      </c>
      <c r="V24" s="7"/>
      <c r="W24" s="8">
        <v>7457.36</v>
      </c>
      <c r="X24" s="7"/>
      <c r="Y24" s="8">
        <v>18194.189999999999</v>
      </c>
      <c r="Z24" s="7"/>
      <c r="AA24" s="8">
        <v>19750.47</v>
      </c>
      <c r="AB24" s="7"/>
      <c r="AC24" s="8">
        <v>19075.439999999999</v>
      </c>
      <c r="AD24" s="7"/>
      <c r="AE24" s="8">
        <f t="shared" si="1"/>
        <v>184819.37000000002</v>
      </c>
      <c r="AF24" s="9"/>
      <c r="AG24" s="10"/>
      <c r="AH24" s="227">
        <f t="shared" si="2"/>
        <v>427.39538120077862</v>
      </c>
      <c r="AI24" s="889"/>
      <c r="AJ24" s="889">
        <f t="shared" si="3"/>
        <v>427.39538120077862</v>
      </c>
      <c r="AN24" s="878">
        <v>2053</v>
      </c>
      <c r="AO24" s="879">
        <v>80</v>
      </c>
      <c r="AP24" s="221">
        <f t="shared" si="0"/>
        <v>7.8323562468915332E-5</v>
      </c>
      <c r="AQ24" s="880"/>
    </row>
    <row r="25" spans="1:43" ht="15.75" outlineLevel="1">
      <c r="A25" s="4">
        <v>70201</v>
      </c>
      <c r="B25" s="4" t="s">
        <v>81</v>
      </c>
      <c r="C25" s="5"/>
      <c r="D25" s="2"/>
      <c r="E25" s="6"/>
      <c r="F25" s="7"/>
      <c r="G25" s="8">
        <v>5464.78</v>
      </c>
      <c r="H25" s="7"/>
      <c r="I25" s="8">
        <v>941.9</v>
      </c>
      <c r="J25" s="7"/>
      <c r="K25" s="8">
        <v>5135.2299999999996</v>
      </c>
      <c r="L25" s="7"/>
      <c r="M25" s="8">
        <v>1738.9</v>
      </c>
      <c r="N25" s="7"/>
      <c r="O25" s="8">
        <v>3319.89</v>
      </c>
      <c r="P25" s="7"/>
      <c r="Q25" s="8">
        <v>4871.9799999999996</v>
      </c>
      <c r="R25" s="7"/>
      <c r="S25" s="8">
        <v>8099.93</v>
      </c>
      <c r="T25" s="7"/>
      <c r="U25" s="8">
        <v>1587.62</v>
      </c>
      <c r="V25" s="7"/>
      <c r="W25" s="8">
        <v>11461.81</v>
      </c>
      <c r="X25" s="7"/>
      <c r="Y25" s="8">
        <v>-3102.96</v>
      </c>
      <c r="Z25" s="7"/>
      <c r="AA25" s="8">
        <v>4354.17</v>
      </c>
      <c r="AB25" s="7"/>
      <c r="AC25" s="8">
        <v>4538.1400000000003</v>
      </c>
      <c r="AD25" s="7"/>
      <c r="AE25" s="8">
        <f t="shared" si="1"/>
        <v>48411.390000000007</v>
      </c>
      <c r="AF25" s="9"/>
      <c r="AG25" s="10"/>
      <c r="AH25" s="227">
        <f t="shared" si="2"/>
        <v>111.95149341494651</v>
      </c>
      <c r="AI25" s="889">
        <f>-AH25</f>
        <v>-111.95149341494651</v>
      </c>
      <c r="AJ25" s="889">
        <f t="shared" si="3"/>
        <v>0</v>
      </c>
      <c r="AN25" s="878">
        <v>2111</v>
      </c>
      <c r="AO25" s="879">
        <v>35691</v>
      </c>
      <c r="AP25" s="221">
        <f t="shared" si="0"/>
        <v>3.4943078350975716E-2</v>
      </c>
      <c r="AQ25" s="880"/>
    </row>
    <row r="26" spans="1:43" ht="15.75" outlineLevel="1">
      <c r="A26" s="4">
        <v>70202</v>
      </c>
      <c r="B26" s="4" t="s">
        <v>82</v>
      </c>
      <c r="C26" s="5"/>
      <c r="D26" s="2"/>
      <c r="E26" s="6"/>
      <c r="F26" s="7"/>
      <c r="G26" s="8">
        <v>63054.65</v>
      </c>
      <c r="H26" s="7"/>
      <c r="I26" s="8">
        <v>49463.95</v>
      </c>
      <c r="J26" s="7"/>
      <c r="K26" s="8">
        <v>83042.789999999994</v>
      </c>
      <c r="L26" s="7"/>
      <c r="M26" s="8">
        <v>432641.69</v>
      </c>
      <c r="N26" s="7"/>
      <c r="O26" s="8">
        <v>25944.01</v>
      </c>
      <c r="P26" s="7"/>
      <c r="Q26" s="8">
        <v>4217.13</v>
      </c>
      <c r="R26" s="7"/>
      <c r="S26" s="8">
        <v>5043.62</v>
      </c>
      <c r="T26" s="7"/>
      <c r="U26" s="8">
        <v>10504.99</v>
      </c>
      <c r="V26" s="7"/>
      <c r="W26" s="8">
        <v>20341.93</v>
      </c>
      <c r="X26" s="7"/>
      <c r="Y26" s="8">
        <v>48922.38</v>
      </c>
      <c r="Z26" s="7"/>
      <c r="AA26" s="8">
        <v>128153.39</v>
      </c>
      <c r="AB26" s="7"/>
      <c r="AC26" s="8">
        <v>33662.129999999997</v>
      </c>
      <c r="AD26" s="7"/>
      <c r="AE26" s="8">
        <f t="shared" si="1"/>
        <v>904992.66</v>
      </c>
      <c r="AF26" s="9"/>
      <c r="AG26" s="10"/>
      <c r="AH26" s="227">
        <f t="shared" si="2"/>
        <v>2092.7984058413713</v>
      </c>
      <c r="AI26" s="889"/>
      <c r="AJ26" s="889">
        <f t="shared" si="3"/>
        <v>2092.7984058413713</v>
      </c>
      <c r="AN26" s="878">
        <v>2112</v>
      </c>
      <c r="AO26" s="879">
        <v>12098</v>
      </c>
      <c r="AP26" s="221">
        <f t="shared" si="0"/>
        <v>1.1844480734361722E-2</v>
      </c>
      <c r="AQ26" s="880"/>
    </row>
    <row r="27" spans="1:43" ht="15.75" outlineLevel="1">
      <c r="A27" s="4">
        <v>70203</v>
      </c>
      <c r="B27" s="4" t="s">
        <v>83</v>
      </c>
      <c r="C27" s="5"/>
      <c r="D27" s="2"/>
      <c r="E27" s="6"/>
      <c r="F27" s="7"/>
      <c r="G27" s="8">
        <v>9590.9599999999991</v>
      </c>
      <c r="H27" s="7"/>
      <c r="I27" s="8">
        <v>7352.67</v>
      </c>
      <c r="J27" s="7"/>
      <c r="K27" s="8">
        <v>20835.07</v>
      </c>
      <c r="L27" s="7"/>
      <c r="M27" s="8">
        <v>-3938.47</v>
      </c>
      <c r="N27" s="7"/>
      <c r="O27" s="8">
        <v>14822.25</v>
      </c>
      <c r="P27" s="7"/>
      <c r="Q27" s="8">
        <v>11800.42</v>
      </c>
      <c r="R27" s="7"/>
      <c r="S27" s="8">
        <v>8294.11</v>
      </c>
      <c r="T27" s="7"/>
      <c r="U27" s="8">
        <v>8923.6299999999992</v>
      </c>
      <c r="V27" s="7"/>
      <c r="W27" s="8">
        <v>12497.64</v>
      </c>
      <c r="X27" s="7"/>
      <c r="Y27" s="8">
        <v>5665.49</v>
      </c>
      <c r="Z27" s="7"/>
      <c r="AA27" s="8">
        <v>11888.37</v>
      </c>
      <c r="AB27" s="7"/>
      <c r="AC27" s="8">
        <v>14146.69</v>
      </c>
      <c r="AD27" s="7"/>
      <c r="AE27" s="8">
        <f t="shared" si="1"/>
        <v>121878.83000000002</v>
      </c>
      <c r="AF27" s="9"/>
      <c r="AG27" s="10"/>
      <c r="AH27" s="227">
        <f t="shared" si="2"/>
        <v>281.84518218060634</v>
      </c>
      <c r="AI27" s="889"/>
      <c r="AJ27" s="889">
        <f t="shared" si="3"/>
        <v>281.84518218060634</v>
      </c>
      <c r="AN27" s="878">
        <v>2113</v>
      </c>
      <c r="AO27" s="879">
        <v>1</v>
      </c>
      <c r="AP27" s="221">
        <f t="shared" si="0"/>
        <v>9.7904453086144164E-7</v>
      </c>
      <c r="AQ27" s="880"/>
    </row>
    <row r="28" spans="1:43" ht="15.75" outlineLevel="1">
      <c r="A28" s="4">
        <v>70204</v>
      </c>
      <c r="B28" s="4" t="s">
        <v>1453</v>
      </c>
      <c r="C28" s="5"/>
      <c r="D28" s="2"/>
      <c r="E28" s="6"/>
      <c r="F28" s="7"/>
      <c r="G28" s="8">
        <v>0</v>
      </c>
      <c r="H28" s="7"/>
      <c r="I28" s="8">
        <v>0</v>
      </c>
      <c r="J28" s="7"/>
      <c r="K28" s="8">
        <v>0</v>
      </c>
      <c r="L28" s="7"/>
      <c r="M28" s="8">
        <v>0</v>
      </c>
      <c r="N28" s="7"/>
      <c r="O28" s="8">
        <v>0</v>
      </c>
      <c r="P28" s="7"/>
      <c r="Q28" s="8">
        <v>0</v>
      </c>
      <c r="R28" s="7"/>
      <c r="S28" s="8">
        <v>0</v>
      </c>
      <c r="T28" s="7"/>
      <c r="U28" s="8">
        <v>0</v>
      </c>
      <c r="V28" s="7"/>
      <c r="W28" s="8">
        <v>0</v>
      </c>
      <c r="X28" s="7"/>
      <c r="Y28" s="8">
        <v>0</v>
      </c>
      <c r="Z28" s="7"/>
      <c r="AA28" s="8">
        <v>100</v>
      </c>
      <c r="AB28" s="7"/>
      <c r="AC28" s="8">
        <v>-100</v>
      </c>
      <c r="AD28" s="7"/>
      <c r="AE28" s="8">
        <f t="shared" si="1"/>
        <v>0</v>
      </c>
      <c r="AF28" s="9"/>
      <c r="AG28" s="10"/>
      <c r="AH28" s="227">
        <f t="shared" si="2"/>
        <v>0</v>
      </c>
      <c r="AI28" s="889"/>
      <c r="AJ28" s="889">
        <f t="shared" si="3"/>
        <v>0</v>
      </c>
      <c r="AN28" s="878">
        <v>2120</v>
      </c>
      <c r="AO28" s="879">
        <v>6200</v>
      </c>
      <c r="AP28" s="221">
        <f t="shared" si="0"/>
        <v>6.0700760913409389E-3</v>
      </c>
      <c r="AQ28" s="880"/>
    </row>
    <row r="29" spans="1:43" ht="15.75" outlineLevel="1">
      <c r="A29" s="4">
        <v>70205</v>
      </c>
      <c r="B29" s="4" t="s">
        <v>84</v>
      </c>
      <c r="C29" s="5"/>
      <c r="D29" s="2"/>
      <c r="E29" s="6"/>
      <c r="F29" s="7"/>
      <c r="G29" s="8">
        <v>12628.69</v>
      </c>
      <c r="H29" s="7"/>
      <c r="I29" s="8">
        <v>7663.45</v>
      </c>
      <c r="J29" s="7"/>
      <c r="K29" s="8">
        <v>12829.27</v>
      </c>
      <c r="L29" s="7"/>
      <c r="M29" s="8">
        <v>6912.47</v>
      </c>
      <c r="N29" s="7"/>
      <c r="O29" s="8">
        <v>13716.11</v>
      </c>
      <c r="P29" s="7"/>
      <c r="Q29" s="8">
        <v>6711.23</v>
      </c>
      <c r="R29" s="7"/>
      <c r="S29" s="8">
        <v>9629.64</v>
      </c>
      <c r="T29" s="7"/>
      <c r="U29" s="8">
        <v>8228.25</v>
      </c>
      <c r="V29" s="7"/>
      <c r="W29" s="8">
        <v>9565.2099999999991</v>
      </c>
      <c r="X29" s="7"/>
      <c r="Y29" s="8">
        <v>10552.83</v>
      </c>
      <c r="Z29" s="7"/>
      <c r="AA29" s="8">
        <v>11571.13</v>
      </c>
      <c r="AB29" s="7"/>
      <c r="AC29" s="8">
        <v>9725.26</v>
      </c>
      <c r="AD29" s="7"/>
      <c r="AE29" s="8">
        <f t="shared" si="1"/>
        <v>119733.54000000001</v>
      </c>
      <c r="AF29" s="9"/>
      <c r="AG29" s="10"/>
      <c r="AH29" s="227">
        <f t="shared" si="2"/>
        <v>276.88419222951939</v>
      </c>
      <c r="AI29" s="889"/>
      <c r="AJ29" s="889">
        <f t="shared" si="3"/>
        <v>276.88419222951939</v>
      </c>
      <c r="AN29" s="878">
        <v>2125</v>
      </c>
      <c r="AO29" s="879">
        <v>1</v>
      </c>
      <c r="AP29" s="221">
        <f t="shared" si="0"/>
        <v>9.7904453086144164E-7</v>
      </c>
      <c r="AQ29" s="880"/>
    </row>
    <row r="30" spans="1:43" ht="15.75" outlineLevel="1">
      <c r="A30" s="4">
        <v>70206</v>
      </c>
      <c r="B30" s="4" t="s">
        <v>408</v>
      </c>
      <c r="C30" s="5"/>
      <c r="D30" s="2"/>
      <c r="E30" s="6"/>
      <c r="F30" s="7"/>
      <c r="G30" s="8">
        <v>1953.44</v>
      </c>
      <c r="H30" s="7"/>
      <c r="I30" s="8">
        <v>2987.97</v>
      </c>
      <c r="J30" s="7"/>
      <c r="K30" s="8">
        <v>1695.72</v>
      </c>
      <c r="L30" s="7"/>
      <c r="M30" s="8">
        <v>2780.39</v>
      </c>
      <c r="N30" s="7"/>
      <c r="O30" s="8">
        <v>3400.23</v>
      </c>
      <c r="P30" s="7"/>
      <c r="Q30" s="8">
        <v>3101.77</v>
      </c>
      <c r="R30" s="7"/>
      <c r="S30" s="8">
        <v>5671.05</v>
      </c>
      <c r="T30" s="7"/>
      <c r="U30" s="8">
        <v>3771.23</v>
      </c>
      <c r="V30" s="7"/>
      <c r="W30" s="8">
        <v>741.12</v>
      </c>
      <c r="X30" s="7"/>
      <c r="Y30" s="8">
        <v>974.52</v>
      </c>
      <c r="Z30" s="7"/>
      <c r="AA30" s="8">
        <v>3133.51</v>
      </c>
      <c r="AB30" s="7"/>
      <c r="AC30" s="8">
        <v>1583.95</v>
      </c>
      <c r="AD30" s="7"/>
      <c r="AE30" s="8">
        <f t="shared" si="1"/>
        <v>31794.9</v>
      </c>
      <c r="AF30" s="9"/>
      <c r="AG30" s="10"/>
      <c r="AH30" s="227">
        <f t="shared" si="2"/>
        <v>73.525807418024613</v>
      </c>
      <c r="AI30" s="889"/>
      <c r="AJ30" s="889">
        <f t="shared" si="3"/>
        <v>73.525807418024613</v>
      </c>
      <c r="AN30" s="878">
        <v>2131</v>
      </c>
      <c r="AO30" s="879">
        <v>18827</v>
      </c>
      <c r="AP30" s="221">
        <f t="shared" si="0"/>
        <v>1.8432471382528362E-2</v>
      </c>
      <c r="AQ30" s="880"/>
    </row>
    <row r="31" spans="1:43" ht="15.75" outlineLevel="1">
      <c r="A31" s="4">
        <v>70210</v>
      </c>
      <c r="B31" s="4" t="s">
        <v>85</v>
      </c>
      <c r="C31" s="5"/>
      <c r="D31" s="2"/>
      <c r="E31" s="6"/>
      <c r="F31" s="7"/>
      <c r="G31" s="8">
        <v>1917.39</v>
      </c>
      <c r="H31" s="7"/>
      <c r="I31" s="8">
        <v>2589.39</v>
      </c>
      <c r="J31" s="7"/>
      <c r="K31" s="8">
        <v>2737.98</v>
      </c>
      <c r="L31" s="7"/>
      <c r="M31" s="8">
        <v>3433.14</v>
      </c>
      <c r="N31" s="7"/>
      <c r="O31" s="8">
        <v>1784.2</v>
      </c>
      <c r="P31" s="7"/>
      <c r="Q31" s="8">
        <v>3178.26</v>
      </c>
      <c r="R31" s="7"/>
      <c r="S31" s="8">
        <v>4491.9399999999996</v>
      </c>
      <c r="T31" s="7"/>
      <c r="U31" s="8">
        <v>868.24</v>
      </c>
      <c r="V31" s="7"/>
      <c r="W31" s="8">
        <v>3846.02</v>
      </c>
      <c r="X31" s="7"/>
      <c r="Y31" s="8">
        <v>3025.48</v>
      </c>
      <c r="Z31" s="7"/>
      <c r="AA31" s="8">
        <v>2265.63</v>
      </c>
      <c r="AB31" s="7"/>
      <c r="AC31" s="8">
        <v>3341.47</v>
      </c>
      <c r="AD31" s="7"/>
      <c r="AE31" s="8">
        <f t="shared" si="1"/>
        <v>33479.14</v>
      </c>
      <c r="AF31" s="9"/>
      <c r="AG31" s="10"/>
      <c r="AH31" s="227">
        <f t="shared" si="2"/>
        <v>77.420617777098983</v>
      </c>
      <c r="AI31" s="889"/>
      <c r="AJ31" s="889">
        <f t="shared" si="3"/>
        <v>77.420617777098983</v>
      </c>
      <c r="AN31" s="878">
        <v>2132</v>
      </c>
      <c r="AO31" s="879">
        <v>2100</v>
      </c>
      <c r="AP31" s="221">
        <f t="shared" si="0"/>
        <v>2.0559935148090278E-3</v>
      </c>
      <c r="AQ31" s="880"/>
    </row>
    <row r="32" spans="1:43" ht="15.75" outlineLevel="1">
      <c r="A32" s="4">
        <v>70215</v>
      </c>
      <c r="B32" s="4" t="s">
        <v>87</v>
      </c>
      <c r="C32" s="5"/>
      <c r="D32" s="2"/>
      <c r="E32" s="6"/>
      <c r="F32" s="7"/>
      <c r="G32" s="8">
        <v>0</v>
      </c>
      <c r="H32" s="7"/>
      <c r="I32" s="8">
        <v>0</v>
      </c>
      <c r="J32" s="7"/>
      <c r="K32" s="8">
        <v>0</v>
      </c>
      <c r="L32" s="7"/>
      <c r="M32" s="8">
        <v>0</v>
      </c>
      <c r="N32" s="7"/>
      <c r="O32" s="8">
        <v>52.62</v>
      </c>
      <c r="P32" s="7"/>
      <c r="Q32" s="8">
        <v>0</v>
      </c>
      <c r="R32" s="7"/>
      <c r="S32" s="8">
        <v>0</v>
      </c>
      <c r="T32" s="7"/>
      <c r="U32" s="8">
        <v>0</v>
      </c>
      <c r="V32" s="7"/>
      <c r="W32" s="8">
        <v>0</v>
      </c>
      <c r="X32" s="7"/>
      <c r="Y32" s="8">
        <v>10</v>
      </c>
      <c r="Z32" s="7"/>
      <c r="AA32" s="8">
        <v>162.68</v>
      </c>
      <c r="AB32" s="7"/>
      <c r="AC32" s="8">
        <v>12.48</v>
      </c>
      <c r="AD32" s="7"/>
      <c r="AE32" s="8">
        <f t="shared" si="1"/>
        <v>237.78</v>
      </c>
      <c r="AF32" s="9"/>
      <c r="AG32" s="10"/>
      <c r="AH32" s="227">
        <f t="shared" si="2"/>
        <v>0.5498670065909278</v>
      </c>
      <c r="AI32" s="889"/>
      <c r="AJ32" s="889">
        <f t="shared" si="3"/>
        <v>0.5498670065909278</v>
      </c>
      <c r="AN32" s="878">
        <v>2140</v>
      </c>
      <c r="AO32" s="879">
        <v>26142</v>
      </c>
      <c r="AP32" s="221">
        <f t="shared" si="0"/>
        <v>2.559418212577981E-2</v>
      </c>
      <c r="AQ32" s="880"/>
    </row>
    <row r="33" spans="1:43" ht="15.75" outlineLevel="1">
      <c r="A33" s="4">
        <v>70225</v>
      </c>
      <c r="B33" s="4" t="s">
        <v>164</v>
      </c>
      <c r="C33" s="5"/>
      <c r="D33" s="2"/>
      <c r="E33" s="6"/>
      <c r="F33" s="7"/>
      <c r="G33" s="8">
        <v>-278</v>
      </c>
      <c r="H33" s="7"/>
      <c r="I33" s="8">
        <v>3668.29</v>
      </c>
      <c r="J33" s="7"/>
      <c r="K33" s="8">
        <v>1331.71</v>
      </c>
      <c r="L33" s="7"/>
      <c r="M33" s="8">
        <v>25</v>
      </c>
      <c r="N33" s="7"/>
      <c r="O33" s="8">
        <v>-25</v>
      </c>
      <c r="P33" s="7"/>
      <c r="Q33" s="8">
        <v>0</v>
      </c>
      <c r="R33" s="7"/>
      <c r="S33" s="8">
        <v>80</v>
      </c>
      <c r="T33" s="7"/>
      <c r="U33" s="8">
        <v>180000</v>
      </c>
      <c r="V33" s="7"/>
      <c r="W33" s="8">
        <v>15</v>
      </c>
      <c r="X33" s="7"/>
      <c r="Y33" s="8">
        <v>-15</v>
      </c>
      <c r="Z33" s="7"/>
      <c r="AA33" s="8">
        <v>0</v>
      </c>
      <c r="AB33" s="7"/>
      <c r="AC33" s="8">
        <v>0</v>
      </c>
      <c r="AD33" s="7"/>
      <c r="AE33" s="8">
        <f t="shared" si="1"/>
        <v>184802</v>
      </c>
      <c r="AF33" s="9"/>
      <c r="AG33" s="10"/>
      <c r="AH33" s="227">
        <f t="shared" si="2"/>
        <v>427.35521302050904</v>
      </c>
      <c r="AI33" s="889">
        <f>-AH33</f>
        <v>-427.35521302050904</v>
      </c>
      <c r="AJ33" s="889">
        <f t="shared" si="3"/>
        <v>0</v>
      </c>
      <c r="AN33" s="878">
        <v>2144</v>
      </c>
      <c r="AO33" s="879">
        <v>13535</v>
      </c>
      <c r="AP33" s="221">
        <f t="shared" si="0"/>
        <v>1.3251367725209613E-2</v>
      </c>
      <c r="AQ33" s="880"/>
    </row>
    <row r="34" spans="1:43" ht="15.75" outlineLevel="1">
      <c r="A34" s="4">
        <v>70230</v>
      </c>
      <c r="B34" s="4" t="s">
        <v>88</v>
      </c>
      <c r="C34" s="5"/>
      <c r="D34" s="2"/>
      <c r="E34" s="6"/>
      <c r="F34" s="7"/>
      <c r="G34" s="8">
        <v>0</v>
      </c>
      <c r="H34" s="7"/>
      <c r="I34" s="8">
        <v>0</v>
      </c>
      <c r="J34" s="7"/>
      <c r="K34" s="8">
        <v>0</v>
      </c>
      <c r="L34" s="7"/>
      <c r="M34" s="8">
        <v>0</v>
      </c>
      <c r="N34" s="7"/>
      <c r="O34" s="8">
        <v>0</v>
      </c>
      <c r="P34" s="7"/>
      <c r="Q34" s="8">
        <v>0</v>
      </c>
      <c r="R34" s="7"/>
      <c r="S34" s="8">
        <v>0</v>
      </c>
      <c r="T34" s="7"/>
      <c r="U34" s="8">
        <v>0</v>
      </c>
      <c r="V34" s="7"/>
      <c r="W34" s="8">
        <v>0</v>
      </c>
      <c r="X34" s="7"/>
      <c r="Y34" s="8">
        <v>0</v>
      </c>
      <c r="Z34" s="7"/>
      <c r="AA34" s="8">
        <v>0</v>
      </c>
      <c r="AB34" s="7"/>
      <c r="AC34" s="8">
        <v>13625</v>
      </c>
      <c r="AD34" s="7"/>
      <c r="AE34" s="8">
        <f t="shared" si="1"/>
        <v>13625</v>
      </c>
      <c r="AF34" s="9"/>
      <c r="AG34" s="10"/>
      <c r="AH34" s="227">
        <f t="shared" si="2"/>
        <v>31.507855853315633</v>
      </c>
      <c r="AI34" s="889"/>
      <c r="AJ34" s="889">
        <f t="shared" si="3"/>
        <v>31.507855853315633</v>
      </c>
      <c r="AN34" s="878">
        <v>2146</v>
      </c>
      <c r="AO34" s="879">
        <v>7463</v>
      </c>
      <c r="AP34" s="221">
        <f t="shared" si="0"/>
        <v>7.306609333818939E-3</v>
      </c>
      <c r="AQ34" s="880"/>
    </row>
    <row r="35" spans="1:43" ht="15.75" outlineLevel="1">
      <c r="A35" s="4">
        <v>70231</v>
      </c>
      <c r="B35" s="4" t="s">
        <v>410</v>
      </c>
      <c r="C35" s="5"/>
      <c r="D35" s="2"/>
      <c r="E35" s="6"/>
      <c r="F35" s="7"/>
      <c r="G35" s="8">
        <v>1064</v>
      </c>
      <c r="H35" s="7"/>
      <c r="I35" s="8">
        <v>1424.34</v>
      </c>
      <c r="J35" s="7"/>
      <c r="K35" s="8">
        <v>8.3699999999999992</v>
      </c>
      <c r="L35" s="7"/>
      <c r="M35" s="8">
        <v>831.87</v>
      </c>
      <c r="N35" s="7"/>
      <c r="O35" s="8">
        <v>528.73</v>
      </c>
      <c r="P35" s="7"/>
      <c r="Q35" s="8">
        <v>125.99</v>
      </c>
      <c r="R35" s="7"/>
      <c r="S35" s="8">
        <v>33.33</v>
      </c>
      <c r="T35" s="7"/>
      <c r="U35" s="8">
        <v>0</v>
      </c>
      <c r="V35" s="7"/>
      <c r="W35" s="8">
        <v>0</v>
      </c>
      <c r="X35" s="7"/>
      <c r="Y35" s="8">
        <v>200</v>
      </c>
      <c r="Z35" s="7"/>
      <c r="AA35" s="8">
        <v>70</v>
      </c>
      <c r="AB35" s="7"/>
      <c r="AC35" s="8">
        <v>172.88</v>
      </c>
      <c r="AD35" s="7"/>
      <c r="AE35" s="8">
        <f t="shared" si="1"/>
        <v>4459.5099999999993</v>
      </c>
      <c r="AF35" s="9"/>
      <c r="AG35" s="10"/>
      <c r="AH35" s="227">
        <f t="shared" si="2"/>
        <v>10.312631064691345</v>
      </c>
      <c r="AI35" s="890"/>
      <c r="AJ35" s="889">
        <f t="shared" si="3"/>
        <v>10.312631064691345</v>
      </c>
      <c r="AN35" s="878">
        <v>2148</v>
      </c>
      <c r="AO35" s="879">
        <v>5798</v>
      </c>
      <c r="AP35" s="221">
        <f t="shared" si="0"/>
        <v>5.6765001899346393E-3</v>
      </c>
      <c r="AQ35" s="880"/>
    </row>
    <row r="36" spans="1:43" s="6" customFormat="1" ht="15.75">
      <c r="A36" s="4">
        <v>70245</v>
      </c>
      <c r="B36" s="4" t="s">
        <v>90</v>
      </c>
      <c r="C36" s="5"/>
      <c r="D36" s="2"/>
      <c r="F36" s="7"/>
      <c r="G36" s="8">
        <v>119.23</v>
      </c>
      <c r="H36" s="7"/>
      <c r="I36" s="8">
        <v>119.48</v>
      </c>
      <c r="J36" s="7"/>
      <c r="K36" s="8">
        <v>146.26</v>
      </c>
      <c r="L36" s="7"/>
      <c r="M36" s="8">
        <v>146.26</v>
      </c>
      <c r="N36" s="7"/>
      <c r="O36" s="8">
        <v>153.55000000000001</v>
      </c>
      <c r="P36" s="7"/>
      <c r="Q36" s="8">
        <v>125.61</v>
      </c>
      <c r="R36" s="7"/>
      <c r="S36" s="8">
        <v>126.8</v>
      </c>
      <c r="T36" s="7"/>
      <c r="U36" s="8">
        <v>126.8</v>
      </c>
      <c r="V36" s="7"/>
      <c r="W36" s="8">
        <v>123.04</v>
      </c>
      <c r="X36" s="7"/>
      <c r="Y36" s="8">
        <v>119.71</v>
      </c>
      <c r="Z36" s="7"/>
      <c r="AA36" s="8">
        <v>115.98</v>
      </c>
      <c r="AB36" s="7"/>
      <c r="AC36" s="8">
        <v>117.78</v>
      </c>
      <c r="AD36" s="7"/>
      <c r="AE36" s="8">
        <f t="shared" si="1"/>
        <v>1540.5</v>
      </c>
      <c r="AF36" s="9"/>
      <c r="AG36" s="13"/>
      <c r="AH36" s="227">
        <f t="shared" si="2"/>
        <v>3.5624111517088246</v>
      </c>
      <c r="AI36" s="891"/>
      <c r="AJ36" s="889">
        <f t="shared" si="3"/>
        <v>3.5624111517088246</v>
      </c>
      <c r="AN36" s="878">
        <v>2149</v>
      </c>
      <c r="AO36" s="879">
        <v>11953</v>
      </c>
      <c r="AP36" s="221">
        <f t="shared" si="0"/>
        <v>1.1702519277386813E-2</v>
      </c>
      <c r="AQ36" s="880"/>
    </row>
    <row r="37" spans="1:43" s="6" customFormat="1" ht="15.75" outlineLevel="1">
      <c r="A37" s="4">
        <v>70255</v>
      </c>
      <c r="B37" s="4" t="s">
        <v>91</v>
      </c>
      <c r="C37" s="5"/>
      <c r="D37" s="2"/>
      <c r="F37" s="7"/>
      <c r="G37" s="8">
        <v>1209.58</v>
      </c>
      <c r="H37" s="7"/>
      <c r="I37" s="8">
        <v>2588.19</v>
      </c>
      <c r="J37" s="7"/>
      <c r="K37" s="8">
        <v>268.48</v>
      </c>
      <c r="L37" s="7"/>
      <c r="M37" s="8">
        <v>-98.08</v>
      </c>
      <c r="N37" s="7"/>
      <c r="O37" s="8">
        <v>-12.07</v>
      </c>
      <c r="P37" s="7"/>
      <c r="Q37" s="8">
        <v>24.26</v>
      </c>
      <c r="R37" s="7"/>
      <c r="S37" s="8">
        <v>137.5</v>
      </c>
      <c r="T37" s="7"/>
      <c r="U37" s="8">
        <v>-850</v>
      </c>
      <c r="V37" s="7"/>
      <c r="W37" s="8">
        <v>2069.5</v>
      </c>
      <c r="X37" s="7"/>
      <c r="Y37" s="8">
        <v>77.260000000000005</v>
      </c>
      <c r="Z37" s="7"/>
      <c r="AA37" s="8">
        <v>0</v>
      </c>
      <c r="AB37" s="7"/>
      <c r="AC37" s="8">
        <v>0</v>
      </c>
      <c r="AD37" s="7"/>
      <c r="AE37" s="8">
        <f t="shared" si="1"/>
        <v>5414.6200000000008</v>
      </c>
      <c r="AF37" s="30"/>
      <c r="AG37" s="13"/>
      <c r="AH37" s="227">
        <f t="shared" si="2"/>
        <v>12.52132597875082</v>
      </c>
      <c r="AI37" s="892"/>
      <c r="AJ37" s="889">
        <f t="shared" si="3"/>
        <v>12.52132597875082</v>
      </c>
      <c r="AN37" s="878">
        <v>2150</v>
      </c>
      <c r="AO37" s="879">
        <v>348</v>
      </c>
      <c r="AP37" s="221">
        <f t="shared" si="0"/>
        <v>3.4070749673978173E-4</v>
      </c>
      <c r="AQ37" s="880"/>
    </row>
    <row r="38" spans="1:43" s="59" customFormat="1" ht="15.75">
      <c r="A38" s="4">
        <v>70275</v>
      </c>
      <c r="B38" s="4" t="s">
        <v>415</v>
      </c>
      <c r="C38" s="5"/>
      <c r="D38" s="2"/>
      <c r="E38" s="6"/>
      <c r="F38" s="7"/>
      <c r="G38" s="8">
        <v>1686.39</v>
      </c>
      <c r="H38" s="7"/>
      <c r="I38" s="8">
        <v>0</v>
      </c>
      <c r="J38" s="7"/>
      <c r="K38" s="8">
        <v>0</v>
      </c>
      <c r="L38" s="7"/>
      <c r="M38" s="8">
        <v>0</v>
      </c>
      <c r="N38" s="7"/>
      <c r="O38" s="8">
        <v>0</v>
      </c>
      <c r="P38" s="7"/>
      <c r="Q38" s="8">
        <v>0</v>
      </c>
      <c r="R38" s="7"/>
      <c r="S38" s="8">
        <v>0</v>
      </c>
      <c r="T38" s="7"/>
      <c r="U38" s="8">
        <v>0</v>
      </c>
      <c r="V38" s="7"/>
      <c r="W38" s="8">
        <v>0</v>
      </c>
      <c r="X38" s="7"/>
      <c r="Y38" s="8">
        <v>0</v>
      </c>
      <c r="Z38" s="7"/>
      <c r="AA38" s="8">
        <v>0</v>
      </c>
      <c r="AB38" s="7"/>
      <c r="AC38" s="8">
        <v>0</v>
      </c>
      <c r="AD38" s="7"/>
      <c r="AE38" s="8">
        <f t="shared" si="1"/>
        <v>1686.39</v>
      </c>
      <c r="AF38" s="228"/>
      <c r="AG38" s="1"/>
      <c r="AH38" s="227">
        <f t="shared" si="2"/>
        <v>3.8997822409154463</v>
      </c>
      <c r="AI38" s="889"/>
      <c r="AJ38" s="889">
        <f t="shared" si="3"/>
        <v>3.8997822409154463</v>
      </c>
      <c r="AK38" s="885"/>
      <c r="AL38" s="886"/>
      <c r="AN38" s="878">
        <v>2160</v>
      </c>
      <c r="AO38" s="879">
        <v>3050</v>
      </c>
      <c r="AP38" s="221">
        <f t="shared" si="0"/>
        <v>2.9860858191273973E-3</v>
      </c>
      <c r="AQ38" s="880"/>
    </row>
    <row r="39" spans="1:43" s="59" customFormat="1" ht="15.75">
      <c r="A39" s="4">
        <v>70302</v>
      </c>
      <c r="B39" s="4" t="s">
        <v>92</v>
      </c>
      <c r="C39" s="5"/>
      <c r="D39" s="2"/>
      <c r="E39" s="6"/>
      <c r="F39" s="7"/>
      <c r="G39" s="8">
        <v>8.77</v>
      </c>
      <c r="H39" s="7"/>
      <c r="I39" s="8">
        <v>1498.85</v>
      </c>
      <c r="J39" s="7"/>
      <c r="K39" s="8">
        <v>153.16999999999999</v>
      </c>
      <c r="L39" s="7"/>
      <c r="M39" s="8">
        <v>-1249.26</v>
      </c>
      <c r="N39" s="7"/>
      <c r="O39" s="8">
        <v>27.11</v>
      </c>
      <c r="P39" s="7"/>
      <c r="Q39" s="8">
        <v>2871.59</v>
      </c>
      <c r="R39" s="7"/>
      <c r="S39" s="8">
        <v>1938.08</v>
      </c>
      <c r="T39" s="7"/>
      <c r="U39" s="8">
        <v>1992.6</v>
      </c>
      <c r="V39" s="7"/>
      <c r="W39" s="8">
        <v>-891.45</v>
      </c>
      <c r="X39" s="7"/>
      <c r="Y39" s="8">
        <v>-218.76</v>
      </c>
      <c r="Z39" s="7"/>
      <c r="AA39" s="8">
        <v>268.17</v>
      </c>
      <c r="AB39" s="7"/>
      <c r="AC39" s="8">
        <v>1573.69</v>
      </c>
      <c r="AD39" s="7"/>
      <c r="AE39" s="8">
        <f t="shared" si="1"/>
        <v>7972.5599999999995</v>
      </c>
      <c r="AG39" s="1"/>
      <c r="AH39" s="227">
        <f t="shared" si="2"/>
        <v>18.43657036784661</v>
      </c>
      <c r="AI39" s="893"/>
      <c r="AJ39" s="889">
        <f t="shared" si="3"/>
        <v>18.43657036784661</v>
      </c>
      <c r="AK39" s="886"/>
      <c r="AL39" s="886"/>
      <c r="AN39" s="878">
        <v>2171</v>
      </c>
      <c r="AO39" s="879">
        <v>64</v>
      </c>
      <c r="AP39" s="221">
        <f t="shared" si="0"/>
        <v>6.2658849975132265E-5</v>
      </c>
      <c r="AQ39" s="880"/>
    </row>
    <row r="40" spans="1:43" s="59" customFormat="1" ht="15.75">
      <c r="A40" s="4">
        <v>70320</v>
      </c>
      <c r="B40" s="4" t="s">
        <v>94</v>
      </c>
      <c r="C40" s="5"/>
      <c r="D40" s="2"/>
      <c r="E40" s="6"/>
      <c r="F40" s="7"/>
      <c r="G40" s="8">
        <v>67.75</v>
      </c>
      <c r="H40" s="7"/>
      <c r="I40" s="8">
        <v>87.7</v>
      </c>
      <c r="J40" s="7"/>
      <c r="K40" s="8">
        <v>51.77</v>
      </c>
      <c r="L40" s="7"/>
      <c r="M40" s="8">
        <v>282.14999999999998</v>
      </c>
      <c r="N40" s="7"/>
      <c r="O40" s="8">
        <v>417.6</v>
      </c>
      <c r="P40" s="7"/>
      <c r="Q40" s="8">
        <v>63.76</v>
      </c>
      <c r="R40" s="7"/>
      <c r="S40" s="8">
        <v>0</v>
      </c>
      <c r="T40" s="7"/>
      <c r="U40" s="8">
        <v>115.61</v>
      </c>
      <c r="V40" s="7"/>
      <c r="W40" s="8">
        <v>325.76</v>
      </c>
      <c r="X40" s="7"/>
      <c r="Y40" s="8">
        <v>78.95</v>
      </c>
      <c r="Z40" s="7"/>
      <c r="AA40" s="8">
        <v>1858.04</v>
      </c>
      <c r="AB40" s="7"/>
      <c r="AC40" s="8">
        <v>284.26</v>
      </c>
      <c r="AD40" s="7"/>
      <c r="AE40" s="8">
        <f t="shared" si="1"/>
        <v>3633.3500000000004</v>
      </c>
      <c r="AG40" s="1"/>
      <c r="AH40" s="227">
        <f t="shared" si="2"/>
        <v>8.402133435937202</v>
      </c>
      <c r="AI40" s="889"/>
      <c r="AJ40" s="889">
        <f t="shared" si="3"/>
        <v>8.402133435937202</v>
      </c>
      <c r="AN40" s="878">
        <v>2172</v>
      </c>
      <c r="AO40" s="879">
        <v>10</v>
      </c>
      <c r="AP40" s="221">
        <f t="shared" si="0"/>
        <v>9.7904453086144164E-6</v>
      </c>
      <c r="AQ40" s="880"/>
    </row>
    <row r="41" spans="1:43" s="59" customFormat="1" ht="15.75">
      <c r="A41" s="4">
        <v>70336</v>
      </c>
      <c r="B41" s="4" t="s">
        <v>197</v>
      </c>
      <c r="C41" s="5"/>
      <c r="D41" s="2"/>
      <c r="E41" s="6"/>
      <c r="F41" s="7"/>
      <c r="G41" s="8">
        <v>270.17</v>
      </c>
      <c r="H41" s="7"/>
      <c r="I41" s="8">
        <v>677.73</v>
      </c>
      <c r="J41" s="7"/>
      <c r="K41" s="8">
        <v>911.96</v>
      </c>
      <c r="L41" s="7"/>
      <c r="M41" s="8">
        <v>367.01</v>
      </c>
      <c r="N41" s="7"/>
      <c r="O41" s="8">
        <v>482.54</v>
      </c>
      <c r="P41" s="7"/>
      <c r="Q41" s="8">
        <v>288.01</v>
      </c>
      <c r="R41" s="7"/>
      <c r="S41" s="8">
        <v>803.26</v>
      </c>
      <c r="T41" s="7"/>
      <c r="U41" s="8">
        <v>674.7</v>
      </c>
      <c r="V41" s="7"/>
      <c r="W41" s="8">
        <v>137.07</v>
      </c>
      <c r="X41" s="7"/>
      <c r="Y41" s="8">
        <v>778.59</v>
      </c>
      <c r="Z41" s="7"/>
      <c r="AA41" s="8">
        <v>391.38</v>
      </c>
      <c r="AB41" s="7"/>
      <c r="AC41" s="8">
        <v>700.11</v>
      </c>
      <c r="AD41" s="7"/>
      <c r="AE41" s="8">
        <f t="shared" si="1"/>
        <v>6482.5300000000007</v>
      </c>
      <c r="AG41" s="1"/>
      <c r="AH41" s="227">
        <f t="shared" si="2"/>
        <v>14.990871251728016</v>
      </c>
      <c r="AI41" s="889"/>
      <c r="AJ41" s="889">
        <f t="shared" si="3"/>
        <v>14.990871251728016</v>
      </c>
      <c r="AN41" s="878">
        <v>2173</v>
      </c>
      <c r="AO41" s="879">
        <v>10</v>
      </c>
      <c r="AP41" s="221">
        <f t="shared" si="0"/>
        <v>9.7904453086144164E-6</v>
      </c>
      <c r="AQ41" s="880"/>
    </row>
    <row r="42" spans="1:43" s="59" customFormat="1" ht="15.75">
      <c r="A42" s="5"/>
      <c r="B42" s="5"/>
      <c r="C42" s="5"/>
      <c r="D42" s="5"/>
      <c r="E42" s="6"/>
      <c r="F42" s="6"/>
      <c r="G42" s="36"/>
      <c r="H42" s="34"/>
      <c r="I42" s="36"/>
      <c r="J42" s="34"/>
      <c r="K42" s="36"/>
      <c r="L42" s="34"/>
      <c r="M42" s="36"/>
      <c r="N42" s="34"/>
      <c r="O42" s="36"/>
      <c r="P42" s="34"/>
      <c r="Q42" s="36"/>
      <c r="R42" s="34"/>
      <c r="S42" s="36"/>
      <c r="T42" s="34"/>
      <c r="U42" s="36"/>
      <c r="V42" s="34"/>
      <c r="W42" s="36"/>
      <c r="X42" s="34"/>
      <c r="Y42" s="36"/>
      <c r="Z42" s="34"/>
      <c r="AA42" s="36"/>
      <c r="AB42" s="34"/>
      <c r="AC42" s="36"/>
      <c r="AD42" s="34"/>
      <c r="AE42" s="36"/>
      <c r="AG42" s="1"/>
      <c r="AI42" s="889"/>
      <c r="AJ42" s="889"/>
      <c r="AN42" s="878">
        <v>2180</v>
      </c>
      <c r="AO42" s="879">
        <v>72412</v>
      </c>
      <c r="AP42" s="221">
        <f t="shared" si="0"/>
        <v>7.0894572568738712E-2</v>
      </c>
      <c r="AQ42" s="880"/>
    </row>
    <row r="43" spans="1:43" s="59" customFormat="1" ht="16.5" thickBot="1">
      <c r="A43" s="6"/>
      <c r="B43" s="6"/>
      <c r="C43" s="5" t="s">
        <v>95</v>
      </c>
      <c r="D43" s="6"/>
      <c r="E43" s="6"/>
      <c r="F43" s="6"/>
      <c r="G43" s="33">
        <f>SUM(G7:G42)</f>
        <v>181266.87000000002</v>
      </c>
      <c r="H43" s="34"/>
      <c r="I43" s="33">
        <f>SUM(I7:I42)</f>
        <v>159340.45000000007</v>
      </c>
      <c r="J43" s="34"/>
      <c r="K43" s="33">
        <f>SUM(K7:K42)</f>
        <v>399475.64</v>
      </c>
      <c r="L43" s="34"/>
      <c r="M43" s="33">
        <f>SUM(M7:M42)</f>
        <v>516615.66000000003</v>
      </c>
      <c r="N43" s="34"/>
      <c r="O43" s="33">
        <f>SUM(O7:O42)</f>
        <v>227810.10000000003</v>
      </c>
      <c r="P43" s="34"/>
      <c r="Q43" s="33">
        <f>SUM(Q7:Q42)</f>
        <v>100138.51999999999</v>
      </c>
      <c r="R43" s="34"/>
      <c r="S43" s="33">
        <f>SUM(S7:S42)</f>
        <v>109716.95</v>
      </c>
      <c r="T43" s="34"/>
      <c r="U43" s="33">
        <f>SUM(U7:U42)</f>
        <v>101159.28000000001</v>
      </c>
      <c r="V43" s="34"/>
      <c r="W43" s="33">
        <f>SUM(W7:W42)</f>
        <v>146651.94</v>
      </c>
      <c r="X43" s="34"/>
      <c r="Y43" s="33">
        <f>SUM(Y7:Y42)</f>
        <v>131121.86000000002</v>
      </c>
      <c r="Z43" s="34"/>
      <c r="AA43" s="33">
        <f>SUM(AA7:AA42)</f>
        <v>228884.75000000003</v>
      </c>
      <c r="AB43" s="34"/>
      <c r="AC43" s="33">
        <f>SUM(AC7:AC42)</f>
        <v>166305.85000000003</v>
      </c>
      <c r="AD43" s="34"/>
      <c r="AE43" s="33">
        <f>SUM(AE7:AE42)</f>
        <v>2468487.87</v>
      </c>
      <c r="AG43" s="1"/>
      <c r="AH43" s="894">
        <f>SUM(AH8:AH42)</f>
        <v>5708.3860538435347</v>
      </c>
      <c r="AI43" s="894">
        <f>SUM(AI8:AI42)</f>
        <v>-1139.4142321549555</v>
      </c>
      <c r="AJ43" s="894">
        <f>SUM(AJ8:AJ42)</f>
        <v>4568.9718216885785</v>
      </c>
      <c r="AN43" s="878">
        <v>2182</v>
      </c>
      <c r="AO43" s="879">
        <v>302</v>
      </c>
      <c r="AP43" s="221">
        <f t="shared" si="0"/>
        <v>2.9567144832015537E-4</v>
      </c>
      <c r="AQ43" s="880"/>
    </row>
    <row r="44" spans="1:43" s="59" customFormat="1" ht="15.75">
      <c r="A44" s="6"/>
      <c r="B44" s="6"/>
      <c r="C44" s="4"/>
      <c r="D44" s="6"/>
      <c r="E44" s="1"/>
      <c r="F44" s="1"/>
      <c r="H44" s="1"/>
      <c r="J44" s="50"/>
      <c r="L44" s="50"/>
      <c r="N44" s="1"/>
      <c r="P44" s="50"/>
      <c r="R44" s="50"/>
      <c r="T44" s="1"/>
      <c r="V44" s="50"/>
      <c r="X44" s="50"/>
      <c r="Z44" s="1"/>
      <c r="AB44" s="50"/>
      <c r="AD44" s="13"/>
      <c r="AG44" s="1"/>
      <c r="AN44" s="878">
        <v>2183</v>
      </c>
      <c r="AO44" s="879">
        <v>57091</v>
      </c>
      <c r="AP44" s="221">
        <f t="shared" si="0"/>
        <v>5.5894631311410571E-2</v>
      </c>
      <c r="AQ44" s="880"/>
    </row>
    <row r="45" spans="1:43" s="59" customFormat="1" ht="15.75">
      <c r="A45" s="6"/>
      <c r="B45" s="6"/>
      <c r="C45" s="6"/>
      <c r="D45" s="6"/>
      <c r="E45" s="1"/>
      <c r="F45" s="1"/>
      <c r="H45" s="1"/>
      <c r="J45" s="50"/>
      <c r="L45" s="50"/>
      <c r="N45" s="1"/>
      <c r="P45" s="50"/>
      <c r="R45" s="50"/>
      <c r="T45" s="1"/>
      <c r="V45" s="50"/>
      <c r="X45" s="50"/>
      <c r="Z45" s="1"/>
      <c r="AB45" s="50"/>
      <c r="AD45" s="13"/>
      <c r="AF45" s="887" t="s">
        <v>430</v>
      </c>
      <c r="AG45" s="1"/>
      <c r="AH45" s="895">
        <f>'Consolidated IS'!C130</f>
        <v>5371.16</v>
      </c>
      <c r="AN45" s="878">
        <v>2184</v>
      </c>
      <c r="AO45" s="879">
        <v>1</v>
      </c>
      <c r="AP45" s="221">
        <f t="shared" si="0"/>
        <v>9.7904453086144164E-7</v>
      </c>
      <c r="AQ45" s="880"/>
    </row>
    <row r="46" spans="1:43" s="59" customFormat="1" ht="15.75">
      <c r="A46" s="6"/>
      <c r="B46" s="38"/>
      <c r="C46" s="6"/>
      <c r="D46" s="6"/>
      <c r="E46" s="1"/>
      <c r="F46" s="1"/>
      <c r="H46" s="1"/>
      <c r="J46" s="13"/>
      <c r="L46" s="13"/>
      <c r="N46" s="1"/>
      <c r="P46" s="13"/>
      <c r="R46" s="13"/>
      <c r="T46" s="1"/>
      <c r="V46" s="13"/>
      <c r="X46" s="13"/>
      <c r="Z46" s="1"/>
      <c r="AB46" s="13"/>
      <c r="AD46" s="13"/>
      <c r="AG46" s="1"/>
      <c r="AH46" s="889">
        <f>AH43-AH45</f>
        <v>337.22605384353483</v>
      </c>
      <c r="AI46" s="59" t="s">
        <v>1454</v>
      </c>
      <c r="AN46" s="878">
        <v>2185</v>
      </c>
      <c r="AO46" s="879">
        <v>2788</v>
      </c>
      <c r="AP46" s="221">
        <f t="shared" si="0"/>
        <v>2.7295761520416996E-3</v>
      </c>
      <c r="AQ46" s="880"/>
    </row>
    <row r="47" spans="1:43" s="59" customFormat="1" ht="15.75">
      <c r="A47" s="1"/>
      <c r="B47" s="1"/>
      <c r="C47" s="1"/>
      <c r="D47" s="1"/>
      <c r="E47" s="1"/>
      <c r="F47" s="1"/>
      <c r="H47" s="1"/>
      <c r="J47" s="13"/>
      <c r="L47" s="13"/>
      <c r="N47" s="1"/>
      <c r="P47" s="13"/>
      <c r="R47" s="13"/>
      <c r="T47" s="1"/>
      <c r="V47" s="13"/>
      <c r="X47" s="13"/>
      <c r="Z47" s="1"/>
      <c r="AB47" s="13"/>
      <c r="AD47" s="13"/>
      <c r="AG47" s="1"/>
      <c r="AN47" s="878">
        <v>2186</v>
      </c>
      <c r="AO47" s="879">
        <v>20198</v>
      </c>
      <c r="AP47" s="221">
        <f t="shared" si="0"/>
        <v>1.97747414343394E-2</v>
      </c>
      <c r="AQ47" s="880"/>
    </row>
    <row r="48" spans="1:43" s="59" customFormat="1" ht="15.75">
      <c r="A48" s="11"/>
      <c r="B48" s="11"/>
      <c r="C48" s="11"/>
      <c r="D48" s="11"/>
      <c r="E48" s="1"/>
      <c r="F48" s="1"/>
      <c r="H48" s="1"/>
      <c r="J48" s="13"/>
      <c r="L48" s="13"/>
      <c r="N48" s="1"/>
      <c r="P48" s="13"/>
      <c r="R48" s="13"/>
      <c r="T48" s="1"/>
      <c r="V48" s="13"/>
      <c r="X48" s="13"/>
      <c r="Z48" s="1"/>
      <c r="AB48" s="13"/>
      <c r="AD48" s="13"/>
      <c r="AE48" s="888"/>
      <c r="AG48" s="1"/>
      <c r="AN48" s="878">
        <v>2187</v>
      </c>
      <c r="AO48" s="879">
        <v>1</v>
      </c>
      <c r="AP48" s="221">
        <f t="shared" si="0"/>
        <v>9.7904453086144164E-7</v>
      </c>
      <c r="AQ48" s="880"/>
    </row>
    <row r="49" spans="1:43" s="59" customFormat="1" ht="15.75">
      <c r="A49" s="5"/>
      <c r="B49" s="5"/>
      <c r="C49" s="5"/>
      <c r="D49" s="5"/>
      <c r="E49" s="1"/>
      <c r="F49" s="1"/>
      <c r="H49" s="1"/>
      <c r="J49" s="13"/>
      <c r="L49" s="13"/>
      <c r="N49" s="1"/>
      <c r="P49" s="13"/>
      <c r="R49" s="13"/>
      <c r="T49" s="1"/>
      <c r="V49" s="13"/>
      <c r="X49" s="13"/>
      <c r="Z49" s="1"/>
      <c r="AB49" s="13"/>
      <c r="AD49" s="13"/>
      <c r="AG49" s="1"/>
      <c r="AN49" s="878">
        <v>2188</v>
      </c>
      <c r="AO49" s="879">
        <v>24213</v>
      </c>
      <c r="AP49" s="221">
        <f t="shared" si="0"/>
        <v>2.3705605225748088E-2</v>
      </c>
      <c r="AQ49" s="880"/>
    </row>
    <row r="50" spans="1:43" s="59" customFormat="1" ht="15.75">
      <c r="A50" s="6"/>
      <c r="B50" s="6"/>
      <c r="C50" s="4"/>
      <c r="D50" s="6"/>
      <c r="E50" s="1"/>
      <c r="F50" s="1"/>
      <c r="H50" s="1"/>
      <c r="J50" s="13"/>
      <c r="L50" s="13"/>
      <c r="N50" s="1"/>
      <c r="P50" s="13"/>
      <c r="R50" s="13"/>
      <c r="T50" s="1"/>
      <c r="V50" s="13"/>
      <c r="X50" s="13"/>
      <c r="Z50" s="1"/>
      <c r="AB50" s="13"/>
      <c r="AD50" s="13"/>
      <c r="AG50" s="1"/>
      <c r="AN50" s="878">
        <v>2189</v>
      </c>
      <c r="AO50" s="879">
        <v>1</v>
      </c>
      <c r="AP50" s="221">
        <f t="shared" si="0"/>
        <v>9.7904453086144164E-7</v>
      </c>
      <c r="AQ50" s="880"/>
    </row>
    <row r="51" spans="1:43" s="59" customFormat="1" ht="15.75">
      <c r="A51" s="6"/>
      <c r="B51" s="6"/>
      <c r="C51" s="6"/>
      <c r="D51" s="6"/>
      <c r="E51" s="1"/>
      <c r="F51" s="1"/>
      <c r="H51" s="1"/>
      <c r="J51" s="13"/>
      <c r="L51" s="13"/>
      <c r="N51" s="1"/>
      <c r="P51" s="13"/>
      <c r="R51" s="13"/>
      <c r="T51" s="1"/>
      <c r="V51" s="13"/>
      <c r="X51" s="13"/>
      <c r="Z51" s="1"/>
      <c r="AB51" s="13"/>
      <c r="AD51" s="13"/>
      <c r="AG51" s="1"/>
      <c r="AN51" s="878">
        <v>2190</v>
      </c>
      <c r="AO51" s="879">
        <v>458</v>
      </c>
      <c r="AP51" s="221">
        <f t="shared" si="0"/>
        <v>4.484023951345403E-4</v>
      </c>
      <c r="AQ51" s="880"/>
    </row>
    <row r="52" spans="1:43" s="59" customFormat="1" ht="15.75">
      <c r="A52" s="6"/>
      <c r="B52" s="38"/>
      <c r="C52" s="6"/>
      <c r="D52" s="6"/>
      <c r="E52" s="1"/>
      <c r="F52" s="1"/>
      <c r="H52" s="1"/>
      <c r="J52" s="13"/>
      <c r="L52" s="13"/>
      <c r="N52" s="1"/>
      <c r="P52" s="13"/>
      <c r="R52" s="13"/>
      <c r="T52" s="1"/>
      <c r="V52" s="13"/>
      <c r="X52" s="13"/>
      <c r="Z52" s="1"/>
      <c r="AB52" s="13"/>
      <c r="AD52" s="13"/>
      <c r="AG52" s="1"/>
      <c r="AN52" s="878">
        <v>2191</v>
      </c>
      <c r="AO52" s="879">
        <v>7</v>
      </c>
      <c r="AP52" s="221">
        <f t="shared" si="0"/>
        <v>6.8533117160300915E-6</v>
      </c>
      <c r="AQ52" s="880"/>
    </row>
    <row r="53" spans="1:43" s="59" customFormat="1" ht="15.75">
      <c r="A53" s="6"/>
      <c r="B53" s="6"/>
      <c r="C53" s="6"/>
      <c r="D53" s="6"/>
      <c r="E53" s="1"/>
      <c r="F53" s="1"/>
      <c r="H53" s="1"/>
      <c r="J53" s="13"/>
      <c r="L53" s="13"/>
      <c r="N53" s="1"/>
      <c r="P53" s="13"/>
      <c r="R53" s="13"/>
      <c r="T53" s="1"/>
      <c r="V53" s="13"/>
      <c r="X53" s="13"/>
      <c r="Z53" s="1"/>
      <c r="AB53" s="13"/>
      <c r="AD53" s="13"/>
      <c r="AG53" s="1"/>
      <c r="AN53" s="878">
        <v>2195</v>
      </c>
      <c r="AO53" s="879">
        <v>30389</v>
      </c>
      <c r="AP53" s="221">
        <f t="shared" si="0"/>
        <v>2.9752184248348353E-2</v>
      </c>
      <c r="AQ53" s="880"/>
    </row>
    <row r="54" spans="1:43" s="59" customFormat="1" ht="15.75">
      <c r="A54" s="11"/>
      <c r="B54" s="11"/>
      <c r="C54" s="11"/>
      <c r="D54" s="11"/>
      <c r="E54" s="1"/>
      <c r="F54" s="1"/>
      <c r="H54" s="1"/>
      <c r="J54" s="13"/>
      <c r="L54" s="13"/>
      <c r="N54" s="1"/>
      <c r="P54" s="13"/>
      <c r="R54" s="13"/>
      <c r="T54" s="1"/>
      <c r="V54" s="13"/>
      <c r="X54" s="13"/>
      <c r="Z54" s="1"/>
      <c r="AB54" s="13"/>
      <c r="AD54" s="13"/>
      <c r="AG54" s="1"/>
      <c r="AN54" s="878">
        <v>2210</v>
      </c>
      <c r="AO54" s="879">
        <v>13794</v>
      </c>
      <c r="AP54" s="221">
        <f t="shared" si="0"/>
        <v>1.3504940258702728E-2</v>
      </c>
      <c r="AQ54" s="880"/>
    </row>
    <row r="55" spans="1:43" s="59" customFormat="1" ht="15.75">
      <c r="A55" s="5"/>
      <c r="B55" s="5"/>
      <c r="C55" s="5"/>
      <c r="D55" s="5"/>
      <c r="E55" s="1"/>
      <c r="F55" s="1"/>
      <c r="H55" s="1"/>
      <c r="J55" s="13"/>
      <c r="L55" s="13"/>
      <c r="N55" s="1"/>
      <c r="P55" s="13"/>
      <c r="R55" s="13"/>
      <c r="T55" s="1"/>
      <c r="V55" s="13"/>
      <c r="X55" s="13"/>
      <c r="Z55" s="1"/>
      <c r="AB55" s="13"/>
      <c r="AD55" s="13"/>
      <c r="AG55" s="1"/>
      <c r="AN55" s="878">
        <v>2211</v>
      </c>
      <c r="AO55" s="879">
        <v>25064</v>
      </c>
      <c r="AP55" s="221">
        <f t="shared" si="0"/>
        <v>2.4538772121511176E-2</v>
      </c>
      <c r="AQ55" s="880"/>
    </row>
    <row r="56" spans="1:43" s="59" customFormat="1" ht="15.75">
      <c r="A56" s="6"/>
      <c r="B56" s="6"/>
      <c r="C56" s="4"/>
      <c r="D56" s="6"/>
      <c r="E56" s="1"/>
      <c r="F56" s="1"/>
      <c r="H56" s="1"/>
      <c r="J56" s="13"/>
      <c r="L56" s="13"/>
      <c r="N56" s="1"/>
      <c r="P56" s="13"/>
      <c r="R56" s="13"/>
      <c r="T56" s="1"/>
      <c r="V56" s="13"/>
      <c r="X56" s="13"/>
      <c r="Z56" s="1"/>
      <c r="AB56" s="13"/>
      <c r="AD56" s="13"/>
      <c r="AG56" s="1"/>
      <c r="AN56" s="878">
        <v>2212</v>
      </c>
      <c r="AO56" s="879">
        <v>4623</v>
      </c>
      <c r="AP56" s="221">
        <f t="shared" si="0"/>
        <v>4.526122866172445E-3</v>
      </c>
      <c r="AQ56" s="880"/>
    </row>
    <row r="57" spans="1:43" s="59" customFormat="1" ht="15.75">
      <c r="A57" s="6"/>
      <c r="B57" s="6"/>
      <c r="C57" s="6"/>
      <c r="D57" s="6"/>
      <c r="E57" s="1"/>
      <c r="F57" s="1"/>
      <c r="H57" s="1"/>
      <c r="J57" s="13"/>
      <c r="L57" s="13"/>
      <c r="N57" s="1"/>
      <c r="P57" s="13"/>
      <c r="R57" s="13"/>
      <c r="T57" s="1"/>
      <c r="V57" s="13"/>
      <c r="X57" s="13"/>
      <c r="Z57" s="1"/>
      <c r="AB57" s="13"/>
      <c r="AD57" s="13"/>
      <c r="AG57" s="1"/>
      <c r="AN57" s="878">
        <v>2213</v>
      </c>
      <c r="AO57" s="879">
        <v>2521</v>
      </c>
      <c r="AP57" s="221">
        <f t="shared" si="0"/>
        <v>2.4681712623016946E-3</v>
      </c>
      <c r="AQ57" s="880"/>
    </row>
    <row r="58" spans="1:43" s="59" customFormat="1" ht="15.75">
      <c r="A58" s="6"/>
      <c r="B58" s="38"/>
      <c r="C58" s="6"/>
      <c r="D58" s="6"/>
      <c r="E58" s="1"/>
      <c r="F58" s="1"/>
      <c r="H58" s="1"/>
      <c r="J58" s="13"/>
      <c r="L58" s="13"/>
      <c r="N58" s="1"/>
      <c r="P58" s="13"/>
      <c r="R58" s="13"/>
      <c r="T58" s="1"/>
      <c r="V58" s="13"/>
      <c r="X58" s="13"/>
      <c r="Z58" s="1"/>
      <c r="AB58" s="13"/>
      <c r="AD58" s="13"/>
      <c r="AG58" s="1"/>
      <c r="AN58" s="878">
        <v>2214</v>
      </c>
      <c r="AO58" s="879">
        <v>8098</v>
      </c>
      <c r="AP58" s="221">
        <f t="shared" si="0"/>
        <v>7.9283026109159549E-3</v>
      </c>
      <c r="AQ58" s="880"/>
    </row>
    <row r="59" spans="1:43" s="59" customFormat="1" ht="15.75">
      <c r="A59" s="1"/>
      <c r="B59" s="1"/>
      <c r="C59" s="1"/>
      <c r="D59" s="1"/>
      <c r="E59" s="1"/>
      <c r="F59" s="1"/>
      <c r="H59" s="1"/>
      <c r="J59" s="13"/>
      <c r="L59" s="13"/>
      <c r="N59" s="1"/>
      <c r="P59" s="13"/>
      <c r="R59" s="13"/>
      <c r="T59" s="1"/>
      <c r="V59" s="13"/>
      <c r="X59" s="13"/>
      <c r="Z59" s="1"/>
      <c r="AB59" s="13"/>
      <c r="AD59" s="13"/>
      <c r="AG59" s="1"/>
      <c r="AN59" s="878">
        <v>2310</v>
      </c>
      <c r="AO59" s="879">
        <v>11253</v>
      </c>
      <c r="AP59" s="221">
        <f t="shared" si="0"/>
        <v>1.1017188105783804E-2</v>
      </c>
      <c r="AQ59" s="880"/>
    </row>
    <row r="60" spans="1:43" s="59" customFormat="1" ht="15.75">
      <c r="A60" s="1"/>
      <c r="B60" s="1"/>
      <c r="C60" s="1"/>
      <c r="D60" s="1"/>
      <c r="E60" s="1"/>
      <c r="F60" s="1"/>
      <c r="H60" s="1"/>
      <c r="J60" s="13"/>
      <c r="L60" s="13"/>
      <c r="N60" s="1"/>
      <c r="P60" s="13"/>
      <c r="R60" s="13"/>
      <c r="T60" s="1"/>
      <c r="V60" s="13"/>
      <c r="X60" s="13"/>
      <c r="Z60" s="1"/>
      <c r="AB60" s="13"/>
      <c r="AD60" s="13"/>
      <c r="AG60" s="1"/>
      <c r="AN60" s="878">
        <v>2410</v>
      </c>
      <c r="AO60" s="879">
        <v>92305</v>
      </c>
      <c r="AP60" s="221">
        <f t="shared" si="0"/>
        <v>9.0370705421165376E-2</v>
      </c>
      <c r="AQ60" s="880"/>
    </row>
    <row r="61" spans="1:43" s="59" customFormat="1" ht="15.75">
      <c r="A61" s="1"/>
      <c r="B61" s="1"/>
      <c r="C61" s="1"/>
      <c r="D61" s="1"/>
      <c r="E61" s="1"/>
      <c r="F61" s="1"/>
      <c r="H61" s="1"/>
      <c r="J61" s="13"/>
      <c r="L61" s="13"/>
      <c r="N61" s="1"/>
      <c r="P61" s="13"/>
      <c r="R61" s="13"/>
      <c r="T61" s="1"/>
      <c r="V61" s="13"/>
      <c r="X61" s="13"/>
      <c r="Z61" s="1"/>
      <c r="AB61" s="13"/>
      <c r="AD61" s="13"/>
      <c r="AG61" s="1"/>
      <c r="AN61" s="878">
        <v>3022</v>
      </c>
      <c r="AO61" s="879">
        <v>4374</v>
      </c>
      <c r="AP61" s="221">
        <f t="shared" si="0"/>
        <v>4.2823407779879457E-3</v>
      </c>
      <c r="AQ61" s="880"/>
    </row>
    <row r="62" spans="1:43" s="59" customFormat="1" ht="15.75">
      <c r="A62" s="1"/>
      <c r="B62" s="1"/>
      <c r="C62" s="1"/>
      <c r="D62" s="1"/>
      <c r="E62" s="1"/>
      <c r="F62" s="1"/>
      <c r="H62" s="1"/>
      <c r="J62" s="13"/>
      <c r="L62" s="13"/>
      <c r="N62" s="1"/>
      <c r="P62" s="13"/>
      <c r="R62" s="13"/>
      <c r="T62" s="1"/>
      <c r="V62" s="13"/>
      <c r="X62" s="13"/>
      <c r="Z62" s="1"/>
      <c r="AB62" s="13"/>
      <c r="AD62" s="13"/>
      <c r="AG62" s="1"/>
      <c r="AN62" s="878">
        <v>3023</v>
      </c>
      <c r="AO62" s="879">
        <v>8369</v>
      </c>
      <c r="AP62" s="221">
        <f t="shared" si="0"/>
        <v>8.1936236787794048E-3</v>
      </c>
      <c r="AQ62" s="880"/>
    </row>
    <row r="63" spans="1:43" s="59" customFormat="1" ht="15.75">
      <c r="A63" s="1"/>
      <c r="B63" s="1"/>
      <c r="C63" s="1"/>
      <c r="D63" s="1"/>
      <c r="E63" s="1"/>
      <c r="F63" s="1"/>
      <c r="H63" s="1"/>
      <c r="J63" s="13"/>
      <c r="L63" s="13"/>
      <c r="N63" s="1"/>
      <c r="P63" s="13"/>
      <c r="R63" s="13"/>
      <c r="T63" s="1"/>
      <c r="V63" s="13"/>
      <c r="X63" s="13"/>
      <c r="Z63" s="1"/>
      <c r="AB63" s="13"/>
      <c r="AD63" s="13"/>
      <c r="AG63" s="1"/>
      <c r="AN63" s="878">
        <v>3024</v>
      </c>
      <c r="AO63" s="879">
        <v>4296</v>
      </c>
      <c r="AP63" s="221">
        <f t="shared" si="0"/>
        <v>4.2059753045807537E-3</v>
      </c>
      <c r="AQ63" s="880"/>
    </row>
    <row r="64" spans="1:43" s="59" customFormat="1" ht="15.75">
      <c r="A64" s="1"/>
      <c r="B64" s="1"/>
      <c r="C64" s="1"/>
      <c r="D64" s="1"/>
      <c r="E64" s="1"/>
      <c r="F64" s="1"/>
      <c r="H64" s="1"/>
      <c r="J64" s="13"/>
      <c r="L64" s="13"/>
      <c r="N64" s="1"/>
      <c r="P64" s="13"/>
      <c r="R64" s="13"/>
      <c r="T64" s="1"/>
      <c r="V64" s="13"/>
      <c r="X64" s="13"/>
      <c r="Z64" s="1"/>
      <c r="AB64" s="13"/>
      <c r="AD64" s="13"/>
      <c r="AG64" s="1"/>
      <c r="AN64" s="878">
        <v>3025</v>
      </c>
      <c r="AO64" s="879">
        <v>970</v>
      </c>
      <c r="AP64" s="221">
        <f t="shared" si="0"/>
        <v>9.4967319493559842E-4</v>
      </c>
      <c r="AQ64" s="880"/>
    </row>
    <row r="65" spans="1:43" s="59" customFormat="1" ht="15.75">
      <c r="A65" s="1"/>
      <c r="B65" s="1"/>
      <c r="C65" s="1"/>
      <c r="D65" s="1"/>
      <c r="E65" s="1"/>
      <c r="F65" s="1"/>
      <c r="H65" s="1"/>
      <c r="J65" s="13"/>
      <c r="L65" s="13"/>
      <c r="N65" s="1"/>
      <c r="P65" s="13"/>
      <c r="R65" s="13"/>
      <c r="T65" s="1"/>
      <c r="V65" s="13"/>
      <c r="X65" s="13"/>
      <c r="Z65" s="1"/>
      <c r="AB65" s="13"/>
      <c r="AD65" s="13"/>
      <c r="AG65" s="1"/>
      <c r="AN65" s="878">
        <v>4014</v>
      </c>
      <c r="AO65" s="879">
        <v>5181</v>
      </c>
      <c r="AP65" s="221">
        <f t="shared" si="0"/>
        <v>5.0724297143931295E-3</v>
      </c>
      <c r="AQ65" s="880"/>
    </row>
    <row r="66" spans="1:43" s="59" customFormat="1" ht="15.75">
      <c r="A66" s="1"/>
      <c r="B66" s="1"/>
      <c r="C66" s="1"/>
      <c r="D66" s="1"/>
      <c r="E66" s="1"/>
      <c r="F66" s="1"/>
      <c r="H66" s="1"/>
      <c r="J66" s="13"/>
      <c r="L66" s="13"/>
      <c r="N66" s="1"/>
      <c r="P66" s="13"/>
      <c r="R66" s="13"/>
      <c r="T66" s="1"/>
      <c r="V66" s="13"/>
      <c r="X66" s="13"/>
      <c r="Z66" s="1"/>
      <c r="AB66" s="13"/>
      <c r="AD66" s="13"/>
      <c r="AG66" s="1"/>
      <c r="AN66" s="878">
        <v>4016</v>
      </c>
      <c r="AO66" s="879">
        <v>38</v>
      </c>
      <c r="AP66" s="221">
        <f t="shared" si="0"/>
        <v>3.7203692172734788E-5</v>
      </c>
      <c r="AQ66" s="880"/>
    </row>
    <row r="67" spans="1:43" s="59" customFormat="1" ht="15.75">
      <c r="A67" s="1"/>
      <c r="B67" s="1"/>
      <c r="C67" s="1"/>
      <c r="D67" s="1"/>
      <c r="E67" s="1"/>
      <c r="F67" s="1"/>
      <c r="H67" s="1"/>
      <c r="J67" s="13"/>
      <c r="L67" s="13"/>
      <c r="N67" s="1"/>
      <c r="P67" s="13"/>
      <c r="R67" s="13"/>
      <c r="T67" s="1"/>
      <c r="V67" s="13"/>
      <c r="X67" s="13"/>
      <c r="Z67" s="1"/>
      <c r="AB67" s="13"/>
      <c r="AD67" s="13"/>
      <c r="AG67" s="1"/>
      <c r="AN67" s="878">
        <v>4018</v>
      </c>
      <c r="AO67" s="879">
        <v>14750</v>
      </c>
      <c r="AP67" s="221">
        <f t="shared" si="0"/>
        <v>1.4440906830206265E-2</v>
      </c>
      <c r="AQ67" s="880"/>
    </row>
    <row r="68" spans="1:43" s="59" customFormat="1" ht="15.75">
      <c r="A68" s="1"/>
      <c r="B68" s="1"/>
      <c r="C68" s="1"/>
      <c r="D68" s="1"/>
      <c r="E68" s="1"/>
      <c r="F68" s="1"/>
      <c r="H68" s="1"/>
      <c r="J68" s="13"/>
      <c r="L68" s="13"/>
      <c r="N68" s="1"/>
      <c r="P68" s="13"/>
      <c r="R68" s="13"/>
      <c r="T68" s="1"/>
      <c r="V68" s="13"/>
      <c r="X68" s="13"/>
      <c r="Z68" s="1"/>
      <c r="AB68" s="13"/>
      <c r="AD68" s="13"/>
      <c r="AG68" s="1"/>
      <c r="AN68" s="878">
        <v>4019</v>
      </c>
      <c r="AO68" s="879">
        <v>70</v>
      </c>
      <c r="AP68" s="221">
        <f t="shared" si="0"/>
        <v>6.8533117160300913E-5</v>
      </c>
      <c r="AQ68" s="880"/>
    </row>
    <row r="69" spans="1:43" s="59" customFormat="1" ht="15.75">
      <c r="A69" s="1"/>
      <c r="B69" s="1"/>
      <c r="C69" s="1"/>
      <c r="D69" s="1"/>
      <c r="E69" s="1"/>
      <c r="F69" s="1"/>
      <c r="H69" s="1"/>
      <c r="J69" s="13"/>
      <c r="L69" s="13"/>
      <c r="N69" s="1"/>
      <c r="P69" s="13"/>
      <c r="R69" s="13"/>
      <c r="T69" s="1"/>
      <c r="V69" s="13"/>
      <c r="X69" s="13"/>
      <c r="Z69" s="1"/>
      <c r="AB69" s="13"/>
      <c r="AD69" s="13"/>
      <c r="AG69" s="1"/>
      <c r="AN69" s="878">
        <v>4020</v>
      </c>
      <c r="AO69" s="879">
        <v>58787</v>
      </c>
      <c r="AP69" s="221">
        <f t="shared" ref="AP69:AP85" si="4">AO69/$AO$86</f>
        <v>5.7555090835751575E-2</v>
      </c>
      <c r="AQ69" s="880"/>
    </row>
    <row r="70" spans="1:43" s="59" customFormat="1" ht="15.75">
      <c r="A70" s="1"/>
      <c r="B70" s="1"/>
      <c r="C70" s="1"/>
      <c r="D70" s="1"/>
      <c r="E70" s="1"/>
      <c r="F70" s="1"/>
      <c r="H70" s="1"/>
      <c r="J70" s="13"/>
      <c r="L70" s="13"/>
      <c r="N70" s="1"/>
      <c r="P70" s="13"/>
      <c r="R70" s="13"/>
      <c r="T70" s="1"/>
      <c r="V70" s="13"/>
      <c r="X70" s="13"/>
      <c r="Z70" s="1"/>
      <c r="AB70" s="13"/>
      <c r="AD70" s="13"/>
      <c r="AG70" s="1"/>
      <c r="AN70" s="878">
        <v>4021</v>
      </c>
      <c r="AO70" s="879">
        <v>135</v>
      </c>
      <c r="AP70" s="221">
        <f t="shared" si="4"/>
        <v>1.3217101166629463E-4</v>
      </c>
      <c r="AQ70" s="880"/>
    </row>
    <row r="71" spans="1:43" s="59" customFormat="1" ht="15.75">
      <c r="A71" s="1"/>
      <c r="B71" s="1"/>
      <c r="C71" s="1"/>
      <c r="D71" s="1"/>
      <c r="E71" s="1"/>
      <c r="F71" s="1"/>
      <c r="H71" s="1"/>
      <c r="J71" s="13"/>
      <c r="L71" s="13"/>
      <c r="N71" s="1"/>
      <c r="P71" s="13"/>
      <c r="R71" s="13"/>
      <c r="T71" s="1"/>
      <c r="V71" s="13"/>
      <c r="X71" s="13"/>
      <c r="Z71" s="1"/>
      <c r="AB71" s="13"/>
      <c r="AD71" s="13"/>
      <c r="AG71" s="1"/>
      <c r="AN71" s="878">
        <v>4030</v>
      </c>
      <c r="AO71" s="879">
        <v>38744</v>
      </c>
      <c r="AP71" s="221">
        <f t="shared" si="4"/>
        <v>3.7932101303695696E-2</v>
      </c>
      <c r="AQ71" s="880"/>
    </row>
    <row r="72" spans="1:43" s="59" customFormat="1" ht="15.75">
      <c r="A72" s="1"/>
      <c r="B72" s="1"/>
      <c r="C72" s="1"/>
      <c r="D72" s="1"/>
      <c r="E72" s="1"/>
      <c r="F72" s="1"/>
      <c r="H72" s="1"/>
      <c r="J72" s="13"/>
      <c r="L72" s="13"/>
      <c r="N72" s="1"/>
      <c r="P72" s="13"/>
      <c r="R72" s="13"/>
      <c r="T72" s="1"/>
      <c r="V72" s="13"/>
      <c r="X72" s="13"/>
      <c r="Z72" s="1"/>
      <c r="AB72" s="13"/>
      <c r="AD72" s="13"/>
      <c r="AG72" s="1"/>
      <c r="AN72" s="878">
        <v>4031</v>
      </c>
      <c r="AO72" s="879">
        <v>178</v>
      </c>
      <c r="AP72" s="221">
        <f t="shared" si="4"/>
        <v>1.7426992649333662E-4</v>
      </c>
      <c r="AQ72" s="880"/>
    </row>
    <row r="73" spans="1:43" s="59" customFormat="1" ht="15.75">
      <c r="A73" s="1"/>
      <c r="B73" s="1"/>
      <c r="C73" s="1"/>
      <c r="D73" s="1"/>
      <c r="E73" s="1"/>
      <c r="F73" s="1"/>
      <c r="H73" s="1"/>
      <c r="J73" s="13"/>
      <c r="L73" s="13"/>
      <c r="N73" s="1"/>
      <c r="P73" s="13"/>
      <c r="R73" s="13"/>
      <c r="T73" s="1"/>
      <c r="V73" s="13"/>
      <c r="X73" s="13"/>
      <c r="Z73" s="1"/>
      <c r="AB73" s="13"/>
      <c r="AD73" s="13"/>
      <c r="AG73" s="1"/>
      <c r="AN73" s="878">
        <v>4040</v>
      </c>
      <c r="AO73" s="879">
        <v>278</v>
      </c>
      <c r="AP73" s="221">
        <f t="shared" si="4"/>
        <v>2.7217437957948078E-4</v>
      </c>
      <c r="AQ73" s="880"/>
    </row>
    <row r="74" spans="1:43" s="59" customFormat="1" ht="15.75">
      <c r="A74" s="1"/>
      <c r="B74" s="1"/>
      <c r="C74" s="1"/>
      <c r="D74" s="1"/>
      <c r="E74" s="1"/>
      <c r="F74" s="1"/>
      <c r="H74" s="1"/>
      <c r="J74" s="13"/>
      <c r="L74" s="13"/>
      <c r="N74" s="1"/>
      <c r="P74" s="13"/>
      <c r="R74" s="13"/>
      <c r="T74" s="1"/>
      <c r="V74" s="13"/>
      <c r="X74" s="13"/>
      <c r="Z74" s="1"/>
      <c r="AB74" s="13"/>
      <c r="AD74" s="13"/>
      <c r="AG74" s="1"/>
      <c r="AN74" s="878">
        <v>4050</v>
      </c>
      <c r="AO74" s="879">
        <v>81</v>
      </c>
      <c r="AP74" s="221">
        <f t="shared" si="4"/>
        <v>7.9302606999776784E-5</v>
      </c>
      <c r="AQ74" s="880"/>
    </row>
    <row r="75" spans="1:43" s="59" customFormat="1" ht="15.75">
      <c r="A75" s="1"/>
      <c r="B75" s="1"/>
      <c r="C75" s="1"/>
      <c r="D75" s="1"/>
      <c r="E75" s="1"/>
      <c r="F75" s="1"/>
      <c r="H75" s="1"/>
      <c r="J75" s="13"/>
      <c r="L75" s="13"/>
      <c r="N75" s="1"/>
      <c r="P75" s="13"/>
      <c r="R75" s="13"/>
      <c r="T75" s="1"/>
      <c r="V75" s="13"/>
      <c r="X75" s="13"/>
      <c r="Z75" s="1"/>
      <c r="AB75" s="13"/>
      <c r="AD75" s="13"/>
      <c r="AG75" s="1"/>
      <c r="AN75" s="878">
        <v>4100</v>
      </c>
      <c r="AO75" s="879">
        <v>188</v>
      </c>
      <c r="AP75" s="221">
        <f t="shared" si="4"/>
        <v>1.8406037180195104E-4</v>
      </c>
      <c r="AQ75" s="880"/>
    </row>
    <row r="76" spans="1:43" s="59" customFormat="1" ht="15.75">
      <c r="A76" s="1"/>
      <c r="B76" s="1"/>
      <c r="C76" s="1"/>
      <c r="D76" s="1"/>
      <c r="E76" s="1"/>
      <c r="F76" s="1"/>
      <c r="H76" s="1"/>
      <c r="J76" s="13"/>
      <c r="L76" s="13"/>
      <c r="N76" s="1"/>
      <c r="P76" s="13"/>
      <c r="R76" s="13"/>
      <c r="T76" s="1"/>
      <c r="V76" s="13"/>
      <c r="X76" s="13"/>
      <c r="Z76" s="1"/>
      <c r="AB76" s="13"/>
      <c r="AD76" s="13"/>
      <c r="AG76" s="1"/>
      <c r="AN76" s="878">
        <v>4105</v>
      </c>
      <c r="AO76" s="879">
        <v>17</v>
      </c>
      <c r="AP76" s="221">
        <f t="shared" si="4"/>
        <v>1.6643757024644509E-5</v>
      </c>
      <c r="AQ76" s="880"/>
    </row>
    <row r="77" spans="1:43" s="59" customFormat="1" ht="15.75">
      <c r="A77" s="1"/>
      <c r="B77" s="1"/>
      <c r="C77" s="1"/>
      <c r="D77" s="1"/>
      <c r="E77" s="1"/>
      <c r="F77" s="1"/>
      <c r="H77" s="1"/>
      <c r="J77" s="13"/>
      <c r="L77" s="13"/>
      <c r="N77" s="1"/>
      <c r="P77" s="13"/>
      <c r="R77" s="13"/>
      <c r="T77" s="1"/>
      <c r="V77" s="13"/>
      <c r="X77" s="13"/>
      <c r="Z77" s="1"/>
      <c r="AB77" s="13"/>
      <c r="AD77" s="13"/>
      <c r="AG77" s="1"/>
      <c r="AN77" s="878">
        <v>4110</v>
      </c>
      <c r="AO77" s="879">
        <v>13734</v>
      </c>
      <c r="AP77" s="221">
        <f t="shared" si="4"/>
        <v>1.344619758685104E-2</v>
      </c>
      <c r="AQ77" s="880"/>
    </row>
    <row r="78" spans="1:43" s="59" customFormat="1" ht="15.75">
      <c r="A78" s="1"/>
      <c r="B78" s="1"/>
      <c r="C78" s="1"/>
      <c r="D78" s="1"/>
      <c r="E78" s="1"/>
      <c r="F78" s="1"/>
      <c r="H78" s="1"/>
      <c r="J78" s="13"/>
      <c r="L78" s="13"/>
      <c r="N78" s="1"/>
      <c r="P78" s="13"/>
      <c r="R78" s="13"/>
      <c r="T78" s="1"/>
      <c r="V78" s="13"/>
      <c r="X78" s="13"/>
      <c r="Z78" s="1"/>
      <c r="AB78" s="13"/>
      <c r="AD78" s="13"/>
      <c r="AG78" s="1"/>
      <c r="AN78" s="878">
        <v>4120</v>
      </c>
      <c r="AO78" s="879">
        <v>27724</v>
      </c>
      <c r="AP78" s="221">
        <f t="shared" si="4"/>
        <v>2.7143030573602608E-2</v>
      </c>
      <c r="AQ78" s="880"/>
    </row>
    <row r="79" spans="1:43" s="59" customFormat="1" ht="15.75">
      <c r="A79" s="1"/>
      <c r="B79" s="1"/>
      <c r="C79" s="1"/>
      <c r="D79" s="1"/>
      <c r="E79" s="1"/>
      <c r="F79" s="1"/>
      <c r="H79" s="1"/>
      <c r="J79" s="13"/>
      <c r="L79" s="13"/>
      <c r="N79" s="1"/>
      <c r="P79" s="13"/>
      <c r="R79" s="13"/>
      <c r="T79" s="1"/>
      <c r="V79" s="13"/>
      <c r="X79" s="13"/>
      <c r="Z79" s="1"/>
      <c r="AB79" s="13"/>
      <c r="AD79" s="13"/>
      <c r="AG79" s="1"/>
      <c r="AN79" s="878">
        <v>4130</v>
      </c>
      <c r="AO79" s="879">
        <v>11602</v>
      </c>
      <c r="AP79" s="221">
        <f t="shared" si="4"/>
        <v>1.1358874647054446E-2</v>
      </c>
      <c r="AQ79" s="880"/>
    </row>
    <row r="80" spans="1:43" s="59" customFormat="1" ht="15.75">
      <c r="A80" s="1"/>
      <c r="B80" s="1"/>
      <c r="C80" s="1"/>
      <c r="D80" s="1"/>
      <c r="E80" s="1"/>
      <c r="F80" s="1"/>
      <c r="H80" s="1"/>
      <c r="J80" s="13"/>
      <c r="L80" s="13"/>
      <c r="N80" s="1"/>
      <c r="P80" s="13"/>
      <c r="R80" s="13"/>
      <c r="T80" s="1"/>
      <c r="V80" s="13"/>
      <c r="X80" s="13"/>
      <c r="Z80" s="1"/>
      <c r="AB80" s="13"/>
      <c r="AD80" s="13"/>
      <c r="AG80" s="1"/>
      <c r="AN80" s="878">
        <v>4140</v>
      </c>
      <c r="AO80" s="879">
        <v>5133</v>
      </c>
      <c r="AP80" s="221">
        <f t="shared" si="4"/>
        <v>5.0254355769117805E-3</v>
      </c>
      <c r="AQ80" s="880"/>
    </row>
    <row r="81" spans="1:43" s="59" customFormat="1" ht="15.75">
      <c r="A81" s="1"/>
      <c r="B81" s="1"/>
      <c r="C81" s="1"/>
      <c r="D81" s="1"/>
      <c r="E81" s="1"/>
      <c r="F81" s="1"/>
      <c r="H81" s="1"/>
      <c r="J81" s="13"/>
      <c r="L81" s="13"/>
      <c r="N81" s="1"/>
      <c r="P81" s="13"/>
      <c r="R81" s="13"/>
      <c r="T81" s="1"/>
      <c r="V81" s="13"/>
      <c r="X81" s="13"/>
      <c r="Z81" s="1"/>
      <c r="AB81" s="13"/>
      <c r="AD81" s="13"/>
      <c r="AG81" s="1"/>
      <c r="AN81" s="878">
        <v>4150</v>
      </c>
      <c r="AO81" s="879">
        <v>90</v>
      </c>
      <c r="AP81" s="221">
        <f t="shared" si="4"/>
        <v>8.811400777752975E-5</v>
      </c>
      <c r="AQ81" s="880"/>
    </row>
    <row r="82" spans="1:43" s="59" customFormat="1" ht="15.75">
      <c r="A82" s="1"/>
      <c r="B82" s="1"/>
      <c r="C82" s="1"/>
      <c r="D82" s="1"/>
      <c r="E82" s="1"/>
      <c r="F82" s="1"/>
      <c r="H82" s="1"/>
      <c r="J82" s="13"/>
      <c r="L82" s="13"/>
      <c r="N82" s="1"/>
      <c r="P82" s="13"/>
      <c r="R82" s="13"/>
      <c r="T82" s="1"/>
      <c r="V82" s="13"/>
      <c r="X82" s="13"/>
      <c r="Z82" s="1"/>
      <c r="AB82" s="13"/>
      <c r="AD82" s="13"/>
      <c r="AG82" s="1"/>
      <c r="AN82" s="878">
        <v>5411</v>
      </c>
      <c r="AO82" s="879">
        <v>13748</v>
      </c>
      <c r="AP82" s="221">
        <f t="shared" si="4"/>
        <v>1.34599042102831E-2</v>
      </c>
      <c r="AQ82" s="880"/>
    </row>
    <row r="83" spans="1:43" s="59" customFormat="1" ht="15.75">
      <c r="A83" s="1"/>
      <c r="B83" s="1"/>
      <c r="C83" s="1"/>
      <c r="D83" s="1"/>
      <c r="E83" s="1"/>
      <c r="F83" s="1"/>
      <c r="H83" s="1"/>
      <c r="J83" s="13"/>
      <c r="L83" s="13"/>
      <c r="N83" s="1"/>
      <c r="P83" s="13"/>
      <c r="R83" s="13"/>
      <c r="T83" s="1"/>
      <c r="V83" s="13"/>
      <c r="X83" s="13"/>
      <c r="Z83" s="1"/>
      <c r="AB83" s="13"/>
      <c r="AD83" s="13"/>
      <c r="AG83" s="1"/>
      <c r="AN83" s="878">
        <v>5412</v>
      </c>
      <c r="AO83" s="879">
        <v>9302</v>
      </c>
      <c r="AP83" s="221">
        <f t="shared" si="4"/>
        <v>9.1070722260731315E-3</v>
      </c>
      <c r="AQ83" s="880"/>
    </row>
    <row r="84" spans="1:43" s="59" customFormat="1" ht="15.75">
      <c r="A84" s="1"/>
      <c r="B84" s="1"/>
      <c r="C84" s="1"/>
      <c r="D84" s="1"/>
      <c r="E84" s="1"/>
      <c r="F84" s="1"/>
      <c r="H84" s="1"/>
      <c r="J84" s="13"/>
      <c r="L84" s="13"/>
      <c r="N84" s="1"/>
      <c r="P84" s="13"/>
      <c r="R84" s="13"/>
      <c r="T84" s="1"/>
      <c r="V84" s="13"/>
      <c r="X84" s="13"/>
      <c r="Z84" s="1"/>
      <c r="AB84" s="13"/>
      <c r="AD84" s="13"/>
      <c r="AG84" s="1"/>
      <c r="AN84" s="878">
        <v>5414</v>
      </c>
      <c r="AO84" s="879">
        <v>6</v>
      </c>
      <c r="AP84" s="221">
        <f t="shared" si="4"/>
        <v>5.8742671851686499E-6</v>
      </c>
      <c r="AQ84" s="880"/>
    </row>
    <row r="85" spans="1:43" s="59" customFormat="1" ht="15.75">
      <c r="A85" s="1"/>
      <c r="B85" s="1"/>
      <c r="C85" s="1"/>
      <c r="D85" s="1"/>
      <c r="E85" s="1"/>
      <c r="F85" s="1"/>
      <c r="H85" s="1"/>
      <c r="J85" s="13"/>
      <c r="L85" s="13"/>
      <c r="N85" s="1"/>
      <c r="P85" s="13"/>
      <c r="R85" s="13"/>
      <c r="T85" s="1"/>
      <c r="V85" s="13"/>
      <c r="X85" s="13"/>
      <c r="Z85" s="1"/>
      <c r="AB85" s="13"/>
      <c r="AD85" s="13"/>
      <c r="AG85" s="1"/>
      <c r="AN85" s="217"/>
      <c r="AO85" s="218"/>
      <c r="AP85" s="221">
        <f t="shared" si="4"/>
        <v>0</v>
      </c>
      <c r="AQ85" s="880"/>
    </row>
    <row r="86" spans="1:43" s="59" customFormat="1" ht="15.75">
      <c r="A86" s="1"/>
      <c r="B86" s="1"/>
      <c r="C86" s="1"/>
      <c r="D86" s="1"/>
      <c r="E86" s="1"/>
      <c r="F86" s="1"/>
      <c r="H86" s="1"/>
      <c r="J86" s="13"/>
      <c r="L86" s="13"/>
      <c r="N86" s="1"/>
      <c r="P86" s="13"/>
      <c r="R86" s="13"/>
      <c r="T86" s="1"/>
      <c r="V86" s="13"/>
      <c r="X86" s="13"/>
      <c r="Z86" s="1"/>
      <c r="AB86" s="13"/>
      <c r="AD86" s="13"/>
      <c r="AG86" s="1"/>
      <c r="AN86" s="217"/>
      <c r="AO86" s="218">
        <f>SUM(AO4:AO85)</f>
        <v>1021404</v>
      </c>
      <c r="AP86" s="218"/>
    </row>
    <row r="87" spans="1:43" s="59" customFormat="1" ht="15">
      <c r="A87" s="1"/>
      <c r="B87" s="1"/>
      <c r="C87" s="1"/>
      <c r="D87" s="1"/>
      <c r="E87" s="1"/>
      <c r="F87" s="1"/>
      <c r="H87" s="1"/>
      <c r="J87" s="13"/>
      <c r="L87" s="13"/>
      <c r="N87" s="1"/>
      <c r="P87" s="13"/>
      <c r="R87" s="13"/>
      <c r="T87" s="1"/>
      <c r="V87" s="13"/>
      <c r="X87" s="13"/>
      <c r="Z87" s="1"/>
      <c r="AB87" s="13"/>
      <c r="AD87" s="13"/>
      <c r="AG87" s="1"/>
    </row>
    <row r="88" spans="1:43" s="59" customFormat="1" ht="15">
      <c r="A88" s="1"/>
      <c r="B88" s="1"/>
      <c r="C88" s="1"/>
      <c r="D88" s="1"/>
      <c r="E88" s="1"/>
      <c r="F88" s="1"/>
      <c r="H88" s="1"/>
      <c r="J88" s="13"/>
      <c r="L88" s="13"/>
      <c r="N88" s="1"/>
      <c r="P88" s="13"/>
      <c r="R88" s="13"/>
      <c r="T88" s="1"/>
      <c r="V88" s="13"/>
      <c r="X88" s="13"/>
      <c r="Z88" s="1"/>
      <c r="AB88" s="13"/>
      <c r="AD88" s="13"/>
      <c r="AG88" s="1"/>
    </row>
    <row r="89" spans="1:43" s="59" customFormat="1" ht="15">
      <c r="A89" s="1"/>
      <c r="B89" s="1"/>
      <c r="C89" s="1"/>
      <c r="D89" s="1"/>
      <c r="E89" s="1"/>
      <c r="F89" s="1"/>
      <c r="H89" s="1"/>
      <c r="J89" s="13"/>
      <c r="L89" s="13"/>
      <c r="N89" s="1"/>
      <c r="P89" s="13"/>
      <c r="R89" s="13"/>
      <c r="T89" s="1"/>
      <c r="V89" s="13"/>
      <c r="X89" s="13"/>
      <c r="Z89" s="1"/>
      <c r="AB89" s="13"/>
      <c r="AD89" s="13"/>
      <c r="AG89" s="1"/>
    </row>
    <row r="90" spans="1:43" s="59" customFormat="1" ht="15">
      <c r="A90" s="1"/>
      <c r="B90" s="1"/>
      <c r="C90" s="1"/>
      <c r="D90" s="1"/>
      <c r="E90" s="1"/>
      <c r="F90" s="1"/>
      <c r="H90" s="1"/>
      <c r="J90" s="13"/>
      <c r="L90" s="13"/>
      <c r="N90" s="1"/>
      <c r="P90" s="13"/>
      <c r="R90" s="13"/>
      <c r="T90" s="1"/>
      <c r="V90" s="13"/>
      <c r="X90" s="13"/>
      <c r="Z90" s="1"/>
      <c r="AB90" s="13"/>
      <c r="AD90" s="13"/>
      <c r="AG90" s="1"/>
    </row>
    <row r="91" spans="1:43" s="59" customFormat="1" ht="15">
      <c r="A91" s="1"/>
      <c r="B91" s="1"/>
      <c r="C91" s="1"/>
      <c r="D91" s="1"/>
      <c r="E91" s="1"/>
      <c r="F91" s="1"/>
      <c r="H91" s="1"/>
      <c r="J91" s="13"/>
      <c r="L91" s="13"/>
      <c r="N91" s="1"/>
      <c r="P91" s="13"/>
      <c r="R91" s="13"/>
      <c r="T91" s="1"/>
      <c r="V91" s="13"/>
      <c r="X91" s="13"/>
      <c r="Z91" s="1"/>
      <c r="AB91" s="13"/>
      <c r="AD91" s="13"/>
      <c r="AG91" s="1"/>
    </row>
    <row r="92" spans="1:43" s="59" customFormat="1" ht="15">
      <c r="A92" s="1"/>
      <c r="B92" s="1"/>
      <c r="C92" s="1"/>
      <c r="D92" s="1"/>
      <c r="E92" s="1"/>
      <c r="F92" s="1"/>
      <c r="H92" s="1"/>
      <c r="J92" s="13"/>
      <c r="L92" s="13"/>
      <c r="N92" s="1"/>
      <c r="P92" s="13"/>
      <c r="R92" s="13"/>
      <c r="T92" s="1"/>
      <c r="V92" s="13"/>
      <c r="X92" s="13"/>
      <c r="Z92" s="1"/>
      <c r="AB92" s="13"/>
      <c r="AD92" s="13"/>
      <c r="AG92" s="1"/>
    </row>
    <row r="93" spans="1:43" s="59" customFormat="1" ht="15">
      <c r="A93" s="1"/>
      <c r="B93" s="1"/>
      <c r="C93" s="1"/>
      <c r="D93" s="1"/>
      <c r="E93" s="1"/>
      <c r="F93" s="1"/>
      <c r="H93" s="1"/>
      <c r="J93" s="13"/>
      <c r="L93" s="13"/>
      <c r="N93" s="1"/>
      <c r="P93" s="13"/>
      <c r="R93" s="13"/>
      <c r="T93" s="1"/>
      <c r="V93" s="13"/>
      <c r="X93" s="13"/>
      <c r="Z93" s="1"/>
      <c r="AB93" s="13"/>
      <c r="AD93" s="13"/>
      <c r="AG93" s="1"/>
    </row>
    <row r="94" spans="1:43" s="59" customFormat="1" ht="15">
      <c r="A94" s="1"/>
      <c r="B94" s="1"/>
      <c r="C94" s="1"/>
      <c r="D94" s="1"/>
      <c r="E94" s="1"/>
      <c r="F94" s="1"/>
      <c r="H94" s="1"/>
      <c r="J94" s="13"/>
      <c r="L94" s="13"/>
      <c r="N94" s="1"/>
      <c r="P94" s="13"/>
      <c r="R94" s="13"/>
      <c r="T94" s="1"/>
      <c r="V94" s="13"/>
      <c r="X94" s="13"/>
      <c r="Z94" s="1"/>
      <c r="AB94" s="13"/>
      <c r="AD94" s="13"/>
      <c r="AG94" s="1"/>
    </row>
    <row r="95" spans="1:43" s="59" customFormat="1" ht="15">
      <c r="A95" s="1"/>
      <c r="B95" s="1"/>
      <c r="C95" s="1"/>
      <c r="D95" s="1"/>
      <c r="E95" s="1"/>
      <c r="F95" s="1"/>
      <c r="H95" s="1"/>
      <c r="J95" s="13"/>
      <c r="L95" s="13"/>
      <c r="N95" s="1"/>
      <c r="P95" s="13"/>
      <c r="R95" s="13"/>
      <c r="T95" s="1"/>
      <c r="V95" s="13"/>
      <c r="X95" s="13"/>
      <c r="Z95" s="1"/>
      <c r="AB95" s="13"/>
      <c r="AD95" s="13"/>
      <c r="AG95" s="1"/>
    </row>
    <row r="96" spans="1:43" s="59" customFormat="1" ht="15">
      <c r="A96" s="1"/>
      <c r="B96" s="1"/>
      <c r="C96" s="1"/>
      <c r="D96" s="1"/>
      <c r="E96" s="1"/>
      <c r="F96" s="1"/>
      <c r="H96" s="1"/>
      <c r="J96" s="13"/>
      <c r="L96" s="13"/>
      <c r="N96" s="1"/>
      <c r="P96" s="13"/>
      <c r="R96" s="13"/>
      <c r="T96" s="1"/>
      <c r="V96" s="13"/>
      <c r="X96" s="13"/>
      <c r="Z96" s="1"/>
      <c r="AB96" s="13"/>
      <c r="AD96" s="13"/>
      <c r="AG96" s="1"/>
    </row>
    <row r="97" spans="1:33" s="59" customFormat="1" ht="15">
      <c r="A97" s="1"/>
      <c r="B97" s="1"/>
      <c r="C97" s="1"/>
      <c r="D97" s="1"/>
      <c r="E97" s="1"/>
      <c r="F97" s="1"/>
      <c r="H97" s="1"/>
      <c r="J97" s="13"/>
      <c r="L97" s="13"/>
      <c r="N97" s="1"/>
      <c r="P97" s="13"/>
      <c r="R97" s="13"/>
      <c r="T97" s="1"/>
      <c r="V97" s="13"/>
      <c r="X97" s="13"/>
      <c r="Z97" s="1"/>
      <c r="AB97" s="13"/>
      <c r="AD97" s="13"/>
      <c r="AG97" s="1"/>
    </row>
    <row r="98" spans="1:33" s="59" customFormat="1" ht="15">
      <c r="A98" s="1"/>
      <c r="B98" s="1"/>
      <c r="C98" s="1"/>
      <c r="D98" s="1"/>
      <c r="E98" s="1"/>
      <c r="F98" s="1"/>
      <c r="H98" s="1"/>
      <c r="J98" s="13"/>
      <c r="L98" s="13"/>
      <c r="N98" s="1"/>
      <c r="P98" s="13"/>
      <c r="R98" s="13"/>
      <c r="T98" s="1"/>
      <c r="V98" s="13"/>
      <c r="X98" s="13"/>
      <c r="Z98" s="1"/>
      <c r="AB98" s="13"/>
      <c r="AD98" s="13"/>
      <c r="AG98" s="1"/>
    </row>
    <row r="99" spans="1:33" s="59" customFormat="1" ht="15">
      <c r="A99" s="1"/>
      <c r="B99" s="1"/>
      <c r="C99" s="1"/>
      <c r="D99" s="1"/>
      <c r="E99" s="1"/>
      <c r="F99" s="1"/>
      <c r="H99" s="1"/>
      <c r="J99" s="13"/>
      <c r="L99" s="13"/>
      <c r="N99" s="1"/>
      <c r="P99" s="13"/>
      <c r="R99" s="13"/>
      <c r="T99" s="1"/>
      <c r="V99" s="13"/>
      <c r="X99" s="13"/>
      <c r="Z99" s="1"/>
      <c r="AB99" s="13"/>
      <c r="AD99" s="13"/>
      <c r="AG99" s="1"/>
    </row>
    <row r="100" spans="1:33" s="59" customFormat="1" ht="15">
      <c r="A100" s="1"/>
      <c r="B100" s="1"/>
      <c r="C100" s="1"/>
      <c r="D100" s="1"/>
      <c r="E100" s="1"/>
      <c r="F100" s="1"/>
      <c r="H100" s="1"/>
      <c r="J100" s="13"/>
      <c r="L100" s="13"/>
      <c r="N100" s="1"/>
      <c r="P100" s="13"/>
      <c r="R100" s="13"/>
      <c r="T100" s="1"/>
      <c r="V100" s="13"/>
      <c r="X100" s="13"/>
      <c r="Z100" s="1"/>
      <c r="AB100" s="13"/>
      <c r="AD100" s="13"/>
      <c r="AG100" s="1"/>
    </row>
    <row r="101" spans="1:33" s="59" customFormat="1" ht="15">
      <c r="A101" s="1"/>
      <c r="B101" s="1"/>
      <c r="C101" s="1"/>
      <c r="D101" s="1"/>
      <c r="E101" s="1"/>
      <c r="F101" s="1"/>
      <c r="H101" s="1"/>
      <c r="J101" s="13"/>
      <c r="L101" s="13"/>
      <c r="N101" s="1"/>
      <c r="P101" s="13"/>
      <c r="R101" s="13"/>
      <c r="T101" s="1"/>
      <c r="V101" s="13"/>
      <c r="X101" s="13"/>
      <c r="Z101" s="1"/>
      <c r="AB101" s="13"/>
      <c r="AD101" s="13"/>
      <c r="AG101" s="1"/>
    </row>
    <row r="102" spans="1:33" s="59" customFormat="1" ht="15">
      <c r="A102" s="1"/>
      <c r="B102" s="1"/>
      <c r="C102" s="1"/>
      <c r="D102" s="1"/>
      <c r="E102" s="1"/>
      <c r="F102" s="1"/>
      <c r="H102" s="1"/>
      <c r="J102" s="13"/>
      <c r="L102" s="13"/>
      <c r="N102" s="1"/>
      <c r="P102" s="13"/>
      <c r="R102" s="13"/>
      <c r="T102" s="1"/>
      <c r="V102" s="13"/>
      <c r="X102" s="13"/>
      <c r="Z102" s="1"/>
      <c r="AB102" s="13"/>
      <c r="AD102" s="13"/>
      <c r="AG102" s="1"/>
    </row>
    <row r="103" spans="1:33" s="59" customFormat="1" ht="15">
      <c r="A103" s="1"/>
      <c r="B103" s="1"/>
      <c r="C103" s="1"/>
      <c r="D103" s="1"/>
      <c r="E103" s="1"/>
      <c r="F103" s="1"/>
      <c r="H103" s="1"/>
      <c r="J103" s="13"/>
      <c r="L103" s="13"/>
      <c r="N103" s="1"/>
      <c r="P103" s="13"/>
      <c r="R103" s="13"/>
      <c r="T103" s="1"/>
      <c r="V103" s="13"/>
      <c r="X103" s="13"/>
      <c r="Z103" s="1"/>
      <c r="AB103" s="13"/>
      <c r="AD103" s="13"/>
      <c r="AG103" s="1"/>
    </row>
    <row r="104" spans="1:33" s="59" customFormat="1" ht="15">
      <c r="A104" s="1"/>
      <c r="B104" s="1"/>
      <c r="C104" s="1"/>
      <c r="D104" s="1"/>
      <c r="E104" s="1"/>
      <c r="F104" s="1"/>
      <c r="H104" s="1"/>
      <c r="J104" s="13"/>
      <c r="L104" s="13"/>
      <c r="N104" s="1"/>
      <c r="P104" s="13"/>
      <c r="R104" s="13"/>
      <c r="T104" s="1"/>
      <c r="V104" s="13"/>
      <c r="X104" s="13"/>
      <c r="Z104" s="1"/>
      <c r="AB104" s="13"/>
      <c r="AD104" s="13"/>
      <c r="AG104" s="1"/>
    </row>
    <row r="105" spans="1:33" s="59" customFormat="1" ht="15">
      <c r="A105" s="1"/>
      <c r="B105" s="1"/>
      <c r="C105" s="1"/>
      <c r="D105" s="1"/>
      <c r="E105" s="1"/>
      <c r="F105" s="1"/>
      <c r="H105" s="1"/>
      <c r="J105" s="13"/>
      <c r="L105" s="13"/>
      <c r="N105" s="1"/>
      <c r="P105" s="13"/>
      <c r="R105" s="13"/>
      <c r="T105" s="1"/>
      <c r="V105" s="13"/>
      <c r="X105" s="13"/>
      <c r="Z105" s="1"/>
      <c r="AB105" s="13"/>
      <c r="AD105" s="13"/>
      <c r="AG105" s="1"/>
    </row>
    <row r="106" spans="1:33" s="59" customFormat="1" ht="15">
      <c r="A106" s="1"/>
      <c r="B106" s="1"/>
      <c r="C106" s="1"/>
      <c r="D106" s="1"/>
      <c r="E106" s="1"/>
      <c r="F106" s="1"/>
      <c r="H106" s="1"/>
      <c r="J106" s="13"/>
      <c r="L106" s="13"/>
      <c r="N106" s="1"/>
      <c r="P106" s="13"/>
      <c r="R106" s="13"/>
      <c r="T106" s="1"/>
      <c r="V106" s="13"/>
      <c r="X106" s="13"/>
      <c r="Z106" s="1"/>
      <c r="AB106" s="13"/>
      <c r="AD106" s="13"/>
      <c r="AG106" s="1"/>
    </row>
    <row r="107" spans="1:33" s="59" customFormat="1" ht="15">
      <c r="A107" s="1"/>
      <c r="B107" s="1"/>
      <c r="C107" s="1"/>
      <c r="D107" s="1"/>
      <c r="E107" s="1"/>
      <c r="F107" s="1"/>
      <c r="H107" s="1"/>
      <c r="J107" s="13"/>
      <c r="L107" s="13"/>
      <c r="N107" s="1"/>
      <c r="P107" s="13"/>
      <c r="R107" s="13"/>
      <c r="T107" s="1"/>
      <c r="V107" s="13"/>
      <c r="X107" s="13"/>
      <c r="Z107" s="1"/>
      <c r="AB107" s="13"/>
      <c r="AD107" s="13"/>
      <c r="AG107" s="1"/>
    </row>
    <row r="108" spans="1:33" s="59" customFormat="1" ht="15">
      <c r="A108" s="1"/>
      <c r="B108" s="1"/>
      <c r="C108" s="1"/>
      <c r="D108" s="1"/>
      <c r="E108" s="1"/>
      <c r="F108" s="1"/>
      <c r="H108" s="1"/>
      <c r="J108" s="13"/>
      <c r="L108" s="13"/>
      <c r="N108" s="1"/>
      <c r="P108" s="13"/>
      <c r="R108" s="13"/>
      <c r="T108" s="1"/>
      <c r="V108" s="13"/>
      <c r="X108" s="13"/>
      <c r="Z108" s="1"/>
      <c r="AB108" s="13"/>
      <c r="AD108" s="13"/>
      <c r="AG108" s="1"/>
    </row>
    <row r="109" spans="1:33" s="59" customFormat="1" ht="15">
      <c r="A109" s="1"/>
      <c r="B109" s="1"/>
      <c r="C109" s="1"/>
      <c r="D109" s="1"/>
      <c r="E109" s="1"/>
      <c r="F109" s="1"/>
      <c r="H109" s="1"/>
      <c r="J109" s="13"/>
      <c r="L109" s="13"/>
      <c r="N109" s="1"/>
      <c r="P109" s="13"/>
      <c r="R109" s="13"/>
      <c r="T109" s="1"/>
      <c r="V109" s="13"/>
      <c r="X109" s="13"/>
      <c r="Z109" s="1"/>
      <c r="AB109" s="13"/>
      <c r="AD109" s="13"/>
      <c r="AG109" s="1"/>
    </row>
    <row r="110" spans="1:33" s="59" customFormat="1" ht="15">
      <c r="A110" s="1"/>
      <c r="B110" s="1"/>
      <c r="C110" s="1"/>
      <c r="D110" s="1"/>
      <c r="E110" s="1"/>
      <c r="F110" s="1"/>
      <c r="H110" s="1"/>
      <c r="J110" s="13"/>
      <c r="L110" s="13"/>
      <c r="N110" s="1"/>
      <c r="P110" s="13"/>
      <c r="R110" s="13"/>
      <c r="T110" s="1"/>
      <c r="V110" s="13"/>
      <c r="X110" s="13"/>
      <c r="Z110" s="1"/>
      <c r="AB110" s="13"/>
      <c r="AD110" s="13"/>
      <c r="AG110" s="1"/>
    </row>
    <row r="111" spans="1:33" s="59" customFormat="1" ht="15">
      <c r="A111" s="1"/>
      <c r="B111" s="1"/>
      <c r="C111" s="1"/>
      <c r="D111" s="1"/>
      <c r="E111" s="1"/>
      <c r="F111" s="1"/>
      <c r="H111" s="1"/>
      <c r="J111" s="13"/>
      <c r="L111" s="13"/>
      <c r="N111" s="1"/>
      <c r="P111" s="13"/>
      <c r="R111" s="13"/>
      <c r="T111" s="1"/>
      <c r="V111" s="13"/>
      <c r="X111" s="13"/>
      <c r="Z111" s="1"/>
      <c r="AB111" s="13"/>
      <c r="AD111" s="13"/>
      <c r="AG111" s="1"/>
    </row>
    <row r="112" spans="1:33" s="59" customFormat="1" ht="15">
      <c r="A112" s="1"/>
      <c r="B112" s="1"/>
      <c r="C112" s="1"/>
      <c r="D112" s="1"/>
      <c r="E112" s="1"/>
      <c r="F112" s="1"/>
      <c r="H112" s="1"/>
      <c r="J112" s="13"/>
      <c r="L112" s="13"/>
      <c r="N112" s="1"/>
      <c r="P112" s="13"/>
      <c r="R112" s="13"/>
      <c r="T112" s="1"/>
      <c r="V112" s="13"/>
      <c r="X112" s="13"/>
      <c r="Z112" s="1"/>
      <c r="AB112" s="13"/>
      <c r="AD112" s="13"/>
      <c r="AG112" s="1"/>
    </row>
    <row r="113" spans="1:33" s="59" customFormat="1" ht="15">
      <c r="A113" s="1"/>
      <c r="B113" s="1"/>
      <c r="C113" s="1"/>
      <c r="D113" s="1"/>
      <c r="E113" s="1"/>
      <c r="F113" s="1"/>
      <c r="H113" s="1"/>
      <c r="J113" s="13"/>
      <c r="L113" s="13"/>
      <c r="N113" s="1"/>
      <c r="P113" s="13"/>
      <c r="R113" s="13"/>
      <c r="T113" s="1"/>
      <c r="V113" s="13"/>
      <c r="X113" s="13"/>
      <c r="Z113" s="1"/>
      <c r="AB113" s="13"/>
      <c r="AD113" s="13"/>
      <c r="AG113" s="1"/>
    </row>
    <row r="114" spans="1:33" s="59" customFormat="1" ht="15">
      <c r="A114" s="1"/>
      <c r="B114" s="1"/>
      <c r="C114" s="1"/>
      <c r="D114" s="1"/>
      <c r="E114" s="1"/>
      <c r="F114" s="1"/>
      <c r="H114" s="1"/>
      <c r="J114" s="13"/>
      <c r="L114" s="13"/>
      <c r="N114" s="1"/>
      <c r="P114" s="13"/>
      <c r="R114" s="13"/>
      <c r="T114" s="1"/>
      <c r="V114" s="13"/>
      <c r="X114" s="13"/>
      <c r="Z114" s="1"/>
      <c r="AB114" s="13"/>
      <c r="AD114" s="13"/>
      <c r="AG114" s="1"/>
    </row>
    <row r="115" spans="1:33" s="59" customFormat="1" ht="15">
      <c r="A115" s="1"/>
      <c r="B115" s="1"/>
      <c r="C115" s="1"/>
      <c r="D115" s="1"/>
      <c r="E115" s="1"/>
      <c r="F115" s="1"/>
      <c r="H115" s="1"/>
      <c r="J115" s="13"/>
      <c r="L115" s="13"/>
      <c r="N115" s="1"/>
      <c r="P115" s="13"/>
      <c r="R115" s="13"/>
      <c r="T115" s="1"/>
      <c r="V115" s="13"/>
      <c r="X115" s="13"/>
      <c r="Z115" s="1"/>
      <c r="AB115" s="13"/>
      <c r="AD115" s="13"/>
      <c r="AG115" s="1"/>
    </row>
    <row r="116" spans="1:33" s="59" customFormat="1" ht="15">
      <c r="A116" s="1"/>
      <c r="B116" s="1"/>
      <c r="C116" s="1"/>
      <c r="D116" s="1"/>
      <c r="E116" s="1"/>
      <c r="F116" s="1"/>
      <c r="H116" s="1"/>
      <c r="J116" s="13"/>
      <c r="L116" s="13"/>
      <c r="N116" s="1"/>
      <c r="P116" s="13"/>
      <c r="R116" s="13"/>
      <c r="T116" s="1"/>
      <c r="V116" s="13"/>
      <c r="X116" s="13"/>
      <c r="Z116" s="1"/>
      <c r="AB116" s="13"/>
      <c r="AD116" s="13"/>
      <c r="AG116" s="1"/>
    </row>
    <row r="117" spans="1:33" s="59" customFormat="1" ht="15">
      <c r="A117" s="1"/>
      <c r="B117" s="1"/>
      <c r="C117" s="1"/>
      <c r="D117" s="1"/>
      <c r="E117" s="1"/>
      <c r="F117" s="1"/>
      <c r="H117" s="1"/>
      <c r="J117" s="13"/>
      <c r="L117" s="13"/>
      <c r="N117" s="1"/>
      <c r="P117" s="13"/>
      <c r="R117" s="13"/>
      <c r="T117" s="1"/>
      <c r="V117" s="13"/>
      <c r="X117" s="13"/>
      <c r="Z117" s="1"/>
      <c r="AB117" s="13"/>
      <c r="AD117" s="13"/>
      <c r="AG117" s="1"/>
    </row>
    <row r="118" spans="1:33" s="59" customFormat="1" ht="15">
      <c r="A118" s="1"/>
      <c r="B118" s="1"/>
      <c r="C118" s="1"/>
      <c r="D118" s="1"/>
      <c r="E118" s="1"/>
      <c r="F118" s="1"/>
      <c r="H118" s="1"/>
      <c r="J118" s="13"/>
      <c r="L118" s="13"/>
      <c r="N118" s="1"/>
      <c r="P118" s="13"/>
      <c r="R118" s="13"/>
      <c r="T118" s="1"/>
      <c r="V118" s="13"/>
      <c r="X118" s="13"/>
      <c r="Z118" s="1"/>
      <c r="AB118" s="13"/>
      <c r="AD118" s="13"/>
      <c r="AG118" s="1"/>
    </row>
    <row r="119" spans="1:33" s="59" customFormat="1" ht="15">
      <c r="A119" s="1"/>
      <c r="B119" s="1"/>
      <c r="C119" s="1"/>
      <c r="D119" s="1"/>
      <c r="E119" s="1"/>
      <c r="F119" s="1"/>
      <c r="H119" s="1"/>
      <c r="J119" s="13"/>
      <c r="L119" s="13"/>
      <c r="N119" s="1"/>
      <c r="P119" s="13"/>
      <c r="R119" s="13"/>
      <c r="T119" s="1"/>
      <c r="V119" s="13"/>
      <c r="X119" s="13"/>
      <c r="Z119" s="1"/>
      <c r="AB119" s="13"/>
      <c r="AD119" s="13"/>
      <c r="AG119" s="1"/>
    </row>
    <row r="120" spans="1:33" s="59" customFormat="1" ht="15">
      <c r="A120" s="1"/>
      <c r="B120" s="1"/>
      <c r="C120" s="1"/>
      <c r="D120" s="1"/>
      <c r="E120" s="1"/>
      <c r="F120" s="1"/>
      <c r="H120" s="1"/>
      <c r="J120" s="13"/>
      <c r="L120" s="13"/>
      <c r="N120" s="1"/>
      <c r="P120" s="13"/>
      <c r="R120" s="13"/>
      <c r="T120" s="1"/>
      <c r="V120" s="13"/>
      <c r="X120" s="13"/>
      <c r="Z120" s="1"/>
      <c r="AB120" s="13"/>
      <c r="AD120" s="13"/>
      <c r="AG120" s="1"/>
    </row>
    <row r="121" spans="1:33" s="59" customFormat="1" ht="15">
      <c r="A121" s="1"/>
      <c r="B121" s="1"/>
      <c r="C121" s="1"/>
      <c r="D121" s="1"/>
      <c r="E121" s="1"/>
      <c r="F121" s="1"/>
      <c r="H121" s="1"/>
      <c r="J121" s="13"/>
      <c r="L121" s="13"/>
      <c r="N121" s="1"/>
      <c r="P121" s="13"/>
      <c r="R121" s="13"/>
      <c r="T121" s="1"/>
      <c r="V121" s="13"/>
      <c r="X121" s="13"/>
      <c r="Z121" s="1"/>
      <c r="AB121" s="13"/>
      <c r="AD121" s="13"/>
      <c r="AG121" s="1"/>
    </row>
    <row r="122" spans="1:33" s="59" customFormat="1" ht="15">
      <c r="A122" s="1"/>
      <c r="B122" s="1"/>
      <c r="C122" s="1"/>
      <c r="D122" s="1"/>
      <c r="E122" s="1"/>
      <c r="F122" s="1"/>
      <c r="H122" s="1"/>
      <c r="J122" s="13"/>
      <c r="L122" s="13"/>
      <c r="N122" s="1"/>
      <c r="P122" s="13"/>
      <c r="R122" s="13"/>
      <c r="T122" s="1"/>
      <c r="V122" s="13"/>
      <c r="X122" s="13"/>
      <c r="Z122" s="1"/>
      <c r="AB122" s="13"/>
      <c r="AD122" s="13"/>
      <c r="AG122" s="1"/>
    </row>
    <row r="123" spans="1:33" s="59" customFormat="1" ht="15">
      <c r="A123" s="1"/>
      <c r="B123" s="1"/>
      <c r="C123" s="1"/>
      <c r="D123" s="1"/>
      <c r="E123" s="1"/>
      <c r="F123" s="1"/>
      <c r="H123" s="1"/>
      <c r="J123" s="13"/>
      <c r="L123" s="13"/>
      <c r="N123" s="1"/>
      <c r="P123" s="13"/>
      <c r="R123" s="13"/>
      <c r="T123" s="1"/>
      <c r="V123" s="13"/>
      <c r="X123" s="13"/>
      <c r="Z123" s="1"/>
      <c r="AB123" s="13"/>
      <c r="AD123" s="13"/>
      <c r="AG123" s="1"/>
    </row>
    <row r="124" spans="1:33" s="59" customFormat="1" ht="15">
      <c r="A124" s="1"/>
      <c r="B124" s="1"/>
      <c r="C124" s="1"/>
      <c r="D124" s="1"/>
      <c r="E124" s="1"/>
      <c r="F124" s="1"/>
      <c r="H124" s="1"/>
      <c r="J124" s="13"/>
      <c r="L124" s="13"/>
      <c r="N124" s="1"/>
      <c r="P124" s="13"/>
      <c r="R124" s="13"/>
      <c r="T124" s="1"/>
      <c r="V124" s="13"/>
      <c r="X124" s="13"/>
      <c r="Z124" s="1"/>
      <c r="AB124" s="13"/>
      <c r="AD124" s="13"/>
      <c r="AG124" s="1"/>
    </row>
    <row r="125" spans="1:33" s="59" customFormat="1" ht="15">
      <c r="A125" s="1"/>
      <c r="B125" s="1"/>
      <c r="C125" s="1"/>
      <c r="D125" s="1"/>
      <c r="E125" s="1"/>
      <c r="F125" s="1"/>
      <c r="H125" s="1"/>
      <c r="J125" s="13"/>
      <c r="L125" s="13"/>
      <c r="N125" s="1"/>
      <c r="P125" s="13"/>
      <c r="R125" s="13"/>
      <c r="T125" s="1"/>
      <c r="V125" s="13"/>
      <c r="X125" s="13"/>
      <c r="Z125" s="1"/>
      <c r="AB125" s="13"/>
      <c r="AD125" s="13"/>
      <c r="AG125" s="1"/>
    </row>
    <row r="126" spans="1:33" s="59" customFormat="1" ht="15">
      <c r="A126" s="1"/>
      <c r="B126" s="1"/>
      <c r="C126" s="1"/>
      <c r="D126" s="1"/>
      <c r="E126" s="1"/>
      <c r="F126" s="1"/>
      <c r="H126" s="1"/>
      <c r="J126" s="13"/>
      <c r="L126" s="13"/>
      <c r="N126" s="1"/>
      <c r="P126" s="13"/>
      <c r="R126" s="13"/>
      <c r="T126" s="1"/>
      <c r="V126" s="13"/>
      <c r="X126" s="13"/>
      <c r="Z126" s="1"/>
      <c r="AB126" s="13"/>
      <c r="AD126" s="13"/>
      <c r="AG126" s="1"/>
    </row>
    <row r="127" spans="1:33" s="59" customFormat="1" ht="15">
      <c r="A127" s="1"/>
      <c r="B127" s="1"/>
      <c r="C127" s="1"/>
      <c r="D127" s="1"/>
      <c r="E127" s="1"/>
      <c r="F127" s="1"/>
      <c r="H127" s="1"/>
      <c r="J127" s="13"/>
      <c r="L127" s="13"/>
      <c r="N127" s="1"/>
      <c r="P127" s="13"/>
      <c r="R127" s="13"/>
      <c r="T127" s="1"/>
      <c r="V127" s="13"/>
      <c r="X127" s="13"/>
      <c r="Z127" s="1"/>
      <c r="AB127" s="13"/>
      <c r="AD127" s="13"/>
      <c r="AG127" s="1"/>
    </row>
    <row r="128" spans="1:33" s="59" customFormat="1" ht="15">
      <c r="A128" s="1"/>
      <c r="B128" s="1"/>
      <c r="C128" s="1"/>
      <c r="D128" s="1"/>
      <c r="E128" s="1"/>
      <c r="F128" s="1"/>
      <c r="H128" s="1"/>
      <c r="J128" s="13"/>
      <c r="L128" s="13"/>
      <c r="N128" s="1"/>
      <c r="P128" s="13"/>
      <c r="R128" s="13"/>
      <c r="T128" s="1"/>
      <c r="V128" s="13"/>
      <c r="X128" s="13"/>
      <c r="Z128" s="1"/>
      <c r="AB128" s="13"/>
      <c r="AD128" s="13"/>
      <c r="AG128" s="1"/>
    </row>
    <row r="129" spans="1:33" s="59" customFormat="1" ht="15">
      <c r="A129" s="1"/>
      <c r="B129" s="1"/>
      <c r="C129" s="1"/>
      <c r="D129" s="1"/>
      <c r="E129" s="1"/>
      <c r="F129" s="1"/>
      <c r="H129" s="1"/>
      <c r="J129" s="13"/>
      <c r="L129" s="13"/>
      <c r="N129" s="1"/>
      <c r="P129" s="13"/>
      <c r="R129" s="13"/>
      <c r="T129" s="1"/>
      <c r="V129" s="13"/>
      <c r="X129" s="13"/>
      <c r="Z129" s="1"/>
      <c r="AB129" s="13"/>
      <c r="AD129" s="13"/>
      <c r="AG129" s="1"/>
    </row>
    <row r="130" spans="1:33" s="59" customFormat="1" ht="15">
      <c r="A130" s="1"/>
      <c r="B130" s="1"/>
      <c r="C130" s="1"/>
      <c r="D130" s="1"/>
      <c r="E130" s="1"/>
      <c r="F130" s="1"/>
      <c r="H130" s="1"/>
      <c r="J130" s="13"/>
      <c r="L130" s="13"/>
      <c r="N130" s="1"/>
      <c r="P130" s="13"/>
      <c r="R130" s="13"/>
      <c r="T130" s="1"/>
      <c r="V130" s="13"/>
      <c r="X130" s="13"/>
      <c r="Z130" s="1"/>
      <c r="AB130" s="13"/>
      <c r="AD130" s="13"/>
      <c r="AG130" s="1"/>
    </row>
    <row r="131" spans="1:33" s="59" customFormat="1" ht="15">
      <c r="A131" s="1"/>
      <c r="B131" s="1"/>
      <c r="C131" s="1"/>
      <c r="D131" s="1"/>
      <c r="E131" s="1"/>
      <c r="F131" s="1"/>
      <c r="H131" s="1"/>
      <c r="J131" s="13"/>
      <c r="L131" s="13"/>
      <c r="N131" s="1"/>
      <c r="P131" s="13"/>
      <c r="R131" s="13"/>
      <c r="T131" s="1"/>
      <c r="V131" s="13"/>
      <c r="X131" s="13"/>
      <c r="Z131" s="1"/>
      <c r="AB131" s="13"/>
      <c r="AD131" s="13"/>
      <c r="AG131" s="1"/>
    </row>
    <row r="132" spans="1:33" s="59" customFormat="1" ht="15">
      <c r="A132" s="1"/>
      <c r="B132" s="1"/>
      <c r="C132" s="1"/>
      <c r="D132" s="1"/>
      <c r="E132" s="1"/>
      <c r="F132" s="1"/>
      <c r="H132" s="1"/>
      <c r="J132" s="13"/>
      <c r="L132" s="13"/>
      <c r="N132" s="1"/>
      <c r="P132" s="13"/>
      <c r="R132" s="13"/>
      <c r="T132" s="1"/>
      <c r="V132" s="13"/>
      <c r="X132" s="13"/>
      <c r="Z132" s="1"/>
      <c r="AB132" s="13"/>
      <c r="AD132" s="13"/>
      <c r="AG132" s="1"/>
    </row>
    <row r="133" spans="1:33" s="59" customFormat="1" ht="15">
      <c r="A133" s="1"/>
      <c r="B133" s="1"/>
      <c r="C133" s="1"/>
      <c r="D133" s="1"/>
      <c r="E133" s="1"/>
      <c r="F133" s="1"/>
      <c r="H133" s="1"/>
      <c r="J133" s="13"/>
      <c r="L133" s="13"/>
      <c r="N133" s="1"/>
      <c r="P133" s="13"/>
      <c r="R133" s="13"/>
      <c r="T133" s="1"/>
      <c r="V133" s="13"/>
      <c r="X133" s="13"/>
      <c r="Z133" s="1"/>
      <c r="AB133" s="13"/>
      <c r="AD133" s="13"/>
      <c r="AG133" s="1"/>
    </row>
    <row r="134" spans="1:33" s="59" customFormat="1" ht="15">
      <c r="A134" s="1"/>
      <c r="B134" s="1"/>
      <c r="C134" s="1"/>
      <c r="D134" s="1"/>
      <c r="E134" s="1"/>
      <c r="F134" s="1"/>
      <c r="H134" s="1"/>
      <c r="J134" s="13"/>
      <c r="L134" s="13"/>
      <c r="N134" s="1"/>
      <c r="P134" s="13"/>
      <c r="R134" s="13"/>
      <c r="T134" s="1"/>
      <c r="V134" s="13"/>
      <c r="X134" s="13"/>
      <c r="Z134" s="1"/>
      <c r="AB134" s="13"/>
      <c r="AD134" s="13"/>
      <c r="AG134" s="1"/>
    </row>
    <row r="135" spans="1:33" s="59" customFormat="1" ht="15">
      <c r="A135" s="1"/>
      <c r="B135" s="1"/>
      <c r="C135" s="1"/>
      <c r="D135" s="1"/>
      <c r="E135" s="1"/>
      <c r="F135" s="1"/>
      <c r="H135" s="1"/>
      <c r="J135" s="13"/>
      <c r="L135" s="13"/>
      <c r="N135" s="1"/>
      <c r="P135" s="13"/>
      <c r="R135" s="13"/>
      <c r="T135" s="1"/>
      <c r="V135" s="13"/>
      <c r="X135" s="13"/>
      <c r="Z135" s="1"/>
      <c r="AB135" s="13"/>
      <c r="AD135" s="13"/>
      <c r="AG135" s="1"/>
    </row>
    <row r="136" spans="1:33" s="59" customFormat="1" ht="15">
      <c r="A136" s="1"/>
      <c r="B136" s="1"/>
      <c r="C136" s="1"/>
      <c r="D136" s="1"/>
      <c r="E136" s="1"/>
      <c r="F136" s="1"/>
      <c r="H136" s="1"/>
      <c r="J136" s="13"/>
      <c r="L136" s="13"/>
      <c r="N136" s="1"/>
      <c r="P136" s="13"/>
      <c r="R136" s="13"/>
      <c r="T136" s="1"/>
      <c r="V136" s="13"/>
      <c r="X136" s="13"/>
      <c r="Z136" s="1"/>
      <c r="AB136" s="13"/>
      <c r="AD136" s="13"/>
      <c r="AG136" s="1"/>
    </row>
    <row r="137" spans="1:33" s="59" customFormat="1" ht="15">
      <c r="A137" s="1"/>
      <c r="B137" s="1"/>
      <c r="C137" s="1"/>
      <c r="D137" s="1"/>
      <c r="E137" s="1"/>
      <c r="F137" s="1"/>
      <c r="H137" s="1"/>
      <c r="J137" s="13"/>
      <c r="L137" s="13"/>
      <c r="N137" s="1"/>
      <c r="P137" s="13"/>
      <c r="R137" s="13"/>
      <c r="T137" s="1"/>
      <c r="V137" s="13"/>
      <c r="X137" s="13"/>
      <c r="Z137" s="1"/>
      <c r="AB137" s="13"/>
      <c r="AD137" s="13"/>
      <c r="AG137" s="1"/>
    </row>
    <row r="138" spans="1:33" s="59" customFormat="1" ht="15">
      <c r="A138" s="1"/>
      <c r="B138" s="1"/>
      <c r="C138" s="1"/>
      <c r="D138" s="1"/>
      <c r="E138" s="1"/>
      <c r="F138" s="1"/>
      <c r="H138" s="1"/>
      <c r="J138" s="13"/>
      <c r="L138" s="13"/>
      <c r="N138" s="1"/>
      <c r="P138" s="13"/>
      <c r="R138" s="13"/>
      <c r="T138" s="1"/>
      <c r="V138" s="13"/>
      <c r="X138" s="13"/>
      <c r="Z138" s="1"/>
      <c r="AB138" s="13"/>
      <c r="AD138" s="13"/>
      <c r="AG138" s="1"/>
    </row>
    <row r="139" spans="1:33" s="59" customFormat="1" ht="15">
      <c r="A139" s="1"/>
      <c r="B139" s="1"/>
      <c r="C139" s="1"/>
      <c r="D139" s="1"/>
      <c r="E139" s="1"/>
      <c r="F139" s="1"/>
      <c r="H139" s="1"/>
      <c r="J139" s="13"/>
      <c r="L139" s="13"/>
      <c r="N139" s="1"/>
      <c r="P139" s="13"/>
      <c r="R139" s="13"/>
      <c r="T139" s="1"/>
      <c r="V139" s="13"/>
      <c r="X139" s="13"/>
      <c r="Z139" s="1"/>
      <c r="AB139" s="13"/>
      <c r="AD139" s="13"/>
      <c r="AG139" s="1"/>
    </row>
    <row r="140" spans="1:33" s="59" customFormat="1" ht="15">
      <c r="A140" s="1"/>
      <c r="B140" s="1"/>
      <c r="C140" s="1"/>
      <c r="D140" s="1"/>
      <c r="E140" s="1"/>
      <c r="F140" s="1"/>
      <c r="H140" s="1"/>
      <c r="J140" s="13"/>
      <c r="L140" s="13"/>
      <c r="N140" s="1"/>
      <c r="P140" s="13"/>
      <c r="R140" s="13"/>
      <c r="T140" s="1"/>
      <c r="V140" s="13"/>
      <c r="X140" s="13"/>
      <c r="Z140" s="1"/>
      <c r="AB140" s="13"/>
      <c r="AD140" s="13"/>
      <c r="AG140" s="1"/>
    </row>
    <row r="141" spans="1:33" s="59" customFormat="1" ht="15">
      <c r="A141" s="1"/>
      <c r="B141" s="1"/>
      <c r="C141" s="1"/>
      <c r="D141" s="1"/>
      <c r="E141" s="1"/>
      <c r="F141" s="1"/>
      <c r="H141" s="1"/>
      <c r="J141" s="13"/>
      <c r="L141" s="13"/>
      <c r="N141" s="1"/>
      <c r="P141" s="13"/>
      <c r="R141" s="13"/>
      <c r="T141" s="1"/>
      <c r="V141" s="13"/>
      <c r="X141" s="13"/>
      <c r="Z141" s="1"/>
      <c r="AB141" s="13"/>
      <c r="AD141" s="13"/>
      <c r="AG141" s="1"/>
    </row>
    <row r="142" spans="1:33" s="59" customFormat="1" ht="15">
      <c r="A142" s="1"/>
      <c r="B142" s="1"/>
      <c r="C142" s="1"/>
      <c r="D142" s="1"/>
      <c r="E142" s="1"/>
      <c r="F142" s="1"/>
      <c r="H142" s="1"/>
      <c r="J142" s="13"/>
      <c r="L142" s="13"/>
      <c r="N142" s="1"/>
      <c r="P142" s="13"/>
      <c r="R142" s="13"/>
      <c r="T142" s="1"/>
      <c r="V142" s="13"/>
      <c r="X142" s="13"/>
      <c r="Z142" s="1"/>
      <c r="AB142" s="13"/>
      <c r="AD142" s="13"/>
      <c r="AG142" s="1"/>
    </row>
    <row r="143" spans="1:33" s="59" customFormat="1" ht="15">
      <c r="A143" s="1"/>
      <c r="B143" s="1"/>
      <c r="C143" s="1"/>
      <c r="D143" s="1"/>
      <c r="E143" s="1"/>
      <c r="F143" s="1"/>
      <c r="H143" s="1"/>
      <c r="J143" s="13"/>
      <c r="L143" s="13"/>
      <c r="N143" s="1"/>
      <c r="P143" s="13"/>
      <c r="R143" s="13"/>
      <c r="T143" s="1"/>
      <c r="V143" s="13"/>
      <c r="X143" s="13"/>
      <c r="Z143" s="1"/>
      <c r="AB143" s="13"/>
      <c r="AD143" s="13"/>
      <c r="AG143" s="1"/>
    </row>
    <row r="144" spans="1:33" s="59" customFormat="1" ht="15">
      <c r="A144" s="1"/>
      <c r="B144" s="1"/>
      <c r="C144" s="1"/>
      <c r="D144" s="1"/>
      <c r="E144" s="1"/>
      <c r="F144" s="1"/>
      <c r="H144" s="1"/>
      <c r="J144" s="13"/>
      <c r="L144" s="13"/>
      <c r="N144" s="1"/>
      <c r="P144" s="13"/>
      <c r="R144" s="13"/>
      <c r="T144" s="1"/>
      <c r="V144" s="13"/>
      <c r="X144" s="13"/>
      <c r="Z144" s="1"/>
      <c r="AB144" s="13"/>
      <c r="AD144" s="13"/>
      <c r="AG144" s="1"/>
    </row>
    <row r="145" spans="1:33" s="59" customFormat="1" ht="15">
      <c r="A145" s="1"/>
      <c r="B145" s="1"/>
      <c r="C145" s="1"/>
      <c r="D145" s="1"/>
      <c r="E145" s="1"/>
      <c r="F145" s="1"/>
      <c r="H145" s="1"/>
      <c r="J145" s="13"/>
      <c r="L145" s="13"/>
      <c r="N145" s="1"/>
      <c r="P145" s="13"/>
      <c r="R145" s="13"/>
      <c r="T145" s="1"/>
      <c r="V145" s="13"/>
      <c r="X145" s="13"/>
      <c r="Z145" s="1"/>
      <c r="AB145" s="13"/>
      <c r="AD145" s="13"/>
      <c r="AG145" s="1"/>
    </row>
    <row r="146" spans="1:33" s="59" customFormat="1" ht="15">
      <c r="A146" s="1"/>
      <c r="B146" s="1"/>
      <c r="C146" s="1"/>
      <c r="D146" s="1"/>
      <c r="E146" s="1"/>
      <c r="F146" s="1"/>
      <c r="H146" s="1"/>
      <c r="J146" s="13"/>
      <c r="L146" s="13"/>
      <c r="N146" s="1"/>
      <c r="P146" s="13"/>
      <c r="R146" s="13"/>
      <c r="T146" s="1"/>
      <c r="V146" s="13"/>
      <c r="X146" s="13"/>
      <c r="Z146" s="1"/>
      <c r="AB146" s="13"/>
      <c r="AD146" s="13"/>
      <c r="AG146" s="1"/>
    </row>
    <row r="147" spans="1:33" s="59" customFormat="1" ht="15">
      <c r="A147" s="1"/>
      <c r="B147" s="1"/>
      <c r="C147" s="1"/>
      <c r="D147" s="1"/>
      <c r="E147" s="1"/>
      <c r="F147" s="1"/>
      <c r="H147" s="1"/>
      <c r="J147" s="13"/>
      <c r="L147" s="13"/>
      <c r="N147" s="1"/>
      <c r="P147" s="13"/>
      <c r="R147" s="13"/>
      <c r="T147" s="1"/>
      <c r="V147" s="13"/>
      <c r="X147" s="13"/>
      <c r="Z147" s="1"/>
      <c r="AB147" s="13"/>
      <c r="AD147" s="13"/>
      <c r="AG147" s="1"/>
    </row>
    <row r="148" spans="1:33" s="59" customFormat="1" ht="15">
      <c r="A148" s="1"/>
      <c r="B148" s="1"/>
      <c r="C148" s="1"/>
      <c r="D148" s="1"/>
      <c r="E148" s="1"/>
      <c r="F148" s="1"/>
      <c r="H148" s="1"/>
      <c r="J148" s="13"/>
      <c r="L148" s="13"/>
      <c r="N148" s="1"/>
      <c r="P148" s="13"/>
      <c r="R148" s="13"/>
      <c r="T148" s="1"/>
      <c r="V148" s="13"/>
      <c r="X148" s="13"/>
      <c r="Z148" s="1"/>
      <c r="AB148" s="13"/>
      <c r="AD148" s="13"/>
      <c r="AG148" s="1"/>
    </row>
    <row r="149" spans="1:33" s="59" customFormat="1" ht="15">
      <c r="A149" s="1"/>
      <c r="B149" s="1"/>
      <c r="C149" s="1"/>
      <c r="D149" s="1"/>
      <c r="E149" s="1"/>
      <c r="F149" s="1"/>
      <c r="H149" s="1"/>
      <c r="J149" s="13"/>
      <c r="L149" s="13"/>
      <c r="N149" s="1"/>
      <c r="P149" s="13"/>
      <c r="R149" s="13"/>
      <c r="T149" s="1"/>
      <c r="V149" s="13"/>
      <c r="X149" s="13"/>
      <c r="Z149" s="1"/>
      <c r="AB149" s="13"/>
      <c r="AD149" s="13"/>
      <c r="AG149" s="1"/>
    </row>
    <row r="150" spans="1:33" s="59" customFormat="1" ht="15">
      <c r="A150" s="1"/>
      <c r="B150" s="1"/>
      <c r="C150" s="1"/>
      <c r="D150" s="1"/>
      <c r="E150" s="1"/>
      <c r="F150" s="1"/>
      <c r="H150" s="1"/>
      <c r="J150" s="13"/>
      <c r="L150" s="13"/>
      <c r="N150" s="1"/>
      <c r="P150" s="13"/>
      <c r="R150" s="13"/>
      <c r="T150" s="1"/>
      <c r="V150" s="13"/>
      <c r="X150" s="13"/>
      <c r="Z150" s="1"/>
      <c r="AB150" s="13"/>
      <c r="AD150" s="13"/>
      <c r="AG150" s="1"/>
    </row>
    <row r="151" spans="1:33" s="59" customFormat="1" ht="15">
      <c r="A151" s="1"/>
      <c r="B151" s="1"/>
      <c r="C151" s="1"/>
      <c r="D151" s="1"/>
      <c r="E151" s="1"/>
      <c r="F151" s="1"/>
      <c r="H151" s="1"/>
      <c r="J151" s="13"/>
      <c r="L151" s="13"/>
      <c r="N151" s="1"/>
      <c r="P151" s="13"/>
      <c r="R151" s="13"/>
      <c r="T151" s="1"/>
      <c r="V151" s="13"/>
      <c r="X151" s="13"/>
      <c r="Z151" s="1"/>
      <c r="AB151" s="13"/>
      <c r="AD151" s="13"/>
      <c r="AG151" s="1"/>
    </row>
    <row r="152" spans="1:33" s="59" customFormat="1" ht="15">
      <c r="A152" s="1"/>
      <c r="B152" s="1"/>
      <c r="C152" s="1"/>
      <c r="D152" s="1"/>
      <c r="E152" s="1"/>
      <c r="F152" s="1"/>
      <c r="H152" s="1"/>
      <c r="J152" s="13"/>
      <c r="L152" s="13"/>
      <c r="N152" s="1"/>
      <c r="P152" s="13"/>
      <c r="R152" s="13"/>
      <c r="T152" s="1"/>
      <c r="V152" s="13"/>
      <c r="X152" s="13"/>
      <c r="Z152" s="1"/>
      <c r="AB152" s="13"/>
      <c r="AD152" s="13"/>
      <c r="AG152" s="1"/>
    </row>
    <row r="153" spans="1:33" s="59" customFormat="1" ht="15">
      <c r="A153" s="1"/>
      <c r="B153" s="1"/>
      <c r="C153" s="1"/>
      <c r="D153" s="1"/>
      <c r="E153" s="1"/>
      <c r="F153" s="1"/>
      <c r="H153" s="1"/>
      <c r="J153" s="13"/>
      <c r="L153" s="13"/>
      <c r="N153" s="1"/>
      <c r="P153" s="13"/>
      <c r="R153" s="13"/>
      <c r="T153" s="1"/>
      <c r="V153" s="13"/>
      <c r="X153" s="13"/>
      <c r="Z153" s="1"/>
      <c r="AB153" s="13"/>
      <c r="AD153" s="13"/>
      <c r="AG153" s="1"/>
    </row>
    <row r="154" spans="1:33" s="59" customFormat="1" ht="15">
      <c r="A154" s="1"/>
      <c r="B154" s="1"/>
      <c r="C154" s="1"/>
      <c r="D154" s="1"/>
      <c r="E154" s="1"/>
      <c r="F154" s="1"/>
      <c r="H154" s="1"/>
      <c r="J154" s="13"/>
      <c r="L154" s="13"/>
      <c r="N154" s="1"/>
      <c r="P154" s="13"/>
      <c r="R154" s="13"/>
      <c r="T154" s="1"/>
      <c r="V154" s="13"/>
      <c r="X154" s="13"/>
      <c r="Z154" s="1"/>
      <c r="AB154" s="13"/>
      <c r="AD154" s="13"/>
      <c r="AG154" s="1"/>
    </row>
    <row r="155" spans="1:33" s="59" customFormat="1" ht="15">
      <c r="A155" s="1"/>
      <c r="B155" s="1"/>
      <c r="C155" s="1"/>
      <c r="D155" s="1"/>
      <c r="E155" s="1"/>
      <c r="F155" s="1"/>
      <c r="H155" s="1"/>
      <c r="J155" s="13"/>
      <c r="L155" s="13"/>
      <c r="N155" s="1"/>
      <c r="P155" s="13"/>
      <c r="R155" s="13"/>
      <c r="T155" s="1"/>
      <c r="V155" s="13"/>
      <c r="X155" s="13"/>
      <c r="Z155" s="1"/>
      <c r="AB155" s="13"/>
      <c r="AD155" s="13"/>
      <c r="AG155" s="1"/>
    </row>
    <row r="156" spans="1:33" s="59" customFormat="1" ht="15">
      <c r="A156" s="1"/>
      <c r="B156" s="1"/>
      <c r="C156" s="1"/>
      <c r="D156" s="1"/>
      <c r="E156" s="1"/>
      <c r="F156" s="1"/>
      <c r="H156" s="1"/>
      <c r="J156" s="13"/>
      <c r="L156" s="13"/>
      <c r="N156" s="1"/>
      <c r="P156" s="13"/>
      <c r="R156" s="13"/>
      <c r="T156" s="1"/>
      <c r="V156" s="13"/>
      <c r="X156" s="13"/>
      <c r="Z156" s="1"/>
      <c r="AB156" s="13"/>
      <c r="AD156" s="13"/>
      <c r="AG156" s="1"/>
    </row>
    <row r="157" spans="1:33" s="59" customFormat="1" ht="15">
      <c r="A157" s="1"/>
      <c r="B157" s="1"/>
      <c r="C157" s="1"/>
      <c r="D157" s="1"/>
      <c r="E157" s="1"/>
      <c r="F157" s="1"/>
      <c r="H157" s="1"/>
      <c r="J157" s="13"/>
      <c r="L157" s="13"/>
      <c r="N157" s="1"/>
      <c r="P157" s="13"/>
      <c r="R157" s="13"/>
      <c r="T157" s="1"/>
      <c r="V157" s="13"/>
      <c r="X157" s="13"/>
      <c r="Z157" s="1"/>
      <c r="AB157" s="13"/>
      <c r="AD157" s="13"/>
      <c r="AG157" s="1"/>
    </row>
    <row r="158" spans="1:33" s="59" customFormat="1" ht="15">
      <c r="A158" s="1"/>
      <c r="B158" s="1"/>
      <c r="C158" s="1"/>
      <c r="D158" s="1"/>
      <c r="E158" s="1"/>
      <c r="F158" s="1"/>
      <c r="H158" s="1"/>
      <c r="J158" s="13"/>
      <c r="L158" s="13"/>
      <c r="N158" s="1"/>
      <c r="P158" s="13"/>
      <c r="R158" s="13"/>
      <c r="T158" s="1"/>
      <c r="V158" s="13"/>
      <c r="X158" s="13"/>
      <c r="Z158" s="1"/>
      <c r="AB158" s="13"/>
      <c r="AD158" s="13"/>
      <c r="AG158" s="1"/>
    </row>
    <row r="159" spans="1:33" s="59" customFormat="1" ht="15">
      <c r="A159" s="1"/>
      <c r="B159" s="1"/>
      <c r="C159" s="1"/>
      <c r="D159" s="1"/>
      <c r="E159" s="1"/>
      <c r="F159" s="1"/>
      <c r="H159" s="1"/>
      <c r="J159" s="13"/>
      <c r="L159" s="13"/>
      <c r="N159" s="1"/>
      <c r="P159" s="13"/>
      <c r="R159" s="13"/>
      <c r="T159" s="1"/>
      <c r="V159" s="13"/>
      <c r="X159" s="13"/>
      <c r="Z159" s="1"/>
      <c r="AB159" s="13"/>
      <c r="AD159" s="13"/>
      <c r="AG159" s="1"/>
    </row>
    <row r="160" spans="1:33" s="59" customFormat="1" ht="15">
      <c r="A160" s="1"/>
      <c r="B160" s="1"/>
      <c r="C160" s="1"/>
      <c r="D160" s="1"/>
      <c r="E160" s="1"/>
      <c r="F160" s="1"/>
      <c r="H160" s="1"/>
      <c r="J160" s="13"/>
      <c r="L160" s="13"/>
      <c r="N160" s="1"/>
      <c r="P160" s="13"/>
      <c r="R160" s="13"/>
      <c r="T160" s="1"/>
      <c r="V160" s="13"/>
      <c r="X160" s="13"/>
      <c r="Z160" s="1"/>
      <c r="AB160" s="13"/>
      <c r="AD160" s="13"/>
      <c r="AG160" s="1"/>
    </row>
    <row r="161" spans="1:33" s="59" customFormat="1" ht="15">
      <c r="A161" s="1"/>
      <c r="B161" s="1"/>
      <c r="C161" s="1"/>
      <c r="D161" s="1"/>
      <c r="E161" s="1"/>
      <c r="F161" s="1"/>
      <c r="H161" s="1"/>
      <c r="J161" s="13"/>
      <c r="L161" s="13"/>
      <c r="N161" s="1"/>
      <c r="P161" s="13"/>
      <c r="R161" s="13"/>
      <c r="T161" s="1"/>
      <c r="V161" s="13"/>
      <c r="X161" s="13"/>
      <c r="Z161" s="1"/>
      <c r="AB161" s="13"/>
      <c r="AD161" s="13"/>
      <c r="AG161" s="1"/>
    </row>
    <row r="162" spans="1:33" s="59" customFormat="1" ht="15">
      <c r="A162" s="1"/>
      <c r="B162" s="1"/>
      <c r="C162" s="1"/>
      <c r="D162" s="1"/>
      <c r="E162" s="1"/>
      <c r="F162" s="1"/>
      <c r="H162" s="1"/>
      <c r="J162" s="13"/>
      <c r="L162" s="13"/>
      <c r="N162" s="1"/>
      <c r="P162" s="13"/>
      <c r="R162" s="13"/>
      <c r="T162" s="1"/>
      <c r="V162" s="13"/>
      <c r="X162" s="13"/>
      <c r="Z162" s="1"/>
      <c r="AB162" s="13"/>
      <c r="AD162" s="13"/>
      <c r="AG162" s="1"/>
    </row>
    <row r="163" spans="1:33" s="59" customFormat="1" ht="15">
      <c r="A163" s="1"/>
      <c r="B163" s="1"/>
      <c r="C163" s="1"/>
      <c r="D163" s="1"/>
      <c r="E163" s="1"/>
      <c r="F163" s="1"/>
      <c r="H163" s="1"/>
      <c r="J163" s="13"/>
      <c r="L163" s="13"/>
      <c r="N163" s="1"/>
      <c r="P163" s="13"/>
      <c r="R163" s="13"/>
      <c r="T163" s="1"/>
      <c r="V163" s="13"/>
      <c r="X163" s="13"/>
      <c r="Z163" s="1"/>
      <c r="AB163" s="13"/>
      <c r="AD163" s="13"/>
      <c r="AG163" s="1"/>
    </row>
    <row r="164" spans="1:33" s="59" customFormat="1" ht="15">
      <c r="A164" s="1"/>
      <c r="B164" s="1"/>
      <c r="C164" s="1"/>
      <c r="D164" s="1"/>
      <c r="E164" s="1"/>
      <c r="F164" s="1"/>
      <c r="H164" s="1"/>
      <c r="J164" s="13"/>
      <c r="L164" s="13"/>
      <c r="N164" s="1"/>
      <c r="P164" s="13"/>
      <c r="R164" s="13"/>
      <c r="T164" s="1"/>
      <c r="V164" s="13"/>
      <c r="X164" s="13"/>
      <c r="Z164" s="1"/>
      <c r="AB164" s="13"/>
      <c r="AD164" s="13"/>
      <c r="AG164" s="1"/>
    </row>
    <row r="165" spans="1:33" s="59" customFormat="1" ht="15">
      <c r="A165" s="1"/>
      <c r="B165" s="1"/>
      <c r="C165" s="1"/>
      <c r="D165" s="1"/>
      <c r="E165" s="1"/>
      <c r="F165" s="1"/>
      <c r="H165" s="1"/>
      <c r="J165" s="13"/>
      <c r="L165" s="13"/>
      <c r="N165" s="1"/>
      <c r="P165" s="13"/>
      <c r="R165" s="13"/>
      <c r="T165" s="1"/>
      <c r="V165" s="13"/>
      <c r="X165" s="13"/>
      <c r="Z165" s="1"/>
      <c r="AB165" s="13"/>
      <c r="AD165" s="13"/>
      <c r="AG165" s="1"/>
    </row>
    <row r="166" spans="1:33" s="59" customFormat="1" ht="15">
      <c r="A166" s="1"/>
      <c r="B166" s="1"/>
      <c r="C166" s="1"/>
      <c r="D166" s="1"/>
      <c r="E166" s="1"/>
      <c r="F166" s="1"/>
      <c r="H166" s="1"/>
      <c r="J166" s="13"/>
      <c r="L166" s="13"/>
      <c r="N166" s="1"/>
      <c r="P166" s="13"/>
      <c r="R166" s="13"/>
      <c r="T166" s="1"/>
      <c r="V166" s="13"/>
      <c r="X166" s="13"/>
      <c r="Z166" s="1"/>
      <c r="AB166" s="13"/>
      <c r="AD166" s="13"/>
      <c r="AG166" s="1"/>
    </row>
    <row r="167" spans="1:33" s="59" customFormat="1" ht="15">
      <c r="A167" s="1"/>
      <c r="B167" s="1"/>
      <c r="C167" s="1"/>
      <c r="D167" s="1"/>
      <c r="E167" s="1"/>
      <c r="F167" s="1"/>
      <c r="H167" s="1"/>
      <c r="J167" s="13"/>
      <c r="L167" s="13"/>
      <c r="N167" s="1"/>
      <c r="P167" s="13"/>
      <c r="R167" s="13"/>
      <c r="T167" s="1"/>
      <c r="V167" s="13"/>
      <c r="X167" s="13"/>
      <c r="Z167" s="1"/>
      <c r="AB167" s="13"/>
      <c r="AD167" s="13"/>
      <c r="AG167" s="1"/>
    </row>
    <row r="168" spans="1:33" s="59" customFormat="1" ht="15">
      <c r="A168" s="1"/>
      <c r="B168" s="1"/>
      <c r="C168" s="1"/>
      <c r="D168" s="1"/>
      <c r="E168" s="1"/>
      <c r="F168" s="1"/>
      <c r="H168" s="1"/>
      <c r="J168" s="13"/>
      <c r="L168" s="13"/>
      <c r="N168" s="1"/>
      <c r="P168" s="13"/>
      <c r="R168" s="13"/>
      <c r="T168" s="1"/>
      <c r="V168" s="13"/>
      <c r="X168" s="13"/>
      <c r="Z168" s="1"/>
      <c r="AB168" s="13"/>
      <c r="AD168" s="13"/>
      <c r="AG168" s="1"/>
    </row>
    <row r="169" spans="1:33" s="59" customFormat="1" ht="15">
      <c r="A169" s="1"/>
      <c r="B169" s="1"/>
      <c r="C169" s="1"/>
      <c r="D169" s="1"/>
      <c r="E169" s="1"/>
      <c r="F169" s="1"/>
      <c r="H169" s="1"/>
      <c r="J169" s="13"/>
      <c r="L169" s="13"/>
      <c r="N169" s="1"/>
      <c r="P169" s="13"/>
      <c r="R169" s="13"/>
      <c r="T169" s="1"/>
      <c r="V169" s="13"/>
      <c r="X169" s="13"/>
      <c r="Z169" s="1"/>
      <c r="AB169" s="13"/>
      <c r="AD169" s="13"/>
      <c r="AG169" s="1"/>
    </row>
    <row r="170" spans="1:33" s="59" customFormat="1" ht="15">
      <c r="A170" s="1"/>
      <c r="B170" s="1"/>
      <c r="C170" s="1"/>
      <c r="D170" s="1"/>
      <c r="E170" s="1"/>
      <c r="F170" s="1"/>
      <c r="H170" s="1"/>
      <c r="J170" s="13"/>
      <c r="L170" s="13"/>
      <c r="N170" s="1"/>
      <c r="P170" s="13"/>
      <c r="R170" s="13"/>
      <c r="T170" s="1"/>
      <c r="V170" s="13"/>
      <c r="X170" s="13"/>
      <c r="Z170" s="1"/>
      <c r="AB170" s="13"/>
      <c r="AD170" s="13"/>
      <c r="AG170" s="1"/>
    </row>
    <row r="171" spans="1:33" s="59" customFormat="1" ht="15">
      <c r="A171" s="1"/>
      <c r="B171" s="1"/>
      <c r="C171" s="1"/>
      <c r="D171" s="1"/>
      <c r="E171" s="1"/>
      <c r="F171" s="1"/>
      <c r="H171" s="1"/>
      <c r="J171" s="13"/>
      <c r="L171" s="13"/>
      <c r="N171" s="1"/>
      <c r="P171" s="13"/>
      <c r="R171" s="13"/>
      <c r="T171" s="1"/>
      <c r="V171" s="13"/>
      <c r="X171" s="13"/>
      <c r="Z171" s="1"/>
      <c r="AB171" s="13"/>
      <c r="AD171" s="13"/>
      <c r="AG171" s="1"/>
    </row>
    <row r="172" spans="1:33" s="59" customFormat="1" ht="15">
      <c r="A172" s="1"/>
      <c r="B172" s="1"/>
      <c r="C172" s="1"/>
      <c r="D172" s="1"/>
      <c r="E172" s="1"/>
      <c r="F172" s="1"/>
      <c r="H172" s="1"/>
      <c r="J172" s="13"/>
      <c r="L172" s="13"/>
      <c r="N172" s="1"/>
      <c r="P172" s="13"/>
      <c r="R172" s="13"/>
      <c r="T172" s="1"/>
      <c r="V172" s="13"/>
      <c r="X172" s="13"/>
      <c r="Z172" s="1"/>
      <c r="AB172" s="13"/>
      <c r="AD172" s="13"/>
      <c r="AG172" s="1"/>
    </row>
    <row r="173" spans="1:33" s="59" customFormat="1" ht="15">
      <c r="A173" s="1"/>
      <c r="B173" s="1"/>
      <c r="C173" s="1"/>
      <c r="D173" s="1"/>
      <c r="E173" s="1"/>
      <c r="F173" s="1"/>
      <c r="H173" s="1"/>
      <c r="J173" s="13"/>
      <c r="L173" s="13"/>
      <c r="N173" s="1"/>
      <c r="P173" s="13"/>
      <c r="R173" s="13"/>
      <c r="T173" s="1"/>
      <c r="V173" s="13"/>
      <c r="X173" s="13"/>
      <c r="Z173" s="1"/>
      <c r="AB173" s="13"/>
      <c r="AD173" s="13"/>
      <c r="AG173" s="1"/>
    </row>
    <row r="174" spans="1:33" s="59" customFormat="1" ht="15">
      <c r="A174" s="1"/>
      <c r="B174" s="1"/>
      <c r="C174" s="1"/>
      <c r="D174" s="1"/>
      <c r="E174" s="1"/>
      <c r="F174" s="1"/>
      <c r="H174" s="1"/>
      <c r="J174" s="13"/>
      <c r="L174" s="13"/>
      <c r="N174" s="1"/>
      <c r="P174" s="13"/>
      <c r="R174" s="13"/>
      <c r="T174" s="1"/>
      <c r="V174" s="13"/>
      <c r="X174" s="13"/>
      <c r="Z174" s="1"/>
      <c r="AB174" s="13"/>
      <c r="AD174" s="13"/>
      <c r="AG174" s="1"/>
    </row>
    <row r="175" spans="1:33" s="59" customFormat="1" ht="15">
      <c r="A175" s="1"/>
      <c r="B175" s="1"/>
      <c r="C175" s="1"/>
      <c r="D175" s="1"/>
      <c r="E175" s="1"/>
      <c r="F175" s="1"/>
      <c r="H175" s="1"/>
      <c r="J175" s="13"/>
      <c r="L175" s="13"/>
      <c r="N175" s="1"/>
      <c r="P175" s="13"/>
      <c r="R175" s="13"/>
      <c r="T175" s="1"/>
      <c r="V175" s="13"/>
      <c r="X175" s="13"/>
      <c r="Z175" s="1"/>
      <c r="AB175" s="13"/>
      <c r="AD175" s="13"/>
      <c r="AG175" s="1"/>
    </row>
    <row r="176" spans="1:33" s="59" customFormat="1" ht="15">
      <c r="A176" s="1"/>
      <c r="B176" s="1"/>
      <c r="C176" s="1"/>
      <c r="D176" s="1"/>
      <c r="E176" s="1"/>
      <c r="F176" s="1"/>
      <c r="H176" s="1"/>
      <c r="J176" s="13"/>
      <c r="L176" s="13"/>
      <c r="N176" s="1"/>
      <c r="P176" s="13"/>
      <c r="R176" s="13"/>
      <c r="T176" s="1"/>
      <c r="V176" s="13"/>
      <c r="X176" s="13"/>
      <c r="Z176" s="1"/>
      <c r="AB176" s="13"/>
      <c r="AD176" s="13"/>
      <c r="AG176" s="1"/>
    </row>
    <row r="177" spans="1:33" s="59" customFormat="1" ht="15">
      <c r="A177" s="1"/>
      <c r="B177" s="1"/>
      <c r="C177" s="1"/>
      <c r="D177" s="1"/>
      <c r="E177" s="1"/>
      <c r="F177" s="1"/>
      <c r="H177" s="1"/>
      <c r="J177" s="13"/>
      <c r="L177" s="13"/>
      <c r="N177" s="1"/>
      <c r="P177" s="13"/>
      <c r="R177" s="13"/>
      <c r="T177" s="1"/>
      <c r="V177" s="13"/>
      <c r="X177" s="13"/>
      <c r="Z177" s="1"/>
      <c r="AB177" s="13"/>
      <c r="AD177" s="13"/>
      <c r="AG177" s="1"/>
    </row>
    <row r="178" spans="1:33" s="59" customFormat="1" ht="15">
      <c r="A178" s="1"/>
      <c r="B178" s="1"/>
      <c r="C178" s="1"/>
      <c r="D178" s="1"/>
      <c r="E178" s="1"/>
      <c r="F178" s="1"/>
      <c r="H178" s="1"/>
      <c r="J178" s="13"/>
      <c r="L178" s="13"/>
      <c r="N178" s="1"/>
      <c r="P178" s="13"/>
      <c r="R178" s="13"/>
      <c r="T178" s="1"/>
      <c r="V178" s="13"/>
      <c r="X178" s="13"/>
      <c r="Z178" s="1"/>
      <c r="AB178" s="13"/>
      <c r="AD178" s="13"/>
      <c r="AG178" s="1"/>
    </row>
    <row r="179" spans="1:33" s="59" customFormat="1" ht="15">
      <c r="A179" s="1"/>
      <c r="B179" s="1"/>
      <c r="C179" s="1"/>
      <c r="D179" s="1"/>
      <c r="E179" s="1"/>
      <c r="F179" s="1"/>
      <c r="H179" s="1"/>
      <c r="J179" s="13"/>
      <c r="L179" s="13"/>
      <c r="N179" s="1"/>
      <c r="P179" s="13"/>
      <c r="R179" s="13"/>
      <c r="T179" s="1"/>
      <c r="V179" s="13"/>
      <c r="X179" s="13"/>
      <c r="Z179" s="1"/>
      <c r="AB179" s="13"/>
      <c r="AD179" s="13"/>
      <c r="AG179" s="1"/>
    </row>
    <row r="180" spans="1:33" s="59" customFormat="1" ht="15">
      <c r="A180" s="1"/>
      <c r="B180" s="1"/>
      <c r="C180" s="1"/>
      <c r="D180" s="1"/>
      <c r="E180" s="1"/>
      <c r="F180" s="1"/>
      <c r="H180" s="1"/>
      <c r="J180" s="13"/>
      <c r="L180" s="13"/>
      <c r="N180" s="1"/>
      <c r="P180" s="13"/>
      <c r="R180" s="13"/>
      <c r="T180" s="1"/>
      <c r="V180" s="13"/>
      <c r="X180" s="13"/>
      <c r="Z180" s="1"/>
      <c r="AB180" s="13"/>
      <c r="AD180" s="13"/>
      <c r="AG180" s="1"/>
    </row>
    <row r="181" spans="1:33" s="59" customFormat="1" ht="15">
      <c r="A181" s="1"/>
      <c r="B181" s="1"/>
      <c r="C181" s="1"/>
      <c r="D181" s="1"/>
      <c r="E181" s="1"/>
      <c r="F181" s="1"/>
      <c r="H181" s="1"/>
      <c r="J181" s="13"/>
      <c r="L181" s="13"/>
      <c r="N181" s="1"/>
      <c r="P181" s="13"/>
      <c r="R181" s="13"/>
      <c r="T181" s="1"/>
      <c r="V181" s="13"/>
      <c r="X181" s="13"/>
      <c r="Z181" s="1"/>
      <c r="AB181" s="13"/>
      <c r="AD181" s="13"/>
      <c r="AG181" s="1"/>
    </row>
    <row r="182" spans="1:33" s="59" customFormat="1" ht="15">
      <c r="A182" s="1"/>
      <c r="B182" s="1"/>
      <c r="C182" s="1"/>
      <c r="D182" s="1"/>
      <c r="E182" s="1"/>
      <c r="F182" s="1"/>
      <c r="H182" s="1"/>
      <c r="J182" s="13"/>
      <c r="L182" s="13"/>
      <c r="N182" s="1"/>
      <c r="P182" s="13"/>
      <c r="R182" s="13"/>
      <c r="T182" s="1"/>
      <c r="V182" s="13"/>
      <c r="X182" s="13"/>
      <c r="Z182" s="1"/>
      <c r="AB182" s="13"/>
      <c r="AD182" s="13"/>
      <c r="AG182" s="1"/>
    </row>
    <row r="183" spans="1:33" s="59" customFormat="1" ht="15">
      <c r="A183" s="1"/>
      <c r="B183" s="1"/>
      <c r="C183" s="1"/>
      <c r="D183" s="1"/>
      <c r="E183" s="1"/>
      <c r="F183" s="1"/>
      <c r="H183" s="1"/>
      <c r="J183" s="13"/>
      <c r="L183" s="13"/>
      <c r="N183" s="1"/>
      <c r="P183" s="13"/>
      <c r="R183" s="13"/>
      <c r="T183" s="1"/>
      <c r="V183" s="13"/>
      <c r="X183" s="13"/>
      <c r="Z183" s="1"/>
      <c r="AB183" s="13"/>
      <c r="AD183" s="13"/>
      <c r="AG183" s="1"/>
    </row>
    <row r="184" spans="1:33" s="59" customFormat="1" ht="15">
      <c r="A184" s="1"/>
      <c r="B184" s="1"/>
      <c r="C184" s="1"/>
      <c r="D184" s="1"/>
      <c r="E184" s="1"/>
      <c r="F184" s="1"/>
      <c r="H184" s="1"/>
      <c r="J184" s="13"/>
      <c r="L184" s="13"/>
      <c r="N184" s="1"/>
      <c r="P184" s="13"/>
      <c r="R184" s="13"/>
      <c r="T184" s="1"/>
      <c r="V184" s="13"/>
      <c r="X184" s="13"/>
      <c r="Z184" s="1"/>
      <c r="AB184" s="13"/>
      <c r="AD184" s="13"/>
      <c r="AG184" s="1"/>
    </row>
    <row r="185" spans="1:33" s="59" customFormat="1" ht="15">
      <c r="A185" s="1"/>
      <c r="B185" s="1"/>
      <c r="C185" s="1"/>
      <c r="D185" s="1"/>
      <c r="E185" s="1"/>
      <c r="F185" s="1"/>
      <c r="H185" s="1"/>
      <c r="J185" s="13"/>
      <c r="L185" s="13"/>
      <c r="N185" s="1"/>
      <c r="P185" s="13"/>
      <c r="R185" s="13"/>
      <c r="T185" s="1"/>
      <c r="V185" s="13"/>
      <c r="X185" s="13"/>
      <c r="Z185" s="1"/>
      <c r="AB185" s="13"/>
      <c r="AD185" s="13"/>
      <c r="AG185" s="1"/>
    </row>
    <row r="186" spans="1:33" s="59" customFormat="1" ht="15">
      <c r="A186" s="1"/>
      <c r="B186" s="1"/>
      <c r="C186" s="1"/>
      <c r="D186" s="1"/>
      <c r="E186" s="1"/>
      <c r="F186" s="1"/>
      <c r="H186" s="1"/>
      <c r="J186" s="13"/>
      <c r="L186" s="13"/>
      <c r="N186" s="1"/>
      <c r="P186" s="13"/>
      <c r="R186" s="13"/>
      <c r="T186" s="1"/>
      <c r="V186" s="13"/>
      <c r="X186" s="13"/>
      <c r="Z186" s="1"/>
      <c r="AB186" s="13"/>
      <c r="AD186" s="13"/>
      <c r="AG186" s="1"/>
    </row>
    <row r="187" spans="1:33" s="59" customFormat="1" ht="15">
      <c r="A187" s="1"/>
      <c r="B187" s="1"/>
      <c r="C187" s="1"/>
      <c r="D187" s="1"/>
      <c r="E187" s="1"/>
      <c r="F187" s="1"/>
      <c r="H187" s="1"/>
      <c r="J187" s="13"/>
      <c r="L187" s="13"/>
      <c r="N187" s="1"/>
      <c r="P187" s="13"/>
      <c r="R187" s="13"/>
      <c r="T187" s="1"/>
      <c r="V187" s="13"/>
      <c r="X187" s="13"/>
      <c r="Z187" s="1"/>
      <c r="AB187" s="13"/>
      <c r="AD187" s="13"/>
      <c r="AG187" s="1"/>
    </row>
    <row r="188" spans="1:33" s="59" customFormat="1" ht="15">
      <c r="A188" s="1"/>
      <c r="B188" s="1"/>
      <c r="C188" s="1"/>
      <c r="D188" s="1"/>
      <c r="E188" s="1"/>
      <c r="F188" s="1"/>
      <c r="H188" s="1"/>
      <c r="J188" s="13"/>
      <c r="L188" s="13"/>
      <c r="N188" s="1"/>
      <c r="P188" s="13"/>
      <c r="R188" s="13"/>
      <c r="T188" s="1"/>
      <c r="V188" s="13"/>
      <c r="X188" s="13"/>
      <c r="Z188" s="1"/>
      <c r="AB188" s="13"/>
      <c r="AD188" s="13"/>
      <c r="AG188" s="1"/>
    </row>
    <row r="189" spans="1:33" s="59" customFormat="1" ht="15">
      <c r="A189" s="1"/>
      <c r="B189" s="1"/>
      <c r="C189" s="1"/>
      <c r="D189" s="1"/>
      <c r="E189" s="1"/>
      <c r="F189" s="1"/>
      <c r="H189" s="1"/>
      <c r="J189" s="13"/>
      <c r="L189" s="13"/>
      <c r="N189" s="1"/>
      <c r="P189" s="13"/>
      <c r="R189" s="13"/>
      <c r="T189" s="1"/>
      <c r="V189" s="13"/>
      <c r="X189" s="13"/>
      <c r="Z189" s="1"/>
      <c r="AB189" s="13"/>
      <c r="AD189" s="13"/>
      <c r="AG189" s="1"/>
    </row>
    <row r="190" spans="1:33" s="59" customFormat="1" ht="15">
      <c r="A190" s="1"/>
      <c r="B190" s="1"/>
      <c r="C190" s="1"/>
      <c r="D190" s="1"/>
      <c r="E190" s="1"/>
      <c r="F190" s="1"/>
      <c r="H190" s="1"/>
      <c r="J190" s="13"/>
      <c r="L190" s="13"/>
      <c r="N190" s="1"/>
      <c r="P190" s="13"/>
      <c r="R190" s="13"/>
      <c r="T190" s="1"/>
      <c r="V190" s="13"/>
      <c r="X190" s="13"/>
      <c r="Z190" s="1"/>
      <c r="AB190" s="13"/>
      <c r="AD190" s="13"/>
      <c r="AG190" s="1"/>
    </row>
    <row r="191" spans="1:33" s="59" customFormat="1" ht="15">
      <c r="A191" s="1"/>
      <c r="B191" s="1"/>
      <c r="C191" s="1"/>
      <c r="D191" s="1"/>
      <c r="E191" s="1"/>
      <c r="F191" s="1"/>
      <c r="H191" s="1"/>
      <c r="J191" s="13"/>
      <c r="L191" s="13"/>
      <c r="N191" s="1"/>
      <c r="P191" s="13"/>
      <c r="R191" s="13"/>
      <c r="T191" s="1"/>
      <c r="V191" s="13"/>
      <c r="X191" s="13"/>
      <c r="Z191" s="1"/>
      <c r="AB191" s="13"/>
      <c r="AD191" s="13"/>
      <c r="AG191" s="1"/>
    </row>
    <row r="192" spans="1:33" s="59" customFormat="1" ht="15">
      <c r="A192" s="1"/>
      <c r="B192" s="1"/>
      <c r="C192" s="1"/>
      <c r="D192" s="1"/>
      <c r="E192" s="1"/>
      <c r="F192" s="1"/>
      <c r="H192" s="1"/>
      <c r="J192" s="13"/>
      <c r="L192" s="13"/>
      <c r="N192" s="1"/>
      <c r="P192" s="13"/>
      <c r="R192" s="13"/>
      <c r="T192" s="1"/>
      <c r="V192" s="13"/>
      <c r="X192" s="13"/>
      <c r="Z192" s="1"/>
      <c r="AB192" s="13"/>
      <c r="AD192" s="13"/>
      <c r="AG192" s="1"/>
    </row>
    <row r="193" spans="1:33" s="59" customFormat="1" ht="15">
      <c r="A193" s="1"/>
      <c r="B193" s="1"/>
      <c r="C193" s="1"/>
      <c r="D193" s="1"/>
      <c r="E193" s="1"/>
      <c r="F193" s="1"/>
      <c r="H193" s="1"/>
      <c r="J193" s="13"/>
      <c r="L193" s="13"/>
      <c r="N193" s="1"/>
      <c r="P193" s="13"/>
      <c r="R193" s="13"/>
      <c r="T193" s="1"/>
      <c r="V193" s="13"/>
      <c r="X193" s="13"/>
      <c r="Z193" s="1"/>
      <c r="AB193" s="13"/>
      <c r="AD193" s="13"/>
      <c r="AG193" s="1"/>
    </row>
    <row r="194" spans="1:33" s="59" customFormat="1" ht="15">
      <c r="A194" s="1"/>
      <c r="B194" s="1"/>
      <c r="C194" s="1"/>
      <c r="D194" s="1"/>
      <c r="E194" s="1"/>
      <c r="F194" s="1"/>
      <c r="H194" s="1"/>
      <c r="J194" s="13"/>
      <c r="L194" s="13"/>
      <c r="N194" s="1"/>
      <c r="P194" s="13"/>
      <c r="R194" s="13"/>
      <c r="T194" s="1"/>
      <c r="V194" s="13"/>
      <c r="X194" s="13"/>
      <c r="Z194" s="1"/>
      <c r="AB194" s="13"/>
      <c r="AD194" s="13"/>
      <c r="AG194" s="1"/>
    </row>
    <row r="195" spans="1:33" s="59" customFormat="1" ht="15">
      <c r="A195" s="1"/>
      <c r="B195" s="1"/>
      <c r="C195" s="1"/>
      <c r="D195" s="1"/>
      <c r="E195" s="1"/>
      <c r="F195" s="1"/>
      <c r="H195" s="1"/>
      <c r="J195" s="13"/>
      <c r="L195" s="13"/>
      <c r="N195" s="1"/>
      <c r="P195" s="13"/>
      <c r="R195" s="13"/>
      <c r="T195" s="1"/>
      <c r="V195" s="13"/>
      <c r="X195" s="13"/>
      <c r="Z195" s="1"/>
      <c r="AB195" s="13"/>
      <c r="AD195" s="13"/>
      <c r="AG195" s="1"/>
    </row>
    <row r="196" spans="1:33" s="59" customFormat="1" ht="15">
      <c r="A196" s="1"/>
      <c r="B196" s="1"/>
      <c r="C196" s="1"/>
      <c r="D196" s="1"/>
      <c r="E196" s="1"/>
      <c r="F196" s="1"/>
      <c r="H196" s="1"/>
      <c r="J196" s="13"/>
      <c r="L196" s="13"/>
      <c r="N196" s="1"/>
      <c r="P196" s="13"/>
      <c r="R196" s="13"/>
      <c r="T196" s="1"/>
      <c r="V196" s="13"/>
      <c r="X196" s="13"/>
      <c r="Z196" s="1"/>
      <c r="AB196" s="13"/>
      <c r="AD196" s="13"/>
      <c r="AG196" s="1"/>
    </row>
    <row r="197" spans="1:33" s="59" customFormat="1" ht="15">
      <c r="A197" s="1"/>
      <c r="B197" s="1"/>
      <c r="C197" s="1"/>
      <c r="D197" s="1"/>
      <c r="E197" s="1"/>
      <c r="F197" s="1"/>
      <c r="H197" s="1"/>
      <c r="J197" s="13"/>
      <c r="L197" s="13"/>
      <c r="N197" s="1"/>
      <c r="P197" s="13"/>
      <c r="R197" s="13"/>
      <c r="T197" s="1"/>
      <c r="V197" s="13"/>
      <c r="X197" s="13"/>
      <c r="Z197" s="1"/>
      <c r="AB197" s="13"/>
      <c r="AD197" s="13"/>
      <c r="AG197" s="1"/>
    </row>
    <row r="198" spans="1:33" s="59" customFormat="1" ht="15">
      <c r="A198" s="1"/>
      <c r="B198" s="1"/>
      <c r="C198" s="1"/>
      <c r="D198" s="1"/>
      <c r="E198" s="1"/>
      <c r="F198" s="1"/>
      <c r="H198" s="1"/>
      <c r="J198" s="13"/>
      <c r="L198" s="13"/>
      <c r="N198" s="1"/>
      <c r="P198" s="13"/>
      <c r="R198" s="13"/>
      <c r="T198" s="1"/>
      <c r="V198" s="13"/>
      <c r="X198" s="13"/>
      <c r="Z198" s="1"/>
      <c r="AB198" s="13"/>
      <c r="AD198" s="13"/>
      <c r="AG198" s="1"/>
    </row>
    <row r="199" spans="1:33" s="59" customFormat="1" ht="15">
      <c r="A199" s="1"/>
      <c r="B199" s="1"/>
      <c r="C199" s="1"/>
      <c r="D199" s="1"/>
      <c r="E199" s="1"/>
      <c r="F199" s="1"/>
      <c r="H199" s="1"/>
      <c r="J199" s="13"/>
      <c r="L199" s="13"/>
      <c r="N199" s="1"/>
      <c r="P199" s="13"/>
      <c r="R199" s="13"/>
      <c r="T199" s="1"/>
      <c r="V199" s="13"/>
      <c r="X199" s="13"/>
      <c r="Z199" s="1"/>
      <c r="AB199" s="13"/>
      <c r="AD199" s="13"/>
      <c r="AG199" s="1"/>
    </row>
    <row r="200" spans="1:33" s="59" customFormat="1" ht="15">
      <c r="A200" s="1"/>
      <c r="B200" s="1"/>
      <c r="C200" s="1"/>
      <c r="D200" s="1"/>
      <c r="E200" s="1"/>
      <c r="F200" s="1"/>
      <c r="H200" s="1"/>
      <c r="J200" s="13"/>
      <c r="L200" s="13"/>
      <c r="N200" s="1"/>
      <c r="P200" s="13"/>
      <c r="R200" s="13"/>
      <c r="T200" s="1"/>
      <c r="V200" s="13"/>
      <c r="X200" s="13"/>
      <c r="Z200" s="1"/>
      <c r="AB200" s="13"/>
      <c r="AD200" s="13"/>
      <c r="AG200" s="1"/>
    </row>
    <row r="201" spans="1:33" s="59" customFormat="1" ht="15">
      <c r="A201" s="1"/>
      <c r="B201" s="1"/>
      <c r="C201" s="1"/>
      <c r="D201" s="1"/>
      <c r="E201" s="1"/>
      <c r="F201" s="1"/>
      <c r="H201" s="1"/>
      <c r="J201" s="13"/>
      <c r="L201" s="13"/>
      <c r="N201" s="1"/>
      <c r="P201" s="13"/>
      <c r="R201" s="13"/>
      <c r="T201" s="1"/>
      <c r="V201" s="13"/>
      <c r="X201" s="13"/>
      <c r="Z201" s="1"/>
      <c r="AB201" s="13"/>
      <c r="AD201" s="13"/>
      <c r="AG201" s="1"/>
    </row>
    <row r="202" spans="1:33" s="59" customFormat="1" ht="15">
      <c r="A202" s="1"/>
      <c r="B202" s="1"/>
      <c r="C202" s="1"/>
      <c r="D202" s="1"/>
      <c r="E202" s="1"/>
      <c r="F202" s="1"/>
      <c r="H202" s="1"/>
      <c r="J202" s="13"/>
      <c r="L202" s="13"/>
      <c r="N202" s="1"/>
      <c r="P202" s="13"/>
      <c r="R202" s="13"/>
      <c r="T202" s="1"/>
      <c r="V202" s="13"/>
      <c r="X202" s="13"/>
      <c r="Z202" s="1"/>
      <c r="AB202" s="13"/>
      <c r="AD202" s="13"/>
      <c r="AG202" s="1"/>
    </row>
    <row r="203" spans="1:33" s="59" customFormat="1" ht="15">
      <c r="A203" s="1"/>
      <c r="B203" s="1"/>
      <c r="C203" s="1"/>
      <c r="D203" s="1"/>
      <c r="E203" s="1"/>
      <c r="F203" s="1"/>
      <c r="H203" s="1"/>
      <c r="J203" s="13"/>
      <c r="L203" s="13"/>
      <c r="N203" s="1"/>
      <c r="P203" s="13"/>
      <c r="R203" s="13"/>
      <c r="T203" s="1"/>
      <c r="V203" s="13"/>
      <c r="X203" s="13"/>
      <c r="Z203" s="1"/>
      <c r="AB203" s="13"/>
      <c r="AD203" s="13"/>
      <c r="AG203" s="1"/>
    </row>
    <row r="204" spans="1:33" s="59" customFormat="1" ht="15">
      <c r="A204" s="1"/>
      <c r="B204" s="1"/>
      <c r="C204" s="1"/>
      <c r="D204" s="1"/>
      <c r="E204" s="1"/>
      <c r="F204" s="1"/>
      <c r="H204" s="1"/>
      <c r="J204" s="13"/>
      <c r="L204" s="13"/>
      <c r="N204" s="1"/>
      <c r="P204" s="13"/>
      <c r="R204" s="13"/>
      <c r="T204" s="1"/>
      <c r="V204" s="13"/>
      <c r="X204" s="13"/>
      <c r="Z204" s="1"/>
      <c r="AB204" s="13"/>
      <c r="AD204" s="13"/>
      <c r="AG204" s="1"/>
    </row>
    <row r="205" spans="1:33" s="59" customFormat="1" ht="15">
      <c r="A205" s="1"/>
      <c r="B205" s="1"/>
      <c r="C205" s="1"/>
      <c r="D205" s="1"/>
      <c r="E205" s="1"/>
      <c r="F205" s="1"/>
      <c r="H205" s="1"/>
      <c r="J205" s="13"/>
      <c r="L205" s="13"/>
      <c r="N205" s="1"/>
      <c r="P205" s="13"/>
      <c r="R205" s="13"/>
      <c r="T205" s="1"/>
      <c r="V205" s="13"/>
      <c r="X205" s="13"/>
      <c r="Z205" s="1"/>
      <c r="AB205" s="13"/>
      <c r="AD205" s="13"/>
      <c r="AG205" s="1"/>
    </row>
    <row r="206" spans="1:33" s="59" customFormat="1" ht="15">
      <c r="A206" s="1"/>
      <c r="B206" s="1"/>
      <c r="C206" s="1"/>
      <c r="D206" s="1"/>
      <c r="E206" s="1"/>
      <c r="F206" s="1"/>
      <c r="H206" s="1"/>
      <c r="J206" s="13"/>
      <c r="L206" s="13"/>
      <c r="N206" s="1"/>
      <c r="P206" s="13"/>
      <c r="R206" s="13"/>
      <c r="T206" s="1"/>
      <c r="V206" s="13"/>
      <c r="X206" s="13"/>
      <c r="Z206" s="1"/>
      <c r="AB206" s="13"/>
      <c r="AD206" s="13"/>
      <c r="AG206" s="1"/>
    </row>
    <row r="207" spans="1:33" s="59" customFormat="1" ht="15">
      <c r="A207" s="1"/>
      <c r="B207" s="1"/>
      <c r="C207" s="1"/>
      <c r="D207" s="1"/>
      <c r="E207" s="1"/>
      <c r="F207" s="1"/>
      <c r="H207" s="1"/>
      <c r="J207" s="13"/>
      <c r="L207" s="13"/>
      <c r="N207" s="1"/>
      <c r="P207" s="13"/>
      <c r="R207" s="13"/>
      <c r="T207" s="1"/>
      <c r="V207" s="13"/>
      <c r="X207" s="13"/>
      <c r="Z207" s="1"/>
      <c r="AB207" s="13"/>
      <c r="AD207" s="13"/>
      <c r="AG207" s="1"/>
    </row>
    <row r="208" spans="1:33" s="59" customFormat="1" ht="15">
      <c r="A208" s="1"/>
      <c r="B208" s="1"/>
      <c r="C208" s="1"/>
      <c r="D208" s="1"/>
      <c r="E208" s="1"/>
      <c r="F208" s="1"/>
      <c r="H208" s="1"/>
      <c r="J208" s="13"/>
      <c r="L208" s="13"/>
      <c r="N208" s="1"/>
      <c r="P208" s="13"/>
      <c r="R208" s="13"/>
      <c r="T208" s="1"/>
      <c r="V208" s="13"/>
      <c r="X208" s="13"/>
      <c r="Z208" s="1"/>
      <c r="AB208" s="13"/>
      <c r="AD208" s="13"/>
      <c r="AG208" s="1"/>
    </row>
    <row r="209" spans="1:33" s="59" customFormat="1" ht="15">
      <c r="A209" s="1"/>
      <c r="B209" s="1"/>
      <c r="C209" s="1"/>
      <c r="D209" s="1"/>
      <c r="E209" s="1"/>
      <c r="F209" s="1"/>
      <c r="H209" s="1"/>
      <c r="J209" s="13"/>
      <c r="L209" s="13"/>
      <c r="N209" s="1"/>
      <c r="P209" s="13"/>
      <c r="R209" s="13"/>
      <c r="T209" s="1"/>
      <c r="V209" s="13"/>
      <c r="X209" s="13"/>
      <c r="Z209" s="1"/>
      <c r="AB209" s="13"/>
      <c r="AD209" s="13"/>
      <c r="AG209" s="1"/>
    </row>
    <row r="210" spans="1:33" s="59" customFormat="1" ht="15">
      <c r="A210" s="1"/>
      <c r="B210" s="1"/>
      <c r="C210" s="1"/>
      <c r="D210" s="1"/>
      <c r="E210" s="1"/>
      <c r="F210" s="1"/>
      <c r="H210" s="1"/>
      <c r="J210" s="13"/>
      <c r="L210" s="13"/>
      <c r="N210" s="1"/>
      <c r="P210" s="13"/>
      <c r="R210" s="13"/>
      <c r="T210" s="1"/>
      <c r="V210" s="13"/>
      <c r="X210" s="13"/>
      <c r="Z210" s="1"/>
      <c r="AB210" s="13"/>
      <c r="AD210" s="13"/>
      <c r="AG210" s="1"/>
    </row>
    <row r="211" spans="1:33" s="59" customFormat="1" ht="15">
      <c r="A211" s="1"/>
      <c r="B211" s="1"/>
      <c r="C211" s="1"/>
      <c r="D211" s="1"/>
      <c r="E211" s="1"/>
      <c r="F211" s="1"/>
      <c r="H211" s="1"/>
      <c r="J211" s="13"/>
      <c r="L211" s="13"/>
      <c r="N211" s="1"/>
      <c r="P211" s="13"/>
      <c r="R211" s="13"/>
      <c r="T211" s="1"/>
      <c r="V211" s="13"/>
      <c r="X211" s="13"/>
      <c r="Z211" s="1"/>
      <c r="AB211" s="13"/>
      <c r="AD211" s="13"/>
      <c r="AG211" s="1"/>
    </row>
    <row r="212" spans="1:33" s="59" customFormat="1" ht="15">
      <c r="A212" s="1"/>
      <c r="B212" s="1"/>
      <c r="C212" s="1"/>
      <c r="D212" s="1"/>
      <c r="E212" s="1"/>
      <c r="F212" s="1"/>
      <c r="H212" s="1"/>
      <c r="J212" s="13"/>
      <c r="L212" s="13"/>
      <c r="N212" s="1"/>
      <c r="P212" s="13"/>
      <c r="R212" s="13"/>
      <c r="T212" s="1"/>
      <c r="V212" s="13"/>
      <c r="X212" s="13"/>
      <c r="Z212" s="1"/>
      <c r="AB212" s="13"/>
      <c r="AD212" s="13"/>
      <c r="AG212" s="1"/>
    </row>
    <row r="213" spans="1:33" s="59" customFormat="1" ht="15">
      <c r="A213" s="1"/>
      <c r="B213" s="1"/>
      <c r="C213" s="1"/>
      <c r="D213" s="1"/>
      <c r="E213" s="1"/>
      <c r="F213" s="1"/>
      <c r="H213" s="1"/>
      <c r="J213" s="13"/>
      <c r="L213" s="13"/>
      <c r="N213" s="1"/>
      <c r="P213" s="13"/>
      <c r="R213" s="13"/>
      <c r="T213" s="1"/>
      <c r="V213" s="13"/>
      <c r="X213" s="13"/>
      <c r="Z213" s="1"/>
      <c r="AB213" s="13"/>
      <c r="AD213" s="13"/>
      <c r="AG213" s="1"/>
    </row>
    <row r="214" spans="1:33" s="59" customFormat="1" ht="15">
      <c r="A214" s="1"/>
      <c r="B214" s="1"/>
      <c r="C214" s="1"/>
      <c r="D214" s="1"/>
      <c r="E214" s="1"/>
      <c r="F214" s="1"/>
      <c r="H214" s="1"/>
      <c r="J214" s="13"/>
      <c r="L214" s="13"/>
      <c r="N214" s="1"/>
      <c r="P214" s="13"/>
      <c r="R214" s="13"/>
      <c r="T214" s="1"/>
      <c r="V214" s="13"/>
      <c r="X214" s="13"/>
      <c r="Z214" s="1"/>
      <c r="AB214" s="13"/>
      <c r="AD214" s="13"/>
      <c r="AG214" s="1"/>
    </row>
    <row r="215" spans="1:33" s="59" customFormat="1" ht="15">
      <c r="A215" s="1"/>
      <c r="B215" s="1"/>
      <c r="C215" s="1"/>
      <c r="D215" s="1"/>
      <c r="E215" s="1"/>
      <c r="F215" s="1"/>
      <c r="H215" s="1"/>
      <c r="J215" s="13"/>
      <c r="L215" s="13"/>
      <c r="N215" s="1"/>
      <c r="P215" s="13"/>
      <c r="R215" s="13"/>
      <c r="T215" s="1"/>
      <c r="V215" s="13"/>
      <c r="X215" s="13"/>
      <c r="Z215" s="1"/>
      <c r="AB215" s="13"/>
      <c r="AD215" s="13"/>
      <c r="AG215" s="1"/>
    </row>
    <row r="216" spans="1:33" s="59" customFormat="1" ht="15">
      <c r="A216" s="1"/>
      <c r="B216" s="1"/>
      <c r="C216" s="1"/>
      <c r="D216" s="1"/>
      <c r="E216" s="1"/>
      <c r="F216" s="1"/>
      <c r="H216" s="1"/>
      <c r="J216" s="13"/>
      <c r="L216" s="13"/>
      <c r="N216" s="1"/>
      <c r="P216" s="13"/>
      <c r="R216" s="13"/>
      <c r="T216" s="1"/>
      <c r="V216" s="13"/>
      <c r="X216" s="13"/>
      <c r="Z216" s="1"/>
      <c r="AB216" s="13"/>
      <c r="AD216" s="13"/>
      <c r="AG216" s="1"/>
    </row>
    <row r="217" spans="1:33" s="59" customFormat="1" ht="15">
      <c r="A217" s="1"/>
      <c r="B217" s="1"/>
      <c r="C217" s="1"/>
      <c r="D217" s="1"/>
      <c r="E217" s="1"/>
      <c r="F217" s="1"/>
      <c r="H217" s="1"/>
      <c r="J217" s="13"/>
      <c r="L217" s="13"/>
      <c r="N217" s="1"/>
      <c r="P217" s="13"/>
      <c r="R217" s="13"/>
      <c r="T217" s="1"/>
      <c r="V217" s="13"/>
      <c r="X217" s="13"/>
      <c r="Z217" s="1"/>
      <c r="AB217" s="13"/>
      <c r="AD217" s="13"/>
      <c r="AG217" s="1"/>
    </row>
    <row r="218" spans="1:33" s="59" customFormat="1" ht="15">
      <c r="A218" s="1"/>
      <c r="B218" s="1"/>
      <c r="C218" s="1"/>
      <c r="D218" s="1"/>
      <c r="E218" s="1"/>
      <c r="F218" s="1"/>
      <c r="H218" s="1"/>
      <c r="J218" s="13"/>
      <c r="L218" s="13"/>
      <c r="N218" s="1"/>
      <c r="P218" s="13"/>
      <c r="R218" s="13"/>
      <c r="T218" s="1"/>
      <c r="V218" s="13"/>
      <c r="X218" s="13"/>
      <c r="Z218" s="1"/>
      <c r="AB218" s="13"/>
      <c r="AD218" s="13"/>
      <c r="AG218" s="1"/>
    </row>
    <row r="219" spans="1:33" s="59" customFormat="1" ht="15">
      <c r="A219" s="1"/>
      <c r="B219" s="1"/>
      <c r="C219" s="1"/>
      <c r="D219" s="1"/>
      <c r="E219" s="1"/>
      <c r="F219" s="1"/>
      <c r="H219" s="1"/>
      <c r="J219" s="13"/>
      <c r="L219" s="13"/>
      <c r="N219" s="1"/>
      <c r="P219" s="13"/>
      <c r="R219" s="13"/>
      <c r="T219" s="1"/>
      <c r="V219" s="13"/>
      <c r="X219" s="13"/>
      <c r="Z219" s="1"/>
      <c r="AB219" s="13"/>
      <c r="AD219" s="13"/>
      <c r="AG219" s="1"/>
    </row>
    <row r="220" spans="1:33" s="59" customFormat="1" ht="15">
      <c r="A220" s="1"/>
      <c r="B220" s="1"/>
      <c r="C220" s="1"/>
      <c r="D220" s="1"/>
      <c r="E220" s="1"/>
      <c r="F220" s="1"/>
      <c r="H220" s="1"/>
      <c r="J220" s="13"/>
      <c r="L220" s="13"/>
      <c r="N220" s="1"/>
      <c r="P220" s="13"/>
      <c r="R220" s="13"/>
      <c r="T220" s="1"/>
      <c r="V220" s="13"/>
      <c r="X220" s="13"/>
      <c r="Z220" s="1"/>
      <c r="AB220" s="13"/>
      <c r="AD220" s="13"/>
      <c r="AG220" s="1"/>
    </row>
    <row r="221" spans="1:33" s="59" customFormat="1" ht="15">
      <c r="A221" s="1"/>
      <c r="B221" s="1"/>
      <c r="C221" s="1"/>
      <c r="D221" s="1"/>
      <c r="E221" s="1"/>
      <c r="F221" s="1"/>
      <c r="H221" s="1"/>
      <c r="J221" s="13"/>
      <c r="L221" s="13"/>
      <c r="N221" s="1"/>
      <c r="P221" s="13"/>
      <c r="R221" s="13"/>
      <c r="T221" s="1"/>
      <c r="V221" s="13"/>
      <c r="X221" s="13"/>
      <c r="Z221" s="1"/>
      <c r="AB221" s="13"/>
      <c r="AD221" s="13"/>
      <c r="AG221" s="1"/>
    </row>
    <row r="222" spans="1:33" s="59" customFormat="1" ht="15">
      <c r="A222" s="1"/>
      <c r="B222" s="1"/>
      <c r="C222" s="1"/>
      <c r="D222" s="1"/>
      <c r="E222" s="1"/>
      <c r="F222" s="1"/>
      <c r="H222" s="1"/>
      <c r="J222" s="13"/>
      <c r="L222" s="13"/>
      <c r="N222" s="1"/>
      <c r="P222" s="13"/>
      <c r="R222" s="13"/>
      <c r="T222" s="1"/>
      <c r="V222" s="13"/>
      <c r="X222" s="13"/>
      <c r="Z222" s="1"/>
      <c r="AB222" s="13"/>
      <c r="AD222" s="13"/>
      <c r="AG222" s="1"/>
    </row>
    <row r="223" spans="1:33" s="59" customFormat="1" ht="15">
      <c r="A223" s="1"/>
      <c r="B223" s="1"/>
      <c r="C223" s="1"/>
      <c r="D223" s="1"/>
      <c r="E223" s="1"/>
      <c r="F223" s="1"/>
      <c r="H223" s="1"/>
      <c r="J223" s="13"/>
      <c r="L223" s="13"/>
      <c r="N223" s="1"/>
      <c r="P223" s="13"/>
      <c r="R223" s="13"/>
      <c r="T223" s="1"/>
      <c r="V223" s="13"/>
      <c r="X223" s="13"/>
      <c r="Z223" s="1"/>
      <c r="AB223" s="13"/>
      <c r="AD223" s="13"/>
      <c r="AG223" s="1"/>
    </row>
    <row r="224" spans="1:33" s="59" customFormat="1">
      <c r="A224" s="1"/>
      <c r="B224" s="1"/>
      <c r="C224" s="1"/>
      <c r="D224" s="1"/>
      <c r="E224" s="1"/>
      <c r="F224" s="1"/>
      <c r="H224" s="1"/>
      <c r="J224" s="1"/>
      <c r="L224" s="1"/>
      <c r="N224" s="1"/>
      <c r="P224" s="1"/>
      <c r="R224" s="1"/>
      <c r="T224" s="1"/>
      <c r="V224" s="1"/>
      <c r="X224" s="1"/>
      <c r="Z224" s="1"/>
      <c r="AB224" s="1"/>
      <c r="AD224" s="1"/>
      <c r="AF224" s="1"/>
      <c r="AG224" s="1"/>
    </row>
    <row r="225" spans="1:33" s="59" customFormat="1">
      <c r="A225" s="1"/>
      <c r="B225" s="1"/>
      <c r="C225" s="1"/>
      <c r="D225" s="1"/>
      <c r="E225" s="1"/>
      <c r="F225" s="1"/>
      <c r="H225" s="1"/>
      <c r="J225" s="1"/>
      <c r="L225" s="1"/>
      <c r="N225" s="1"/>
      <c r="P225" s="1"/>
      <c r="R225" s="1"/>
      <c r="T225" s="1"/>
      <c r="V225" s="1"/>
      <c r="X225" s="1"/>
      <c r="Z225" s="1"/>
      <c r="AB225" s="1"/>
      <c r="AD225" s="1"/>
      <c r="AF225" s="1"/>
      <c r="AG225" s="1"/>
    </row>
    <row r="226" spans="1:33" s="59" customFormat="1">
      <c r="A226" s="1"/>
      <c r="B226" s="1"/>
      <c r="C226" s="1"/>
      <c r="D226" s="1"/>
      <c r="E226" s="1"/>
      <c r="F226" s="1"/>
      <c r="H226" s="1"/>
      <c r="J226" s="1"/>
      <c r="L226" s="1"/>
      <c r="N226" s="1"/>
      <c r="P226" s="1"/>
      <c r="R226" s="1"/>
      <c r="T226" s="1"/>
      <c r="V226" s="1"/>
      <c r="X226" s="1"/>
      <c r="Z226" s="1"/>
      <c r="AB226" s="1"/>
      <c r="AD226" s="1"/>
      <c r="AF226" s="1"/>
      <c r="AG226" s="1"/>
    </row>
    <row r="227" spans="1:33" s="59" customFormat="1">
      <c r="A227" s="1"/>
      <c r="B227" s="1"/>
      <c r="C227" s="1"/>
      <c r="D227" s="1"/>
      <c r="E227" s="1"/>
      <c r="F227" s="1"/>
      <c r="H227" s="1"/>
      <c r="J227" s="1"/>
      <c r="L227" s="1"/>
      <c r="N227" s="1"/>
      <c r="P227" s="1"/>
      <c r="R227" s="1"/>
      <c r="T227" s="1"/>
      <c r="V227" s="1"/>
      <c r="X227" s="1"/>
      <c r="Z227" s="1"/>
      <c r="AB227" s="1"/>
      <c r="AD227" s="1"/>
      <c r="AF227" s="1"/>
      <c r="AG227" s="1"/>
    </row>
    <row r="228" spans="1:33" s="59" customFormat="1">
      <c r="A228" s="1"/>
      <c r="B228" s="1"/>
      <c r="C228" s="1"/>
      <c r="D228" s="1"/>
      <c r="E228" s="1"/>
      <c r="F228" s="1"/>
      <c r="H228" s="1"/>
      <c r="J228" s="1"/>
      <c r="L228" s="1"/>
      <c r="N228" s="1"/>
      <c r="P228" s="1"/>
      <c r="R228" s="1"/>
      <c r="T228" s="1"/>
      <c r="V228" s="1"/>
      <c r="X228" s="1"/>
      <c r="Z228" s="1"/>
      <c r="AB228" s="1"/>
      <c r="AD228" s="1"/>
      <c r="AF228" s="1"/>
      <c r="AG228" s="1"/>
    </row>
    <row r="229" spans="1:33" s="59" customFormat="1">
      <c r="A229" s="1"/>
      <c r="B229" s="1"/>
      <c r="C229" s="1"/>
      <c r="D229" s="1"/>
      <c r="E229" s="1"/>
      <c r="F229" s="1"/>
      <c r="H229" s="1"/>
      <c r="J229" s="1"/>
      <c r="L229" s="1"/>
      <c r="N229" s="1"/>
      <c r="P229" s="1"/>
      <c r="R229" s="1"/>
      <c r="T229" s="1"/>
      <c r="V229" s="1"/>
      <c r="X229" s="1"/>
      <c r="Z229" s="1"/>
      <c r="AB229" s="1"/>
      <c r="AD229" s="1"/>
      <c r="AF229" s="1"/>
      <c r="AG229" s="1"/>
    </row>
    <row r="230" spans="1:33" s="59" customFormat="1">
      <c r="A230" s="1"/>
      <c r="B230" s="1"/>
      <c r="C230" s="1"/>
      <c r="D230" s="1"/>
      <c r="E230" s="1"/>
      <c r="F230" s="1"/>
      <c r="H230" s="1"/>
      <c r="J230" s="1"/>
      <c r="L230" s="1"/>
      <c r="N230" s="1"/>
      <c r="P230" s="1"/>
      <c r="R230" s="1"/>
      <c r="T230" s="1"/>
      <c r="V230" s="1"/>
      <c r="X230" s="1"/>
      <c r="Z230" s="1"/>
      <c r="AB230" s="1"/>
      <c r="AD230" s="1"/>
      <c r="AF230" s="1"/>
      <c r="AG230" s="1"/>
    </row>
    <row r="231" spans="1:33" s="59" customFormat="1">
      <c r="A231" s="1"/>
      <c r="B231" s="1"/>
      <c r="C231" s="1"/>
      <c r="D231" s="1"/>
      <c r="E231" s="1"/>
      <c r="F231" s="1"/>
      <c r="H231" s="1"/>
      <c r="J231" s="1"/>
      <c r="L231" s="1"/>
      <c r="N231" s="1"/>
      <c r="P231" s="1"/>
      <c r="R231" s="1"/>
      <c r="T231" s="1"/>
      <c r="V231" s="1"/>
      <c r="X231" s="1"/>
      <c r="Z231" s="1"/>
      <c r="AB231" s="1"/>
      <c r="AD231" s="1"/>
      <c r="AF231" s="1"/>
      <c r="AG231" s="1"/>
    </row>
    <row r="232" spans="1:33" s="59" customFormat="1">
      <c r="A232" s="1"/>
      <c r="B232" s="1"/>
      <c r="C232" s="1"/>
      <c r="D232" s="1"/>
      <c r="E232" s="1"/>
      <c r="F232" s="1"/>
      <c r="H232" s="1"/>
      <c r="J232" s="1"/>
      <c r="L232" s="1"/>
      <c r="N232" s="1"/>
      <c r="P232" s="1"/>
      <c r="R232" s="1"/>
      <c r="T232" s="1"/>
      <c r="V232" s="1"/>
      <c r="X232" s="1"/>
      <c r="Z232" s="1"/>
      <c r="AB232" s="1"/>
      <c r="AD232" s="1"/>
      <c r="AF232" s="1"/>
      <c r="AG232" s="1"/>
    </row>
    <row r="233" spans="1:33" s="59" customFormat="1">
      <c r="A233" s="1"/>
      <c r="B233" s="1"/>
      <c r="C233" s="1"/>
      <c r="D233" s="1"/>
      <c r="E233" s="1"/>
      <c r="F233" s="1"/>
      <c r="H233" s="1"/>
      <c r="J233" s="1"/>
      <c r="L233" s="1"/>
      <c r="N233" s="1"/>
      <c r="P233" s="1"/>
      <c r="R233" s="1"/>
      <c r="T233" s="1"/>
      <c r="V233" s="1"/>
      <c r="X233" s="1"/>
      <c r="Z233" s="1"/>
      <c r="AB233" s="1"/>
      <c r="AD233" s="1"/>
      <c r="AF233" s="1"/>
      <c r="AG233" s="1"/>
    </row>
    <row r="234" spans="1:33" s="59" customFormat="1">
      <c r="A234" s="1"/>
      <c r="B234" s="1"/>
      <c r="C234" s="1"/>
      <c r="D234" s="1"/>
      <c r="E234" s="1"/>
      <c r="F234" s="1"/>
      <c r="H234" s="1"/>
      <c r="J234" s="1"/>
      <c r="L234" s="1"/>
      <c r="N234" s="1"/>
      <c r="P234" s="1"/>
      <c r="R234" s="1"/>
      <c r="T234" s="1"/>
      <c r="V234" s="1"/>
      <c r="X234" s="1"/>
      <c r="Z234" s="1"/>
      <c r="AB234" s="1"/>
      <c r="AD234" s="1"/>
      <c r="AF234" s="1"/>
      <c r="AG234" s="1"/>
    </row>
    <row r="235" spans="1:33" s="59" customFormat="1">
      <c r="A235" s="1"/>
      <c r="B235" s="1"/>
      <c r="C235" s="1"/>
      <c r="D235" s="1"/>
      <c r="E235" s="1"/>
      <c r="F235" s="1"/>
      <c r="H235" s="1"/>
      <c r="J235" s="1"/>
      <c r="L235" s="1"/>
      <c r="N235" s="1"/>
      <c r="P235" s="1"/>
      <c r="R235" s="1"/>
      <c r="T235" s="1"/>
      <c r="V235" s="1"/>
      <c r="X235" s="1"/>
      <c r="Z235" s="1"/>
      <c r="AB235" s="1"/>
      <c r="AD235" s="1"/>
      <c r="AF235" s="1"/>
      <c r="AG235" s="1"/>
    </row>
    <row r="236" spans="1:33" s="59" customFormat="1">
      <c r="A236" s="1"/>
      <c r="B236" s="1"/>
      <c r="C236" s="1"/>
      <c r="D236" s="1"/>
      <c r="E236" s="1"/>
      <c r="F236" s="1"/>
      <c r="H236" s="1"/>
      <c r="J236" s="1"/>
      <c r="L236" s="1"/>
      <c r="N236" s="1"/>
      <c r="P236" s="1"/>
      <c r="R236" s="1"/>
      <c r="T236" s="1"/>
      <c r="V236" s="1"/>
      <c r="X236" s="1"/>
      <c r="Z236" s="1"/>
      <c r="AB236" s="1"/>
      <c r="AD236" s="1"/>
      <c r="AF236" s="1"/>
      <c r="AG236" s="1"/>
    </row>
    <row r="237" spans="1:33" s="59" customFormat="1">
      <c r="A237" s="1"/>
      <c r="B237" s="1"/>
      <c r="C237" s="1"/>
      <c r="D237" s="1"/>
      <c r="E237" s="1"/>
      <c r="F237" s="1"/>
      <c r="H237" s="1"/>
      <c r="J237" s="1"/>
      <c r="L237" s="1"/>
      <c r="N237" s="1"/>
      <c r="P237" s="1"/>
      <c r="R237" s="1"/>
      <c r="T237" s="1"/>
      <c r="V237" s="1"/>
      <c r="X237" s="1"/>
      <c r="Z237" s="1"/>
      <c r="AB237" s="1"/>
      <c r="AD237" s="1"/>
      <c r="AF237" s="1"/>
      <c r="AG237" s="1"/>
    </row>
    <row r="238" spans="1:33" s="59" customFormat="1">
      <c r="A238" s="1"/>
      <c r="B238" s="1"/>
      <c r="C238" s="1"/>
      <c r="D238" s="1"/>
      <c r="E238" s="1"/>
      <c r="F238" s="1"/>
      <c r="H238" s="1"/>
      <c r="J238" s="1"/>
      <c r="L238" s="1"/>
      <c r="N238" s="1"/>
      <c r="P238" s="1"/>
      <c r="R238" s="1"/>
      <c r="T238" s="1"/>
      <c r="V238" s="1"/>
      <c r="X238" s="1"/>
      <c r="Z238" s="1"/>
      <c r="AB238" s="1"/>
      <c r="AD238" s="1"/>
      <c r="AF238" s="1"/>
      <c r="AG238" s="1"/>
    </row>
  </sheetData>
  <pageMargins left="0.25" right="0.25" top="0.27" bottom="0.4" header="0.18" footer="0.25"/>
  <pageSetup scale="70" fitToHeight="0" orientation="portrait" errors="blank" horizontalDpi="4294967292" r:id="rId1"/>
  <headerFooter alignWithMargins="0">
    <oddFooter>&amp;L&amp;F - &amp;A&amp;CPrinted &amp;D - &amp;T&amp;RPage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238"/>
  <sheetViews>
    <sheetView workbookViewId="0">
      <pane xSplit="2" ySplit="11" topLeftCell="C48" activePane="bottomRight" state="frozen"/>
      <selection activeCell="D75" sqref="D75"/>
      <selection pane="topRight" activeCell="D75" sqref="D75"/>
      <selection pane="bottomLeft" activeCell="D75" sqref="D75"/>
      <selection pane="bottomRight" activeCell="K58" sqref="K58"/>
    </sheetView>
  </sheetViews>
  <sheetFormatPr defaultRowHeight="15" outlineLevelRow="1" outlineLevelCol="1"/>
  <cols>
    <col min="1" max="1" width="20.140625" style="261" hidden="1" customWidth="1" outlineLevel="1"/>
    <col min="2" max="2" width="36.85546875" style="261" bestFit="1" customWidth="1" collapsed="1"/>
    <col min="3" max="3" width="20.42578125" style="261" customWidth="1"/>
    <col min="4" max="4" width="9.140625" style="261"/>
    <col min="5" max="5" width="4.5703125" style="261" customWidth="1"/>
    <col min="6" max="7" width="10.85546875" style="261" bestFit="1" customWidth="1"/>
    <col min="8" max="16384" width="9.140625" style="261"/>
  </cols>
  <sheetData>
    <row r="1" spans="1:7" hidden="1" outlineLevel="1">
      <c r="B1" s="177" t="s">
        <v>641</v>
      </c>
      <c r="C1" s="262" t="s">
        <v>245</v>
      </c>
      <c r="D1"/>
      <c r="E1"/>
    </row>
    <row r="2" spans="1:7" hidden="1" outlineLevel="1">
      <c r="B2" s="177" t="s">
        <v>642</v>
      </c>
      <c r="C2" s="262" t="s">
        <v>245</v>
      </c>
      <c r="D2"/>
      <c r="E2"/>
    </row>
    <row r="3" spans="1:7" hidden="1" outlineLevel="1">
      <c r="B3" s="177" t="s">
        <v>643</v>
      </c>
      <c r="C3" s="262" t="s">
        <v>245</v>
      </c>
      <c r="D3"/>
      <c r="E3"/>
    </row>
    <row r="4" spans="1:7" hidden="1" outlineLevel="1">
      <c r="B4" s="177" t="s">
        <v>644</v>
      </c>
      <c r="C4" s="262" t="s">
        <v>385</v>
      </c>
      <c r="D4"/>
      <c r="E4"/>
    </row>
    <row r="5" spans="1:7" hidden="1" outlineLevel="1">
      <c r="B5" s="177" t="s">
        <v>645</v>
      </c>
      <c r="C5" s="262" t="s">
        <v>129</v>
      </c>
      <c r="D5"/>
      <c r="E5"/>
    </row>
    <row r="6" spans="1:7" hidden="1" outlineLevel="1"/>
    <row r="7" spans="1:7" collapsed="1">
      <c r="B7" s="175" t="s">
        <v>386</v>
      </c>
      <c r="C7" s="178"/>
    </row>
    <row r="8" spans="1:7">
      <c r="B8" s="175" t="s">
        <v>646</v>
      </c>
    </row>
    <row r="9" spans="1:7" ht="15" customHeight="1">
      <c r="B9" s="263"/>
      <c r="C9" s="264"/>
      <c r="E9"/>
      <c r="F9"/>
      <c r="G9"/>
    </row>
    <row r="10" spans="1:7">
      <c r="B10" s="263"/>
      <c r="C10" s="179">
        <v>12</v>
      </c>
    </row>
    <row r="11" spans="1:7" ht="15.75" thickBot="1">
      <c r="B11" s="265"/>
      <c r="C11" s="266" t="s">
        <v>647</v>
      </c>
    </row>
    <row r="12" spans="1:7" ht="15.75" thickBot="1">
      <c r="B12" s="267" t="s">
        <v>648</v>
      </c>
      <c r="C12" s="263"/>
    </row>
    <row r="13" spans="1:7">
      <c r="B13" s="263"/>
      <c r="C13" s="263"/>
    </row>
    <row r="14" spans="1:7">
      <c r="B14" s="263" t="s">
        <v>649</v>
      </c>
      <c r="C14" s="263"/>
    </row>
    <row r="15" spans="1:7">
      <c r="A15" s="177" t="s">
        <v>650</v>
      </c>
      <c r="B15" s="268" t="s">
        <v>651</v>
      </c>
      <c r="C15" s="198">
        <v>10974106.310000001</v>
      </c>
    </row>
    <row r="16" spans="1:7" ht="15" customHeight="1">
      <c r="A16" s="177" t="s">
        <v>652</v>
      </c>
      <c r="B16" s="268" t="s">
        <v>653</v>
      </c>
      <c r="C16" s="187">
        <v>255191351.03</v>
      </c>
    </row>
    <row r="17" spans="1:3">
      <c r="A17" s="177" t="s">
        <v>654</v>
      </c>
      <c r="B17" s="268" t="s">
        <v>655</v>
      </c>
      <c r="C17" s="187">
        <v>49727332</v>
      </c>
    </row>
    <row r="18" spans="1:3">
      <c r="A18" s="177" t="s">
        <v>656</v>
      </c>
      <c r="B18" s="268" t="s">
        <v>301</v>
      </c>
      <c r="C18" s="187">
        <v>14254562.17</v>
      </c>
    </row>
    <row r="19" spans="1:3">
      <c r="A19" s="177" t="s">
        <v>657</v>
      </c>
      <c r="B19" s="268" t="s">
        <v>658</v>
      </c>
      <c r="C19" s="195">
        <v>32279428.09</v>
      </c>
    </row>
    <row r="20" spans="1:3">
      <c r="B20" s="269" t="s">
        <v>659</v>
      </c>
      <c r="C20" s="265">
        <f>SUM(C15:C19)</f>
        <v>362426779.60000002</v>
      </c>
    </row>
    <row r="21" spans="1:3">
      <c r="A21" s="177"/>
      <c r="B21" s="263"/>
      <c r="C21" s="270"/>
    </row>
    <row r="22" spans="1:3">
      <c r="A22" s="177" t="s">
        <v>660</v>
      </c>
      <c r="B22" s="271" t="s">
        <v>661</v>
      </c>
      <c r="C22" s="187">
        <v>2738288106.0999999</v>
      </c>
    </row>
    <row r="23" spans="1:3">
      <c r="A23" s="177" t="s">
        <v>662</v>
      </c>
      <c r="B23" s="271" t="s">
        <v>329</v>
      </c>
      <c r="C23" s="187">
        <v>1422824824.1500001</v>
      </c>
    </row>
    <row r="24" spans="1:3">
      <c r="A24" s="177" t="s">
        <v>663</v>
      </c>
      <c r="B24" s="271" t="s">
        <v>664</v>
      </c>
      <c r="C24" s="187">
        <v>511293737.24000001</v>
      </c>
    </row>
    <row r="25" spans="1:3">
      <c r="A25" s="272" t="s">
        <v>665</v>
      </c>
      <c r="B25" s="271" t="s">
        <v>666</v>
      </c>
      <c r="C25" s="187">
        <v>46232146.509999998</v>
      </c>
    </row>
    <row r="26" spans="1:3">
      <c r="A26" s="272" t="s">
        <v>667</v>
      </c>
      <c r="B26" s="271" t="s">
        <v>668</v>
      </c>
      <c r="C26" s="187">
        <v>40732870.640000001</v>
      </c>
    </row>
    <row r="27" spans="1:3">
      <c r="A27" s="272" t="s">
        <v>669</v>
      </c>
      <c r="B27" s="271" t="s">
        <v>336</v>
      </c>
      <c r="C27" s="195">
        <v>-0.1</v>
      </c>
    </row>
    <row r="28" spans="1:3">
      <c r="A28" s="177"/>
      <c r="B28" s="265"/>
      <c r="C28" s="270"/>
    </row>
    <row r="29" spans="1:3" ht="15.75" thickBot="1">
      <c r="A29" s="177"/>
      <c r="B29" s="268"/>
      <c r="C29" s="273">
        <f>SUM(C20:C27)</f>
        <v>5121798464.1400003</v>
      </c>
    </row>
    <row r="30" spans="1:3" ht="15.75" thickBot="1">
      <c r="A30" s="177"/>
      <c r="B30" s="263"/>
      <c r="C30" s="270"/>
    </row>
    <row r="31" spans="1:3" ht="15.75" thickBot="1">
      <c r="A31" s="272"/>
      <c r="B31" s="267" t="s">
        <v>670</v>
      </c>
      <c r="C31" s="263"/>
    </row>
    <row r="32" spans="1:3">
      <c r="A32" s="272"/>
      <c r="B32" s="263"/>
      <c r="C32" s="263"/>
    </row>
    <row r="33" spans="1:5">
      <c r="A33" s="272"/>
      <c r="B33" s="271" t="s">
        <v>671</v>
      </c>
      <c r="C33" s="263"/>
    </row>
    <row r="34" spans="1:5">
      <c r="A34" s="272" t="s">
        <v>672</v>
      </c>
      <c r="B34" s="269" t="s">
        <v>673</v>
      </c>
      <c r="C34" s="198">
        <v>115205798.68000001</v>
      </c>
    </row>
    <row r="35" spans="1:5">
      <c r="A35" s="274" t="s">
        <v>674</v>
      </c>
      <c r="B35" s="269" t="s">
        <v>675</v>
      </c>
      <c r="C35" s="187">
        <v>12357170.84</v>
      </c>
      <c r="E35" s="275"/>
    </row>
    <row r="36" spans="1:5">
      <c r="A36" s="272" t="s">
        <v>676</v>
      </c>
      <c r="B36" s="269" t="s">
        <v>677</v>
      </c>
      <c r="C36" s="187">
        <v>136018269.84999999</v>
      </c>
      <c r="E36" s="275"/>
    </row>
    <row r="37" spans="1:5">
      <c r="A37" s="275" t="s">
        <v>678</v>
      </c>
      <c r="B37" s="269" t="s">
        <v>679</v>
      </c>
      <c r="C37" s="187">
        <v>22216601.629999999</v>
      </c>
      <c r="E37" s="275"/>
    </row>
    <row r="38" spans="1:5">
      <c r="A38" s="274" t="s">
        <v>680</v>
      </c>
      <c r="B38" s="269" t="s">
        <v>681</v>
      </c>
      <c r="C38" s="187">
        <v>90348688.359999999</v>
      </c>
    </row>
    <row r="39" spans="1:5">
      <c r="A39" s="274" t="s">
        <v>682</v>
      </c>
      <c r="B39" s="269" t="s">
        <v>683</v>
      </c>
      <c r="C39" s="195">
        <v>2127513.0299999998</v>
      </c>
    </row>
    <row r="40" spans="1:5">
      <c r="A40" s="274"/>
      <c r="B40" s="276" t="s">
        <v>684</v>
      </c>
      <c r="C40" s="265">
        <f>SUM(C34:C39)</f>
        <v>378274042.38999999</v>
      </c>
    </row>
    <row r="41" spans="1:5">
      <c r="A41" s="274"/>
      <c r="B41" s="271"/>
      <c r="C41" s="277"/>
    </row>
    <row r="42" spans="1:5">
      <c r="A42" s="272" t="s">
        <v>685</v>
      </c>
      <c r="B42" s="271" t="s">
        <v>686</v>
      </c>
      <c r="C42" s="187">
        <v>2147126720.4000001</v>
      </c>
      <c r="E42" s="278"/>
    </row>
    <row r="43" spans="1:5">
      <c r="A43" s="275" t="s">
        <v>687</v>
      </c>
      <c r="B43" s="271" t="s">
        <v>688</v>
      </c>
      <c r="C43" s="187">
        <v>27177194.129999999</v>
      </c>
    </row>
    <row r="44" spans="1:5">
      <c r="A44" s="274" t="s">
        <v>689</v>
      </c>
      <c r="B44" s="271" t="s">
        <v>690</v>
      </c>
      <c r="C44" s="187">
        <v>452493423.77999997</v>
      </c>
    </row>
    <row r="45" spans="1:5">
      <c r="A45" s="274" t="s">
        <v>691</v>
      </c>
      <c r="B45" s="271" t="s">
        <v>692</v>
      </c>
      <c r="C45" s="195">
        <v>124942887.29000001</v>
      </c>
    </row>
    <row r="46" spans="1:5">
      <c r="A46" s="272"/>
      <c r="B46" s="268" t="s">
        <v>693</v>
      </c>
      <c r="C46" s="279">
        <f>SUM(C40:C45)</f>
        <v>3130014267.9899998</v>
      </c>
    </row>
    <row r="47" spans="1:5">
      <c r="A47" s="272"/>
      <c r="B47" s="263"/>
      <c r="C47" s="263"/>
    </row>
    <row r="48" spans="1:5">
      <c r="A48" s="274"/>
      <c r="B48" s="280" t="s">
        <v>694</v>
      </c>
      <c r="C48" s="263"/>
    </row>
    <row r="49" spans="1:4">
      <c r="A49" s="274" t="s">
        <v>695</v>
      </c>
      <c r="B49" s="268" t="s">
        <v>696</v>
      </c>
      <c r="C49" s="187">
        <v>1223759.5900000001</v>
      </c>
    </row>
    <row r="50" spans="1:4">
      <c r="A50" s="274" t="s">
        <v>697</v>
      </c>
      <c r="B50" s="268" t="s">
        <v>698</v>
      </c>
      <c r="C50" s="187">
        <v>736651941.75</v>
      </c>
    </row>
    <row r="51" spans="1:4">
      <c r="A51" s="274" t="s">
        <v>699</v>
      </c>
      <c r="B51" s="268" t="s">
        <v>700</v>
      </c>
      <c r="C51" s="187">
        <v>0</v>
      </c>
    </row>
    <row r="52" spans="1:4">
      <c r="A52" s="274" t="s">
        <v>701</v>
      </c>
      <c r="B52" s="268" t="s">
        <v>702</v>
      </c>
      <c r="C52" s="187">
        <v>0</v>
      </c>
    </row>
    <row r="53" spans="1:4">
      <c r="A53" s="281" t="s">
        <v>703</v>
      </c>
      <c r="B53" s="268" t="s">
        <v>704</v>
      </c>
      <c r="C53" s="187">
        <v>0</v>
      </c>
    </row>
    <row r="54" spans="1:4">
      <c r="A54" s="281" t="s">
        <v>705</v>
      </c>
      <c r="B54" s="268" t="s">
        <v>706</v>
      </c>
      <c r="C54" s="187">
        <v>1259494937.95</v>
      </c>
    </row>
    <row r="55" spans="1:4">
      <c r="A55" s="281" t="s">
        <v>707</v>
      </c>
      <c r="B55" s="268" t="s">
        <v>708</v>
      </c>
      <c r="C55" s="195">
        <v>-12170789.68</v>
      </c>
    </row>
    <row r="56" spans="1:4">
      <c r="A56" s="272"/>
      <c r="B56" s="269" t="s">
        <v>709</v>
      </c>
      <c r="C56" s="265">
        <f>SUM(C49:C55)</f>
        <v>1985199849.6099999</v>
      </c>
    </row>
    <row r="57" spans="1:4">
      <c r="A57" s="281" t="s">
        <v>710</v>
      </c>
      <c r="B57" s="271" t="s">
        <v>711</v>
      </c>
      <c r="C57" s="195">
        <v>6584347.7300000004</v>
      </c>
    </row>
    <row r="58" spans="1:4">
      <c r="A58" s="274"/>
      <c r="B58" s="269" t="s">
        <v>712</v>
      </c>
      <c r="C58" s="282">
        <f>SUM(C56:C57)</f>
        <v>1991784197.3399999</v>
      </c>
    </row>
    <row r="59" spans="1:4">
      <c r="B59" s="269"/>
      <c r="C59" s="263"/>
    </row>
    <row r="60" spans="1:4" ht="15.75" thickBot="1">
      <c r="A60" s="274"/>
      <c r="B60" s="268"/>
      <c r="C60" s="273">
        <f>+C58+C46</f>
        <v>5121798465.3299999</v>
      </c>
    </row>
    <row r="61" spans="1:4">
      <c r="B61" s="263"/>
      <c r="C61" s="270"/>
    </row>
    <row r="62" spans="1:4">
      <c r="A62" s="274"/>
      <c r="B62" s="268"/>
      <c r="C62" s="283">
        <f>+C60-C29</f>
        <v>1.1899995803833008</v>
      </c>
    </row>
    <row r="63" spans="1:4" ht="15.75" thickBot="1">
      <c r="B63" s="284"/>
    </row>
    <row r="64" spans="1:4">
      <c r="B64" s="285"/>
      <c r="C64" s="286" t="s">
        <v>713</v>
      </c>
      <c r="D64" s="287"/>
    </row>
    <row r="65" spans="2:7">
      <c r="B65" s="288" t="s">
        <v>714</v>
      </c>
      <c r="C65" s="289">
        <f>C39+C42</f>
        <v>2149254233.4300003</v>
      </c>
      <c r="D65" s="290">
        <f>C65/C67</f>
        <v>0.51901335120677927</v>
      </c>
      <c r="E65" s="291"/>
      <c r="F65" s="292"/>
      <c r="G65" s="292"/>
    </row>
    <row r="66" spans="2:7">
      <c r="B66" s="288" t="s">
        <v>715</v>
      </c>
      <c r="C66" s="289">
        <f>C58</f>
        <v>1991784197.3399999</v>
      </c>
      <c r="D66" s="290">
        <f>C66/C67</f>
        <v>0.48098664879322067</v>
      </c>
      <c r="E66" s="291"/>
      <c r="F66" s="292"/>
      <c r="G66" s="292"/>
    </row>
    <row r="67" spans="2:7">
      <c r="B67" s="288" t="s">
        <v>716</v>
      </c>
      <c r="C67" s="293">
        <f>SUM(C65:C66)</f>
        <v>4141038430.7700005</v>
      </c>
      <c r="D67" s="294"/>
      <c r="E67" s="291"/>
      <c r="F67" s="291"/>
      <c r="G67" s="291"/>
    </row>
    <row r="68" spans="2:7" ht="15.75" thickBot="1">
      <c r="B68" s="295"/>
      <c r="C68" s="296"/>
      <c r="D68" s="297"/>
      <c r="E68" s="291"/>
      <c r="F68" s="291"/>
      <c r="G68" s="291"/>
    </row>
    <row r="69" spans="2:7" ht="15.75" thickBot="1">
      <c r="B69" s="291"/>
      <c r="C69" s="291"/>
      <c r="D69" s="291"/>
      <c r="E69" s="291"/>
      <c r="F69" s="291"/>
      <c r="G69" s="291"/>
    </row>
    <row r="70" spans="2:7">
      <c r="B70" s="285"/>
      <c r="C70" s="298"/>
      <c r="D70" s="299"/>
      <c r="E70" s="291"/>
      <c r="F70" s="291"/>
      <c r="G70" s="291"/>
    </row>
    <row r="71" spans="2:7">
      <c r="B71" s="300"/>
      <c r="C71" s="301" t="s">
        <v>717</v>
      </c>
      <c r="D71" s="294"/>
      <c r="E71" s="291"/>
      <c r="F71" s="291"/>
      <c r="G71" s="291"/>
    </row>
    <row r="72" spans="2:7">
      <c r="B72" s="288" t="s">
        <v>219</v>
      </c>
      <c r="C72" s="302">
        <f>-'Corp-IS'!D28</f>
        <v>64235764.969999999</v>
      </c>
      <c r="D72" s="303"/>
      <c r="E72" s="291"/>
      <c r="F72" s="291"/>
      <c r="G72" s="291"/>
    </row>
    <row r="73" spans="2:7">
      <c r="B73" s="288" t="s">
        <v>714</v>
      </c>
      <c r="C73" s="304">
        <f>C65</f>
        <v>2149254233.4300003</v>
      </c>
      <c r="D73" s="303"/>
      <c r="E73" s="291"/>
      <c r="F73" s="291"/>
      <c r="G73" s="291"/>
    </row>
    <row r="74" spans="2:7">
      <c r="B74" s="300"/>
      <c r="C74" s="291"/>
      <c r="D74" s="294"/>
      <c r="E74" s="291"/>
      <c r="F74" s="291"/>
      <c r="G74" s="291"/>
    </row>
    <row r="75" spans="2:7">
      <c r="B75" s="288" t="s">
        <v>718</v>
      </c>
      <c r="C75" s="305">
        <f>C72/C73</f>
        <v>2.9887466997092278E-2</v>
      </c>
      <c r="D75" s="306"/>
      <c r="E75" s="291"/>
      <c r="F75" s="291"/>
      <c r="G75" s="291"/>
    </row>
    <row r="76" spans="2:7" ht="15.75" thickBot="1">
      <c r="B76" s="295"/>
      <c r="C76" s="296"/>
      <c r="D76" s="297"/>
      <c r="E76" s="291"/>
      <c r="F76" s="291"/>
      <c r="G76" s="291"/>
    </row>
    <row r="77" spans="2:7">
      <c r="B77" s="284"/>
    </row>
    <row r="78" spans="2:7">
      <c r="B78" s="284"/>
    </row>
    <row r="79" spans="2:7">
      <c r="B79" s="284"/>
    </row>
    <row r="80" spans="2:7">
      <c r="B80" s="284"/>
    </row>
    <row r="81" spans="2:2">
      <c r="B81" s="284"/>
    </row>
    <row r="82" spans="2:2">
      <c r="B82" s="284"/>
    </row>
    <row r="83" spans="2:2">
      <c r="B83" s="284"/>
    </row>
    <row r="84" spans="2:2">
      <c r="B84" s="284"/>
    </row>
    <row r="85" spans="2:2">
      <c r="B85" s="284"/>
    </row>
    <row r="86" spans="2:2">
      <c r="B86" s="284"/>
    </row>
    <row r="87" spans="2:2">
      <c r="B87" s="284"/>
    </row>
    <row r="88" spans="2:2">
      <c r="B88" s="284"/>
    </row>
    <row r="89" spans="2:2">
      <c r="B89" s="284"/>
    </row>
    <row r="90" spans="2:2">
      <c r="B90" s="284"/>
    </row>
    <row r="91" spans="2:2">
      <c r="B91" s="284"/>
    </row>
    <row r="92" spans="2:2">
      <c r="B92" s="284"/>
    </row>
    <row r="93" spans="2:2">
      <c r="B93" s="284"/>
    </row>
    <row r="94" spans="2:2">
      <c r="B94" s="284"/>
    </row>
    <row r="95" spans="2:2">
      <c r="B95" s="284"/>
    </row>
    <row r="96" spans="2:2">
      <c r="B96" s="284"/>
    </row>
    <row r="97" spans="2:2">
      <c r="B97" s="284"/>
    </row>
    <row r="98" spans="2:2">
      <c r="B98" s="284"/>
    </row>
    <row r="99" spans="2:2">
      <c r="B99" s="284"/>
    </row>
    <row r="100" spans="2:2">
      <c r="B100" s="284"/>
    </row>
    <row r="101" spans="2:2">
      <c r="B101" s="284"/>
    </row>
    <row r="102" spans="2:2">
      <c r="B102" s="284"/>
    </row>
    <row r="103" spans="2:2">
      <c r="B103" s="284"/>
    </row>
    <row r="104" spans="2:2">
      <c r="B104" s="284"/>
    </row>
    <row r="105" spans="2:2">
      <c r="B105" s="284"/>
    </row>
    <row r="106" spans="2:2">
      <c r="B106" s="284"/>
    </row>
    <row r="107" spans="2:2">
      <c r="B107" s="284"/>
    </row>
    <row r="108" spans="2:2">
      <c r="B108" s="284"/>
    </row>
    <row r="109" spans="2:2">
      <c r="B109" s="284"/>
    </row>
    <row r="110" spans="2:2">
      <c r="B110" s="284"/>
    </row>
    <row r="111" spans="2:2">
      <c r="B111" s="284"/>
    </row>
    <row r="112" spans="2:2">
      <c r="B112" s="284"/>
    </row>
    <row r="113" spans="2:2">
      <c r="B113" s="284"/>
    </row>
    <row r="114" spans="2:2">
      <c r="B114" s="284"/>
    </row>
    <row r="115" spans="2:2">
      <c r="B115" s="284"/>
    </row>
    <row r="116" spans="2:2">
      <c r="B116" s="284"/>
    </row>
    <row r="117" spans="2:2">
      <c r="B117" s="284"/>
    </row>
    <row r="118" spans="2:2">
      <c r="B118" s="284"/>
    </row>
    <row r="119" spans="2:2">
      <c r="B119" s="284"/>
    </row>
    <row r="120" spans="2:2">
      <c r="B120" s="284"/>
    </row>
    <row r="121" spans="2:2">
      <c r="B121" s="284"/>
    </row>
    <row r="122" spans="2:2">
      <c r="B122" s="284"/>
    </row>
    <row r="123" spans="2:2">
      <c r="B123" s="284"/>
    </row>
    <row r="124" spans="2:2">
      <c r="B124" s="284"/>
    </row>
    <row r="125" spans="2:2">
      <c r="B125" s="284"/>
    </row>
    <row r="126" spans="2:2">
      <c r="B126" s="284"/>
    </row>
    <row r="127" spans="2:2">
      <c r="B127" s="284"/>
    </row>
    <row r="128" spans="2:2">
      <c r="B128" s="284"/>
    </row>
    <row r="129" spans="2:2">
      <c r="B129" s="284"/>
    </row>
    <row r="130" spans="2:2">
      <c r="B130" s="284"/>
    </row>
    <row r="131" spans="2:2">
      <c r="B131" s="284"/>
    </row>
    <row r="132" spans="2:2">
      <c r="B132" s="284"/>
    </row>
    <row r="133" spans="2:2">
      <c r="B133" s="284"/>
    </row>
    <row r="134" spans="2:2">
      <c r="B134" s="284"/>
    </row>
    <row r="135" spans="2:2">
      <c r="B135" s="284"/>
    </row>
    <row r="136" spans="2:2">
      <c r="B136" s="284"/>
    </row>
    <row r="137" spans="2:2">
      <c r="B137" s="284"/>
    </row>
    <row r="138" spans="2:2">
      <c r="B138" s="284"/>
    </row>
    <row r="139" spans="2:2">
      <c r="B139" s="284"/>
    </row>
    <row r="140" spans="2:2">
      <c r="B140" s="284"/>
    </row>
    <row r="141" spans="2:2">
      <c r="B141" s="284"/>
    </row>
    <row r="142" spans="2:2">
      <c r="B142" s="284"/>
    </row>
    <row r="143" spans="2:2">
      <c r="B143" s="284"/>
    </row>
    <row r="144" spans="2:2">
      <c r="B144" s="284"/>
    </row>
    <row r="145" spans="2:2">
      <c r="B145" s="284"/>
    </row>
    <row r="146" spans="2:2">
      <c r="B146" s="284"/>
    </row>
    <row r="147" spans="2:2">
      <c r="B147" s="284"/>
    </row>
    <row r="148" spans="2:2">
      <c r="B148" s="284"/>
    </row>
    <row r="149" spans="2:2">
      <c r="B149" s="284"/>
    </row>
    <row r="150" spans="2:2">
      <c r="B150" s="284"/>
    </row>
    <row r="151" spans="2:2">
      <c r="B151" s="284"/>
    </row>
    <row r="152" spans="2:2">
      <c r="B152" s="284"/>
    </row>
    <row r="153" spans="2:2">
      <c r="B153" s="284"/>
    </row>
    <row r="154" spans="2:2">
      <c r="B154" s="284"/>
    </row>
    <row r="155" spans="2:2">
      <c r="B155" s="284"/>
    </row>
    <row r="156" spans="2:2">
      <c r="B156" s="284"/>
    </row>
    <row r="157" spans="2:2">
      <c r="B157" s="284"/>
    </row>
    <row r="158" spans="2:2">
      <c r="B158" s="284"/>
    </row>
    <row r="159" spans="2:2">
      <c r="B159" s="284"/>
    </row>
    <row r="160" spans="2:2">
      <c r="B160" s="284"/>
    </row>
    <row r="161" spans="2:2">
      <c r="B161" s="284"/>
    </row>
    <row r="162" spans="2:2">
      <c r="B162" s="284"/>
    </row>
    <row r="163" spans="2:2">
      <c r="B163" s="284"/>
    </row>
    <row r="164" spans="2:2">
      <c r="B164" s="284"/>
    </row>
    <row r="165" spans="2:2">
      <c r="B165" s="284"/>
    </row>
    <row r="166" spans="2:2">
      <c r="B166" s="284"/>
    </row>
    <row r="167" spans="2:2">
      <c r="B167" s="284"/>
    </row>
    <row r="168" spans="2:2">
      <c r="B168" s="284"/>
    </row>
    <row r="169" spans="2:2">
      <c r="B169" s="284"/>
    </row>
    <row r="170" spans="2:2">
      <c r="B170" s="284"/>
    </row>
    <row r="171" spans="2:2">
      <c r="B171" s="284"/>
    </row>
    <row r="172" spans="2:2">
      <c r="B172" s="284"/>
    </row>
    <row r="173" spans="2:2">
      <c r="B173" s="284"/>
    </row>
    <row r="174" spans="2:2">
      <c r="B174" s="284"/>
    </row>
    <row r="175" spans="2:2">
      <c r="B175" s="284"/>
    </row>
    <row r="176" spans="2:2">
      <c r="B176" s="284"/>
    </row>
    <row r="177" spans="2:2">
      <c r="B177" s="284"/>
    </row>
    <row r="178" spans="2:2">
      <c r="B178" s="284"/>
    </row>
    <row r="179" spans="2:2">
      <c r="B179" s="284"/>
    </row>
    <row r="180" spans="2:2">
      <c r="B180" s="284"/>
    </row>
    <row r="181" spans="2:2">
      <c r="B181" s="284"/>
    </row>
    <row r="182" spans="2:2">
      <c r="B182" s="284"/>
    </row>
    <row r="183" spans="2:2">
      <c r="B183" s="284"/>
    </row>
    <row r="184" spans="2:2">
      <c r="B184" s="284"/>
    </row>
    <row r="185" spans="2:2">
      <c r="B185" s="284"/>
    </row>
    <row r="186" spans="2:2">
      <c r="B186" s="284"/>
    </row>
    <row r="187" spans="2:2">
      <c r="B187" s="284"/>
    </row>
    <row r="188" spans="2:2">
      <c r="B188" s="284"/>
    </row>
    <row r="189" spans="2:2">
      <c r="B189" s="284"/>
    </row>
    <row r="190" spans="2:2">
      <c r="B190" s="284"/>
    </row>
    <row r="191" spans="2:2">
      <c r="B191" s="284"/>
    </row>
    <row r="192" spans="2:2">
      <c r="B192" s="284"/>
    </row>
    <row r="193" spans="2:2">
      <c r="B193" s="284"/>
    </row>
    <row r="194" spans="2:2">
      <c r="B194" s="284"/>
    </row>
    <row r="195" spans="2:2">
      <c r="B195" s="284"/>
    </row>
    <row r="196" spans="2:2">
      <c r="B196" s="284"/>
    </row>
    <row r="197" spans="2:2">
      <c r="B197" s="284"/>
    </row>
    <row r="198" spans="2:2">
      <c r="B198" s="284"/>
    </row>
    <row r="199" spans="2:2">
      <c r="B199" s="284"/>
    </row>
    <row r="200" spans="2:2">
      <c r="B200" s="284"/>
    </row>
    <row r="201" spans="2:2">
      <c r="B201" s="284"/>
    </row>
    <row r="202" spans="2:2">
      <c r="B202" s="284"/>
    </row>
    <row r="203" spans="2:2">
      <c r="B203" s="284"/>
    </row>
    <row r="204" spans="2:2">
      <c r="B204" s="284"/>
    </row>
    <row r="205" spans="2:2">
      <c r="B205" s="284"/>
    </row>
    <row r="206" spans="2:2">
      <c r="B206" s="284"/>
    </row>
    <row r="207" spans="2:2">
      <c r="B207" s="284"/>
    </row>
    <row r="208" spans="2:2">
      <c r="B208" s="284"/>
    </row>
    <row r="209" spans="2:2">
      <c r="B209" s="284"/>
    </row>
    <row r="210" spans="2:2">
      <c r="B210" s="284"/>
    </row>
    <row r="211" spans="2:2">
      <c r="B211" s="284"/>
    </row>
    <row r="212" spans="2:2">
      <c r="B212" s="284"/>
    </row>
    <row r="213" spans="2:2">
      <c r="B213" s="284"/>
    </row>
    <row r="214" spans="2:2">
      <c r="B214" s="284"/>
    </row>
    <row r="215" spans="2:2">
      <c r="B215" s="284"/>
    </row>
    <row r="216" spans="2:2">
      <c r="B216" s="284"/>
    </row>
    <row r="217" spans="2:2">
      <c r="B217" s="284"/>
    </row>
    <row r="218" spans="2:2">
      <c r="B218" s="284"/>
    </row>
    <row r="219" spans="2:2">
      <c r="B219" s="284"/>
    </row>
    <row r="220" spans="2:2">
      <c r="B220" s="284"/>
    </row>
    <row r="221" spans="2:2">
      <c r="B221" s="284"/>
    </row>
    <row r="222" spans="2:2">
      <c r="B222" s="284"/>
    </row>
    <row r="223" spans="2:2">
      <c r="B223" s="284"/>
    </row>
    <row r="224" spans="2:2">
      <c r="B224" s="284"/>
    </row>
    <row r="225" spans="2:2">
      <c r="B225" s="284"/>
    </row>
    <row r="226" spans="2:2">
      <c r="B226" s="284"/>
    </row>
    <row r="227" spans="2:2">
      <c r="B227" s="284"/>
    </row>
    <row r="228" spans="2:2">
      <c r="B228" s="284"/>
    </row>
    <row r="229" spans="2:2">
      <c r="B229" s="284"/>
    </row>
    <row r="230" spans="2:2">
      <c r="B230" s="284"/>
    </row>
    <row r="231" spans="2:2">
      <c r="B231" s="284"/>
    </row>
    <row r="232" spans="2:2">
      <c r="B232" s="284"/>
    </row>
    <row r="233" spans="2:2">
      <c r="B233" s="284"/>
    </row>
    <row r="234" spans="2:2">
      <c r="B234" s="284"/>
    </row>
    <row r="235" spans="2:2">
      <c r="B235" s="284"/>
    </row>
    <row r="236" spans="2:2">
      <c r="B236" s="284"/>
    </row>
    <row r="237" spans="2:2">
      <c r="B237" s="284"/>
    </row>
    <row r="238" spans="2:2">
      <c r="B238" s="284"/>
    </row>
  </sheetData>
  <pageMargins left="0.7" right="0.7" top="0.75" bottom="0.75" header="0.3" footer="0.3"/>
  <pageSetup scale="67" orientation="portrait" r:id="rId1"/>
</worksheet>
</file>

<file path=xl/worksheets/sheet25.xml><?xml version="1.0" encoding="utf-8"?>
<worksheet xmlns="http://schemas.openxmlformats.org/spreadsheetml/2006/main" xmlns:r="http://schemas.openxmlformats.org/officeDocument/2006/relationships">
  <dimension ref="A1:E41"/>
  <sheetViews>
    <sheetView topLeftCell="B11" workbookViewId="0">
      <selection activeCell="D75" sqref="D75"/>
    </sheetView>
  </sheetViews>
  <sheetFormatPr defaultRowHeight="15" outlineLevelRow="1" outlineLevelCol="1"/>
  <cols>
    <col min="1" max="1" width="27.5703125" style="177" hidden="1" customWidth="1" outlineLevel="1"/>
    <col min="2" max="2" width="32.28515625" style="177" customWidth="1" collapsed="1"/>
    <col min="3" max="3" width="1.140625" style="177" customWidth="1"/>
    <col min="4" max="4" width="16.7109375" style="177" customWidth="1"/>
    <col min="5" max="5" width="0.7109375" style="177" customWidth="1"/>
    <col min="6" max="256" width="9.140625" style="177"/>
    <col min="257" max="257" width="0" style="177" hidden="1" customWidth="1"/>
    <col min="258" max="258" width="32.28515625" style="177" customWidth="1"/>
    <col min="259" max="259" width="1.140625" style="177" customWidth="1"/>
    <col min="260" max="260" width="16.7109375" style="177" customWidth="1"/>
    <col min="261" max="261" width="0.7109375" style="177" customWidth="1"/>
    <col min="262" max="512" width="9.140625" style="177"/>
    <col min="513" max="513" width="0" style="177" hidden="1" customWidth="1"/>
    <col min="514" max="514" width="32.28515625" style="177" customWidth="1"/>
    <col min="515" max="515" width="1.140625" style="177" customWidth="1"/>
    <col min="516" max="516" width="16.7109375" style="177" customWidth="1"/>
    <col min="517" max="517" width="0.7109375" style="177" customWidth="1"/>
    <col min="518" max="768" width="9.140625" style="177"/>
    <col min="769" max="769" width="0" style="177" hidden="1" customWidth="1"/>
    <col min="770" max="770" width="32.28515625" style="177" customWidth="1"/>
    <col min="771" max="771" width="1.140625" style="177" customWidth="1"/>
    <col min="772" max="772" width="16.7109375" style="177" customWidth="1"/>
    <col min="773" max="773" width="0.7109375" style="177" customWidth="1"/>
    <col min="774" max="1024" width="9.140625" style="177"/>
    <col min="1025" max="1025" width="0" style="177" hidden="1" customWidth="1"/>
    <col min="1026" max="1026" width="32.28515625" style="177" customWidth="1"/>
    <col min="1027" max="1027" width="1.140625" style="177" customWidth="1"/>
    <col min="1028" max="1028" width="16.7109375" style="177" customWidth="1"/>
    <col min="1029" max="1029" width="0.7109375" style="177" customWidth="1"/>
    <col min="1030" max="1280" width="9.140625" style="177"/>
    <col min="1281" max="1281" width="0" style="177" hidden="1" customWidth="1"/>
    <col min="1282" max="1282" width="32.28515625" style="177" customWidth="1"/>
    <col min="1283" max="1283" width="1.140625" style="177" customWidth="1"/>
    <col min="1284" max="1284" width="16.7109375" style="177" customWidth="1"/>
    <col min="1285" max="1285" width="0.7109375" style="177" customWidth="1"/>
    <col min="1286" max="1536" width="9.140625" style="177"/>
    <col min="1537" max="1537" width="0" style="177" hidden="1" customWidth="1"/>
    <col min="1538" max="1538" width="32.28515625" style="177" customWidth="1"/>
    <col min="1539" max="1539" width="1.140625" style="177" customWidth="1"/>
    <col min="1540" max="1540" width="16.7109375" style="177" customWidth="1"/>
    <col min="1541" max="1541" width="0.7109375" style="177" customWidth="1"/>
    <col min="1542" max="1792" width="9.140625" style="177"/>
    <col min="1793" max="1793" width="0" style="177" hidden="1" customWidth="1"/>
    <col min="1794" max="1794" width="32.28515625" style="177" customWidth="1"/>
    <col min="1795" max="1795" width="1.140625" style="177" customWidth="1"/>
    <col min="1796" max="1796" width="16.7109375" style="177" customWidth="1"/>
    <col min="1797" max="1797" width="0.7109375" style="177" customWidth="1"/>
    <col min="1798" max="2048" width="9.140625" style="177"/>
    <col min="2049" max="2049" width="0" style="177" hidden="1" customWidth="1"/>
    <col min="2050" max="2050" width="32.28515625" style="177" customWidth="1"/>
    <col min="2051" max="2051" width="1.140625" style="177" customWidth="1"/>
    <col min="2052" max="2052" width="16.7109375" style="177" customWidth="1"/>
    <col min="2053" max="2053" width="0.7109375" style="177" customWidth="1"/>
    <col min="2054" max="2304" width="9.140625" style="177"/>
    <col min="2305" max="2305" width="0" style="177" hidden="1" customWidth="1"/>
    <col min="2306" max="2306" width="32.28515625" style="177" customWidth="1"/>
    <col min="2307" max="2307" width="1.140625" style="177" customWidth="1"/>
    <col min="2308" max="2308" width="16.7109375" style="177" customWidth="1"/>
    <col min="2309" max="2309" width="0.7109375" style="177" customWidth="1"/>
    <col min="2310" max="2560" width="9.140625" style="177"/>
    <col min="2561" max="2561" width="0" style="177" hidden="1" customWidth="1"/>
    <col min="2562" max="2562" width="32.28515625" style="177" customWidth="1"/>
    <col min="2563" max="2563" width="1.140625" style="177" customWidth="1"/>
    <col min="2564" max="2564" width="16.7109375" style="177" customWidth="1"/>
    <col min="2565" max="2565" width="0.7109375" style="177" customWidth="1"/>
    <col min="2566" max="2816" width="9.140625" style="177"/>
    <col min="2817" max="2817" width="0" style="177" hidden="1" customWidth="1"/>
    <col min="2818" max="2818" width="32.28515625" style="177" customWidth="1"/>
    <col min="2819" max="2819" width="1.140625" style="177" customWidth="1"/>
    <col min="2820" max="2820" width="16.7109375" style="177" customWidth="1"/>
    <col min="2821" max="2821" width="0.7109375" style="177" customWidth="1"/>
    <col min="2822" max="3072" width="9.140625" style="177"/>
    <col min="3073" max="3073" width="0" style="177" hidden="1" customWidth="1"/>
    <col min="3074" max="3074" width="32.28515625" style="177" customWidth="1"/>
    <col min="3075" max="3075" width="1.140625" style="177" customWidth="1"/>
    <col min="3076" max="3076" width="16.7109375" style="177" customWidth="1"/>
    <col min="3077" max="3077" width="0.7109375" style="177" customWidth="1"/>
    <col min="3078" max="3328" width="9.140625" style="177"/>
    <col min="3329" max="3329" width="0" style="177" hidden="1" customWidth="1"/>
    <col min="3330" max="3330" width="32.28515625" style="177" customWidth="1"/>
    <col min="3331" max="3331" width="1.140625" style="177" customWidth="1"/>
    <col min="3332" max="3332" width="16.7109375" style="177" customWidth="1"/>
    <col min="3333" max="3333" width="0.7109375" style="177" customWidth="1"/>
    <col min="3334" max="3584" width="9.140625" style="177"/>
    <col min="3585" max="3585" width="0" style="177" hidden="1" customWidth="1"/>
    <col min="3586" max="3586" width="32.28515625" style="177" customWidth="1"/>
    <col min="3587" max="3587" width="1.140625" style="177" customWidth="1"/>
    <col min="3588" max="3588" width="16.7109375" style="177" customWidth="1"/>
    <col min="3589" max="3589" width="0.7109375" style="177" customWidth="1"/>
    <col min="3590" max="3840" width="9.140625" style="177"/>
    <col min="3841" max="3841" width="0" style="177" hidden="1" customWidth="1"/>
    <col min="3842" max="3842" width="32.28515625" style="177" customWidth="1"/>
    <col min="3843" max="3843" width="1.140625" style="177" customWidth="1"/>
    <col min="3844" max="3844" width="16.7109375" style="177" customWidth="1"/>
    <col min="3845" max="3845" width="0.7109375" style="177" customWidth="1"/>
    <col min="3846" max="4096" width="9.140625" style="177"/>
    <col min="4097" max="4097" width="0" style="177" hidden="1" customWidth="1"/>
    <col min="4098" max="4098" width="32.28515625" style="177" customWidth="1"/>
    <col min="4099" max="4099" width="1.140625" style="177" customWidth="1"/>
    <col min="4100" max="4100" width="16.7109375" style="177" customWidth="1"/>
    <col min="4101" max="4101" width="0.7109375" style="177" customWidth="1"/>
    <col min="4102" max="4352" width="9.140625" style="177"/>
    <col min="4353" max="4353" width="0" style="177" hidden="1" customWidth="1"/>
    <col min="4354" max="4354" width="32.28515625" style="177" customWidth="1"/>
    <col min="4355" max="4355" width="1.140625" style="177" customWidth="1"/>
    <col min="4356" max="4356" width="16.7109375" style="177" customWidth="1"/>
    <col min="4357" max="4357" width="0.7109375" style="177" customWidth="1"/>
    <col min="4358" max="4608" width="9.140625" style="177"/>
    <col min="4609" max="4609" width="0" style="177" hidden="1" customWidth="1"/>
    <col min="4610" max="4610" width="32.28515625" style="177" customWidth="1"/>
    <col min="4611" max="4611" width="1.140625" style="177" customWidth="1"/>
    <col min="4612" max="4612" width="16.7109375" style="177" customWidth="1"/>
    <col min="4613" max="4613" width="0.7109375" style="177" customWidth="1"/>
    <col min="4614" max="4864" width="9.140625" style="177"/>
    <col min="4865" max="4865" width="0" style="177" hidden="1" customWidth="1"/>
    <col min="4866" max="4866" width="32.28515625" style="177" customWidth="1"/>
    <col min="4867" max="4867" width="1.140625" style="177" customWidth="1"/>
    <col min="4868" max="4868" width="16.7109375" style="177" customWidth="1"/>
    <col min="4869" max="4869" width="0.7109375" style="177" customWidth="1"/>
    <col min="4870" max="5120" width="9.140625" style="177"/>
    <col min="5121" max="5121" width="0" style="177" hidden="1" customWidth="1"/>
    <col min="5122" max="5122" width="32.28515625" style="177" customWidth="1"/>
    <col min="5123" max="5123" width="1.140625" style="177" customWidth="1"/>
    <col min="5124" max="5124" width="16.7109375" style="177" customWidth="1"/>
    <col min="5125" max="5125" width="0.7109375" style="177" customWidth="1"/>
    <col min="5126" max="5376" width="9.140625" style="177"/>
    <col min="5377" max="5377" width="0" style="177" hidden="1" customWidth="1"/>
    <col min="5378" max="5378" width="32.28515625" style="177" customWidth="1"/>
    <col min="5379" max="5379" width="1.140625" style="177" customWidth="1"/>
    <col min="5380" max="5380" width="16.7109375" style="177" customWidth="1"/>
    <col min="5381" max="5381" width="0.7109375" style="177" customWidth="1"/>
    <col min="5382" max="5632" width="9.140625" style="177"/>
    <col min="5633" max="5633" width="0" style="177" hidden="1" customWidth="1"/>
    <col min="5634" max="5634" width="32.28515625" style="177" customWidth="1"/>
    <col min="5635" max="5635" width="1.140625" style="177" customWidth="1"/>
    <col min="5636" max="5636" width="16.7109375" style="177" customWidth="1"/>
    <col min="5637" max="5637" width="0.7109375" style="177" customWidth="1"/>
    <col min="5638" max="5888" width="9.140625" style="177"/>
    <col min="5889" max="5889" width="0" style="177" hidden="1" customWidth="1"/>
    <col min="5890" max="5890" width="32.28515625" style="177" customWidth="1"/>
    <col min="5891" max="5891" width="1.140625" style="177" customWidth="1"/>
    <col min="5892" max="5892" width="16.7109375" style="177" customWidth="1"/>
    <col min="5893" max="5893" width="0.7109375" style="177" customWidth="1"/>
    <col min="5894" max="6144" width="9.140625" style="177"/>
    <col min="6145" max="6145" width="0" style="177" hidden="1" customWidth="1"/>
    <col min="6146" max="6146" width="32.28515625" style="177" customWidth="1"/>
    <col min="6147" max="6147" width="1.140625" style="177" customWidth="1"/>
    <col min="6148" max="6148" width="16.7109375" style="177" customWidth="1"/>
    <col min="6149" max="6149" width="0.7109375" style="177" customWidth="1"/>
    <col min="6150" max="6400" width="9.140625" style="177"/>
    <col min="6401" max="6401" width="0" style="177" hidden="1" customWidth="1"/>
    <col min="6402" max="6402" width="32.28515625" style="177" customWidth="1"/>
    <col min="6403" max="6403" width="1.140625" style="177" customWidth="1"/>
    <col min="6404" max="6404" width="16.7109375" style="177" customWidth="1"/>
    <col min="6405" max="6405" width="0.7109375" style="177" customWidth="1"/>
    <col min="6406" max="6656" width="9.140625" style="177"/>
    <col min="6657" max="6657" width="0" style="177" hidden="1" customWidth="1"/>
    <col min="6658" max="6658" width="32.28515625" style="177" customWidth="1"/>
    <col min="6659" max="6659" width="1.140625" style="177" customWidth="1"/>
    <col min="6660" max="6660" width="16.7109375" style="177" customWidth="1"/>
    <col min="6661" max="6661" width="0.7109375" style="177" customWidth="1"/>
    <col min="6662" max="6912" width="9.140625" style="177"/>
    <col min="6913" max="6913" width="0" style="177" hidden="1" customWidth="1"/>
    <col min="6914" max="6914" width="32.28515625" style="177" customWidth="1"/>
    <col min="6915" max="6915" width="1.140625" style="177" customWidth="1"/>
    <col min="6916" max="6916" width="16.7109375" style="177" customWidth="1"/>
    <col min="6917" max="6917" width="0.7109375" style="177" customWidth="1"/>
    <col min="6918" max="7168" width="9.140625" style="177"/>
    <col min="7169" max="7169" width="0" style="177" hidden="1" customWidth="1"/>
    <col min="7170" max="7170" width="32.28515625" style="177" customWidth="1"/>
    <col min="7171" max="7171" width="1.140625" style="177" customWidth="1"/>
    <col min="7172" max="7172" width="16.7109375" style="177" customWidth="1"/>
    <col min="7173" max="7173" width="0.7109375" style="177" customWidth="1"/>
    <col min="7174" max="7424" width="9.140625" style="177"/>
    <col min="7425" max="7425" width="0" style="177" hidden="1" customWidth="1"/>
    <col min="7426" max="7426" width="32.28515625" style="177" customWidth="1"/>
    <col min="7427" max="7427" width="1.140625" style="177" customWidth="1"/>
    <col min="7428" max="7428" width="16.7109375" style="177" customWidth="1"/>
    <col min="7429" max="7429" width="0.7109375" style="177" customWidth="1"/>
    <col min="7430" max="7680" width="9.140625" style="177"/>
    <col min="7681" max="7681" width="0" style="177" hidden="1" customWidth="1"/>
    <col min="7682" max="7682" width="32.28515625" style="177" customWidth="1"/>
    <col min="7683" max="7683" width="1.140625" style="177" customWidth="1"/>
    <col min="7684" max="7684" width="16.7109375" style="177" customWidth="1"/>
    <col min="7685" max="7685" width="0.7109375" style="177" customWidth="1"/>
    <col min="7686" max="7936" width="9.140625" style="177"/>
    <col min="7937" max="7937" width="0" style="177" hidden="1" customWidth="1"/>
    <col min="7938" max="7938" width="32.28515625" style="177" customWidth="1"/>
    <col min="7939" max="7939" width="1.140625" style="177" customWidth="1"/>
    <col min="7940" max="7940" width="16.7109375" style="177" customWidth="1"/>
    <col min="7941" max="7941" width="0.7109375" style="177" customWidth="1"/>
    <col min="7942" max="8192" width="9.140625" style="177"/>
    <col min="8193" max="8193" width="0" style="177" hidden="1" customWidth="1"/>
    <col min="8194" max="8194" width="32.28515625" style="177" customWidth="1"/>
    <col min="8195" max="8195" width="1.140625" style="177" customWidth="1"/>
    <col min="8196" max="8196" width="16.7109375" style="177" customWidth="1"/>
    <col min="8197" max="8197" width="0.7109375" style="177" customWidth="1"/>
    <col min="8198" max="8448" width="9.140625" style="177"/>
    <col min="8449" max="8449" width="0" style="177" hidden="1" customWidth="1"/>
    <col min="8450" max="8450" width="32.28515625" style="177" customWidth="1"/>
    <col min="8451" max="8451" width="1.140625" style="177" customWidth="1"/>
    <col min="8452" max="8452" width="16.7109375" style="177" customWidth="1"/>
    <col min="8453" max="8453" width="0.7109375" style="177" customWidth="1"/>
    <col min="8454" max="8704" width="9.140625" style="177"/>
    <col min="8705" max="8705" width="0" style="177" hidden="1" customWidth="1"/>
    <col min="8706" max="8706" width="32.28515625" style="177" customWidth="1"/>
    <col min="8707" max="8707" width="1.140625" style="177" customWidth="1"/>
    <col min="8708" max="8708" width="16.7109375" style="177" customWidth="1"/>
    <col min="8709" max="8709" width="0.7109375" style="177" customWidth="1"/>
    <col min="8710" max="8960" width="9.140625" style="177"/>
    <col min="8961" max="8961" width="0" style="177" hidden="1" customWidth="1"/>
    <col min="8962" max="8962" width="32.28515625" style="177" customWidth="1"/>
    <col min="8963" max="8963" width="1.140625" style="177" customWidth="1"/>
    <col min="8964" max="8964" width="16.7109375" style="177" customWidth="1"/>
    <col min="8965" max="8965" width="0.7109375" style="177" customWidth="1"/>
    <col min="8966" max="9216" width="9.140625" style="177"/>
    <col min="9217" max="9217" width="0" style="177" hidden="1" customWidth="1"/>
    <col min="9218" max="9218" width="32.28515625" style="177" customWidth="1"/>
    <col min="9219" max="9219" width="1.140625" style="177" customWidth="1"/>
    <col min="9220" max="9220" width="16.7109375" style="177" customWidth="1"/>
    <col min="9221" max="9221" width="0.7109375" style="177" customWidth="1"/>
    <col min="9222" max="9472" width="9.140625" style="177"/>
    <col min="9473" max="9473" width="0" style="177" hidden="1" customWidth="1"/>
    <col min="9474" max="9474" width="32.28515625" style="177" customWidth="1"/>
    <col min="9475" max="9475" width="1.140625" style="177" customWidth="1"/>
    <col min="9476" max="9476" width="16.7109375" style="177" customWidth="1"/>
    <col min="9477" max="9477" width="0.7109375" style="177" customWidth="1"/>
    <col min="9478" max="9728" width="9.140625" style="177"/>
    <col min="9729" max="9729" width="0" style="177" hidden="1" customWidth="1"/>
    <col min="9730" max="9730" width="32.28515625" style="177" customWidth="1"/>
    <col min="9731" max="9731" width="1.140625" style="177" customWidth="1"/>
    <col min="9732" max="9732" width="16.7109375" style="177" customWidth="1"/>
    <col min="9733" max="9733" width="0.7109375" style="177" customWidth="1"/>
    <col min="9734" max="9984" width="9.140625" style="177"/>
    <col min="9985" max="9985" width="0" style="177" hidden="1" customWidth="1"/>
    <col min="9986" max="9986" width="32.28515625" style="177" customWidth="1"/>
    <col min="9987" max="9987" width="1.140625" style="177" customWidth="1"/>
    <col min="9988" max="9988" width="16.7109375" style="177" customWidth="1"/>
    <col min="9989" max="9989" width="0.7109375" style="177" customWidth="1"/>
    <col min="9990" max="10240" width="9.140625" style="177"/>
    <col min="10241" max="10241" width="0" style="177" hidden="1" customWidth="1"/>
    <col min="10242" max="10242" width="32.28515625" style="177" customWidth="1"/>
    <col min="10243" max="10243" width="1.140625" style="177" customWidth="1"/>
    <col min="10244" max="10244" width="16.7109375" style="177" customWidth="1"/>
    <col min="10245" max="10245" width="0.7109375" style="177" customWidth="1"/>
    <col min="10246" max="10496" width="9.140625" style="177"/>
    <col min="10497" max="10497" width="0" style="177" hidden="1" customWidth="1"/>
    <col min="10498" max="10498" width="32.28515625" style="177" customWidth="1"/>
    <col min="10499" max="10499" width="1.140625" style="177" customWidth="1"/>
    <col min="10500" max="10500" width="16.7109375" style="177" customWidth="1"/>
    <col min="10501" max="10501" width="0.7109375" style="177" customWidth="1"/>
    <col min="10502" max="10752" width="9.140625" style="177"/>
    <col min="10753" max="10753" width="0" style="177" hidden="1" customWidth="1"/>
    <col min="10754" max="10754" width="32.28515625" style="177" customWidth="1"/>
    <col min="10755" max="10755" width="1.140625" style="177" customWidth="1"/>
    <col min="10756" max="10756" width="16.7109375" style="177" customWidth="1"/>
    <col min="10757" max="10757" width="0.7109375" style="177" customWidth="1"/>
    <col min="10758" max="11008" width="9.140625" style="177"/>
    <col min="11009" max="11009" width="0" style="177" hidden="1" customWidth="1"/>
    <col min="11010" max="11010" width="32.28515625" style="177" customWidth="1"/>
    <col min="11011" max="11011" width="1.140625" style="177" customWidth="1"/>
    <col min="11012" max="11012" width="16.7109375" style="177" customWidth="1"/>
    <col min="11013" max="11013" width="0.7109375" style="177" customWidth="1"/>
    <col min="11014" max="11264" width="9.140625" style="177"/>
    <col min="11265" max="11265" width="0" style="177" hidden="1" customWidth="1"/>
    <col min="11266" max="11266" width="32.28515625" style="177" customWidth="1"/>
    <col min="11267" max="11267" width="1.140625" style="177" customWidth="1"/>
    <col min="11268" max="11268" width="16.7109375" style="177" customWidth="1"/>
    <col min="11269" max="11269" width="0.7109375" style="177" customWidth="1"/>
    <col min="11270" max="11520" width="9.140625" style="177"/>
    <col min="11521" max="11521" width="0" style="177" hidden="1" customWidth="1"/>
    <col min="11522" max="11522" width="32.28515625" style="177" customWidth="1"/>
    <col min="11523" max="11523" width="1.140625" style="177" customWidth="1"/>
    <col min="11524" max="11524" width="16.7109375" style="177" customWidth="1"/>
    <col min="11525" max="11525" width="0.7109375" style="177" customWidth="1"/>
    <col min="11526" max="11776" width="9.140625" style="177"/>
    <col min="11777" max="11777" width="0" style="177" hidden="1" customWidth="1"/>
    <col min="11778" max="11778" width="32.28515625" style="177" customWidth="1"/>
    <col min="11779" max="11779" width="1.140625" style="177" customWidth="1"/>
    <col min="11780" max="11780" width="16.7109375" style="177" customWidth="1"/>
    <col min="11781" max="11781" width="0.7109375" style="177" customWidth="1"/>
    <col min="11782" max="12032" width="9.140625" style="177"/>
    <col min="12033" max="12033" width="0" style="177" hidden="1" customWidth="1"/>
    <col min="12034" max="12034" width="32.28515625" style="177" customWidth="1"/>
    <col min="12035" max="12035" width="1.140625" style="177" customWidth="1"/>
    <col min="12036" max="12036" width="16.7109375" style="177" customWidth="1"/>
    <col min="12037" max="12037" width="0.7109375" style="177" customWidth="1"/>
    <col min="12038" max="12288" width="9.140625" style="177"/>
    <col min="12289" max="12289" width="0" style="177" hidden="1" customWidth="1"/>
    <col min="12290" max="12290" width="32.28515625" style="177" customWidth="1"/>
    <col min="12291" max="12291" width="1.140625" style="177" customWidth="1"/>
    <col min="12292" max="12292" width="16.7109375" style="177" customWidth="1"/>
    <col min="12293" max="12293" width="0.7109375" style="177" customWidth="1"/>
    <col min="12294" max="12544" width="9.140625" style="177"/>
    <col min="12545" max="12545" width="0" style="177" hidden="1" customWidth="1"/>
    <col min="12546" max="12546" width="32.28515625" style="177" customWidth="1"/>
    <col min="12547" max="12547" width="1.140625" style="177" customWidth="1"/>
    <col min="12548" max="12548" width="16.7109375" style="177" customWidth="1"/>
    <col min="12549" max="12549" width="0.7109375" style="177" customWidth="1"/>
    <col min="12550" max="12800" width="9.140625" style="177"/>
    <col min="12801" max="12801" width="0" style="177" hidden="1" customWidth="1"/>
    <col min="12802" max="12802" width="32.28515625" style="177" customWidth="1"/>
    <col min="12803" max="12803" width="1.140625" style="177" customWidth="1"/>
    <col min="12804" max="12804" width="16.7109375" style="177" customWidth="1"/>
    <col min="12805" max="12805" width="0.7109375" style="177" customWidth="1"/>
    <col min="12806" max="13056" width="9.140625" style="177"/>
    <col min="13057" max="13057" width="0" style="177" hidden="1" customWidth="1"/>
    <col min="13058" max="13058" width="32.28515625" style="177" customWidth="1"/>
    <col min="13059" max="13059" width="1.140625" style="177" customWidth="1"/>
    <col min="13060" max="13060" width="16.7109375" style="177" customWidth="1"/>
    <col min="13061" max="13061" width="0.7109375" style="177" customWidth="1"/>
    <col min="13062" max="13312" width="9.140625" style="177"/>
    <col min="13313" max="13313" width="0" style="177" hidden="1" customWidth="1"/>
    <col min="13314" max="13314" width="32.28515625" style="177" customWidth="1"/>
    <col min="13315" max="13315" width="1.140625" style="177" customWidth="1"/>
    <col min="13316" max="13316" width="16.7109375" style="177" customWidth="1"/>
    <col min="13317" max="13317" width="0.7109375" style="177" customWidth="1"/>
    <col min="13318" max="13568" width="9.140625" style="177"/>
    <col min="13569" max="13569" width="0" style="177" hidden="1" customWidth="1"/>
    <col min="13570" max="13570" width="32.28515625" style="177" customWidth="1"/>
    <col min="13571" max="13571" width="1.140625" style="177" customWidth="1"/>
    <col min="13572" max="13572" width="16.7109375" style="177" customWidth="1"/>
    <col min="13573" max="13573" width="0.7109375" style="177" customWidth="1"/>
    <col min="13574" max="13824" width="9.140625" style="177"/>
    <col min="13825" max="13825" width="0" style="177" hidden="1" customWidth="1"/>
    <col min="13826" max="13826" width="32.28515625" style="177" customWidth="1"/>
    <col min="13827" max="13827" width="1.140625" style="177" customWidth="1"/>
    <col min="13828" max="13828" width="16.7109375" style="177" customWidth="1"/>
    <col min="13829" max="13829" width="0.7109375" style="177" customWidth="1"/>
    <col min="13830" max="14080" width="9.140625" style="177"/>
    <col min="14081" max="14081" width="0" style="177" hidden="1" customWidth="1"/>
    <col min="14082" max="14082" width="32.28515625" style="177" customWidth="1"/>
    <col min="14083" max="14083" width="1.140625" style="177" customWidth="1"/>
    <col min="14084" max="14084" width="16.7109375" style="177" customWidth="1"/>
    <col min="14085" max="14085" width="0.7109375" style="177" customWidth="1"/>
    <col min="14086" max="14336" width="9.140625" style="177"/>
    <col min="14337" max="14337" width="0" style="177" hidden="1" customWidth="1"/>
    <col min="14338" max="14338" width="32.28515625" style="177" customWidth="1"/>
    <col min="14339" max="14339" width="1.140625" style="177" customWidth="1"/>
    <col min="14340" max="14340" width="16.7109375" style="177" customWidth="1"/>
    <col min="14341" max="14341" width="0.7109375" style="177" customWidth="1"/>
    <col min="14342" max="14592" width="9.140625" style="177"/>
    <col min="14593" max="14593" width="0" style="177" hidden="1" customWidth="1"/>
    <col min="14594" max="14594" width="32.28515625" style="177" customWidth="1"/>
    <col min="14595" max="14595" width="1.140625" style="177" customWidth="1"/>
    <col min="14596" max="14596" width="16.7109375" style="177" customWidth="1"/>
    <col min="14597" max="14597" width="0.7109375" style="177" customWidth="1"/>
    <col min="14598" max="14848" width="9.140625" style="177"/>
    <col min="14849" max="14849" width="0" style="177" hidden="1" customWidth="1"/>
    <col min="14850" max="14850" width="32.28515625" style="177" customWidth="1"/>
    <col min="14851" max="14851" width="1.140625" style="177" customWidth="1"/>
    <col min="14852" max="14852" width="16.7109375" style="177" customWidth="1"/>
    <col min="14853" max="14853" width="0.7109375" style="177" customWidth="1"/>
    <col min="14854" max="15104" width="9.140625" style="177"/>
    <col min="15105" max="15105" width="0" style="177" hidden="1" customWidth="1"/>
    <col min="15106" max="15106" width="32.28515625" style="177" customWidth="1"/>
    <col min="15107" max="15107" width="1.140625" style="177" customWidth="1"/>
    <col min="15108" max="15108" width="16.7109375" style="177" customWidth="1"/>
    <col min="15109" max="15109" width="0.7109375" style="177" customWidth="1"/>
    <col min="15110" max="15360" width="9.140625" style="177"/>
    <col min="15361" max="15361" width="0" style="177" hidden="1" customWidth="1"/>
    <col min="15362" max="15362" width="32.28515625" style="177" customWidth="1"/>
    <col min="15363" max="15363" width="1.140625" style="177" customWidth="1"/>
    <col min="15364" max="15364" width="16.7109375" style="177" customWidth="1"/>
    <col min="15365" max="15365" width="0.7109375" style="177" customWidth="1"/>
    <col min="15366" max="15616" width="9.140625" style="177"/>
    <col min="15617" max="15617" width="0" style="177" hidden="1" customWidth="1"/>
    <col min="15618" max="15618" width="32.28515625" style="177" customWidth="1"/>
    <col min="15619" max="15619" width="1.140625" style="177" customWidth="1"/>
    <col min="15620" max="15620" width="16.7109375" style="177" customWidth="1"/>
    <col min="15621" max="15621" width="0.7109375" style="177" customWidth="1"/>
    <col min="15622" max="15872" width="9.140625" style="177"/>
    <col min="15873" max="15873" width="0" style="177" hidden="1" customWidth="1"/>
    <col min="15874" max="15874" width="32.28515625" style="177" customWidth="1"/>
    <col min="15875" max="15875" width="1.140625" style="177" customWidth="1"/>
    <col min="15876" max="15876" width="16.7109375" style="177" customWidth="1"/>
    <col min="15877" max="15877" width="0.7109375" style="177" customWidth="1"/>
    <col min="15878" max="16128" width="9.140625" style="177"/>
    <col min="16129" max="16129" width="0" style="177" hidden="1" customWidth="1"/>
    <col min="16130" max="16130" width="32.28515625" style="177" customWidth="1"/>
    <col min="16131" max="16131" width="1.140625" style="177" customWidth="1"/>
    <col min="16132" max="16132" width="16.7109375" style="177" customWidth="1"/>
    <col min="16133" max="16133" width="0.7109375" style="177" customWidth="1"/>
    <col min="16134" max="16384" width="9.140625" style="177"/>
  </cols>
  <sheetData>
    <row r="1" spans="2:5" hidden="1" outlineLevel="1">
      <c r="B1" s="177" t="s">
        <v>719</v>
      </c>
      <c r="D1" s="177" t="s">
        <v>245</v>
      </c>
    </row>
    <row r="2" spans="2:5" hidden="1" outlineLevel="1">
      <c r="B2" s="177" t="s">
        <v>642</v>
      </c>
      <c r="D2" s="177" t="s">
        <v>245</v>
      </c>
    </row>
    <row r="3" spans="2:5" hidden="1" outlineLevel="1">
      <c r="B3" s="177" t="s">
        <v>643</v>
      </c>
      <c r="D3" s="177" t="s">
        <v>245</v>
      </c>
    </row>
    <row r="4" spans="2:5" hidden="1" outlineLevel="1">
      <c r="B4" s="177" t="s">
        <v>644</v>
      </c>
      <c r="D4" s="177" t="s">
        <v>385</v>
      </c>
    </row>
    <row r="5" spans="2:5" hidden="1" outlineLevel="1">
      <c r="B5" s="177" t="s">
        <v>645</v>
      </c>
      <c r="D5" s="177" t="s">
        <v>129</v>
      </c>
    </row>
    <row r="6" spans="2:5" hidden="1" outlineLevel="1">
      <c r="B6" s="177" t="s">
        <v>720</v>
      </c>
      <c r="D6" s="177" t="s">
        <v>390</v>
      </c>
    </row>
    <row r="7" spans="2:5" hidden="1" outlineLevel="1">
      <c r="B7" s="177" t="s">
        <v>721</v>
      </c>
      <c r="D7" s="307"/>
    </row>
    <row r="8" spans="2:5" hidden="1" outlineLevel="1">
      <c r="B8" s="177" t="s">
        <v>722</v>
      </c>
      <c r="D8" s="308">
        <v>2015</v>
      </c>
    </row>
    <row r="9" spans="2:5" hidden="1" outlineLevel="1">
      <c r="B9" s="177" t="s">
        <v>723</v>
      </c>
      <c r="D9" s="308"/>
    </row>
    <row r="10" spans="2:5" hidden="1" outlineLevel="1"/>
    <row r="11" spans="2:5" collapsed="1">
      <c r="B11" s="175" t="s">
        <v>386</v>
      </c>
      <c r="C11" s="175"/>
      <c r="E11" s="175"/>
    </row>
    <row r="12" spans="2:5">
      <c r="B12" s="175" t="s">
        <v>119</v>
      </c>
      <c r="C12" s="175"/>
      <c r="E12" s="175"/>
    </row>
    <row r="13" spans="2:5">
      <c r="B13" s="175"/>
      <c r="C13" s="175"/>
      <c r="E13" s="175"/>
    </row>
    <row r="14" spans="2:5">
      <c r="D14" s="309" t="s">
        <v>391</v>
      </c>
    </row>
    <row r="15" spans="2:5">
      <c r="D15" s="309" t="s">
        <v>392</v>
      </c>
    </row>
    <row r="16" spans="2:5">
      <c r="D16" s="310" t="s">
        <v>393</v>
      </c>
    </row>
    <row r="17" spans="1:5">
      <c r="D17" s="311"/>
    </row>
    <row r="18" spans="1:5">
      <c r="A18" t="s">
        <v>724</v>
      </c>
      <c r="B18" s="177" t="s">
        <v>233</v>
      </c>
      <c r="D18" s="198">
        <v>2117286754.3199999</v>
      </c>
    </row>
    <row r="19" spans="1:5">
      <c r="B19" s="177" t="s">
        <v>725</v>
      </c>
      <c r="D19" s="198"/>
    </row>
    <row r="20" spans="1:5">
      <c r="A20" t="s">
        <v>726</v>
      </c>
      <c r="B20" s="177" t="s">
        <v>727</v>
      </c>
      <c r="D20" s="187">
        <v>1177408590.8900001</v>
      </c>
      <c r="E20" s="312"/>
    </row>
    <row r="21" spans="1:5">
      <c r="A21" t="s">
        <v>728</v>
      </c>
      <c r="B21" s="177" t="s">
        <v>729</v>
      </c>
      <c r="D21" s="187">
        <v>237483678.37</v>
      </c>
      <c r="E21" s="312"/>
    </row>
    <row r="22" spans="1:5">
      <c r="A22" s="110" t="s">
        <v>730</v>
      </c>
      <c r="B22" s="177" t="s">
        <v>731</v>
      </c>
      <c r="D22" s="187">
        <v>240356943.09999999</v>
      </c>
      <c r="E22" s="312"/>
    </row>
    <row r="23" spans="1:5">
      <c r="A23" s="313" t="s">
        <v>732</v>
      </c>
      <c r="B23" s="177" t="s">
        <v>733</v>
      </c>
      <c r="D23" s="187">
        <v>29077304.18</v>
      </c>
      <c r="E23" s="312"/>
    </row>
    <row r="24" spans="1:5">
      <c r="A24" s="314" t="s">
        <v>734</v>
      </c>
      <c r="B24" s="177" t="s">
        <v>735</v>
      </c>
      <c r="D24" s="315">
        <v>494492321.06</v>
      </c>
      <c r="E24" s="312"/>
    </row>
    <row r="25" spans="1:5">
      <c r="A25" s="316">
        <v>91005</v>
      </c>
      <c r="B25" s="177" t="s">
        <v>736</v>
      </c>
      <c r="D25" s="195">
        <v>-1984575.24</v>
      </c>
      <c r="E25" s="312"/>
    </row>
    <row r="26" spans="1:5">
      <c r="B26" s="177" t="s">
        <v>737</v>
      </c>
      <c r="D26" s="312">
        <f>D18-SUM(D20:D25)</f>
        <v>-59547508.040000677</v>
      </c>
      <c r="E26" s="312"/>
    </row>
    <row r="27" spans="1:5">
      <c r="D27" s="312"/>
      <c r="E27" s="312"/>
    </row>
    <row r="28" spans="1:5">
      <c r="A28" s="314" t="s">
        <v>738</v>
      </c>
      <c r="B28" s="177" t="s">
        <v>739</v>
      </c>
      <c r="D28" s="187">
        <v>-64235764.969999999</v>
      </c>
      <c r="E28" s="312"/>
    </row>
    <row r="29" spans="1:5">
      <c r="A29" s="314" t="s">
        <v>740</v>
      </c>
      <c r="B29" s="177" t="s">
        <v>741</v>
      </c>
      <c r="D29" s="187">
        <v>486618.03</v>
      </c>
      <c r="E29" s="312"/>
    </row>
    <row r="30" spans="1:5">
      <c r="A30" t="s">
        <v>742</v>
      </c>
      <c r="B30" s="177" t="s">
        <v>743</v>
      </c>
      <c r="D30" s="195">
        <v>-2989588.4299999997</v>
      </c>
      <c r="E30" s="312"/>
    </row>
    <row r="31" spans="1:5">
      <c r="D31" s="312"/>
      <c r="E31" s="312"/>
    </row>
    <row r="32" spans="1:5">
      <c r="B32" s="177" t="s">
        <v>744</v>
      </c>
      <c r="D32" s="312">
        <f>SUM(D26:D30)</f>
        <v>-126286243.41000068</v>
      </c>
      <c r="E32" s="312"/>
    </row>
    <row r="33" spans="1:5">
      <c r="D33" s="312"/>
      <c r="E33" s="312"/>
    </row>
    <row r="34" spans="1:5">
      <c r="A34" s="314" t="s">
        <v>745</v>
      </c>
      <c r="B34" s="177" t="s">
        <v>746</v>
      </c>
      <c r="D34" s="195">
        <v>31592603</v>
      </c>
      <c r="E34" s="312"/>
    </row>
    <row r="35" spans="1:5">
      <c r="D35" s="312"/>
      <c r="E35" s="312"/>
    </row>
    <row r="36" spans="1:5">
      <c r="B36" s="177" t="s">
        <v>747</v>
      </c>
      <c r="D36" s="312">
        <f>SUM(D32:D34)</f>
        <v>-94693640.410000682</v>
      </c>
      <c r="E36" s="312"/>
    </row>
    <row r="37" spans="1:5">
      <c r="B37" s="177" t="s">
        <v>748</v>
      </c>
      <c r="D37" s="312"/>
      <c r="E37" s="312"/>
    </row>
    <row r="38" spans="1:5">
      <c r="A38" s="314" t="s">
        <v>749</v>
      </c>
      <c r="B38" s="177" t="s">
        <v>750</v>
      </c>
      <c r="D38" s="195">
        <v>-1070657.3500000001</v>
      </c>
      <c r="E38" s="312"/>
    </row>
    <row r="39" spans="1:5">
      <c r="D39" s="317"/>
    </row>
    <row r="40" spans="1:5" ht="15.75" thickBot="1">
      <c r="B40" s="177" t="s">
        <v>751</v>
      </c>
      <c r="D40" s="318">
        <f>SUM(D36:D38)</f>
        <v>-95764297.760000676</v>
      </c>
    </row>
    <row r="41" spans="1:5">
      <c r="D41" s="317"/>
    </row>
  </sheetData>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sheetPr>
    <pageSetUpPr fitToPage="1"/>
  </sheetPr>
  <dimension ref="A1:AO91"/>
  <sheetViews>
    <sheetView showGridLines="0" topLeftCell="A9" zoomScale="80" zoomScaleNormal="80" workbookViewId="0">
      <pane ySplit="11" topLeftCell="A32" activePane="bottomLeft" state="frozen"/>
      <selection activeCell="A9" sqref="A9"/>
      <selection pane="bottomLeft" activeCell="G64" sqref="G64"/>
    </sheetView>
  </sheetViews>
  <sheetFormatPr defaultRowHeight="12.75" outlineLevelRow="1"/>
  <cols>
    <col min="1" max="1" width="2.7109375" style="375" customWidth="1"/>
    <col min="2" max="2" width="19.5703125" style="375" customWidth="1"/>
    <col min="3" max="3" width="12.42578125" style="375" customWidth="1"/>
    <col min="4" max="4" width="15.140625" style="375" customWidth="1"/>
    <col min="5" max="5" width="19" style="375" customWidth="1"/>
    <col min="6" max="6" width="7.85546875" style="375" customWidth="1"/>
    <col min="7" max="7" width="30.28515625" style="375" customWidth="1"/>
    <col min="8" max="8" width="10.28515625" style="375" customWidth="1"/>
    <col min="9" max="9" width="13.5703125" style="375" customWidth="1"/>
    <col min="10" max="10" width="15.140625" style="375" customWidth="1"/>
    <col min="11" max="11" width="32.7109375" style="375" customWidth="1"/>
    <col min="12" max="12" width="38.5703125" style="375" customWidth="1"/>
    <col min="13" max="13" width="11.42578125" style="375" customWidth="1"/>
    <col min="14" max="14" width="35.140625" style="375" customWidth="1"/>
    <col min="15" max="15" width="18" style="375" customWidth="1"/>
    <col min="16" max="16" width="14.140625" style="375" customWidth="1"/>
    <col min="17" max="17" width="17.7109375" style="375" customWidth="1"/>
    <col min="18" max="18" width="12.7109375" style="375" customWidth="1"/>
    <col min="19" max="19" width="15.85546875" style="375" customWidth="1"/>
    <col min="20" max="20" width="13.7109375" style="375" bestFit="1" customWidth="1"/>
    <col min="21" max="21" width="13.28515625" style="375" customWidth="1"/>
    <col min="22" max="22" width="12.28515625" style="375" customWidth="1"/>
    <col min="23" max="23" width="11.5703125" style="375" customWidth="1"/>
    <col min="24" max="24" width="9.85546875" style="375" customWidth="1"/>
    <col min="25" max="25" width="11.42578125" style="375" customWidth="1"/>
    <col min="26" max="26" width="11" style="375" customWidth="1"/>
    <col min="27" max="27" width="11.5703125" style="375" customWidth="1"/>
    <col min="28" max="28" width="7" style="375" customWidth="1"/>
    <col min="29" max="29" width="11.140625" style="375" customWidth="1"/>
    <col min="30" max="30" width="11" style="375" customWidth="1"/>
    <col min="31" max="31" width="11.28515625" style="375" customWidth="1"/>
    <col min="32" max="32" width="13.85546875" style="375" customWidth="1"/>
    <col min="33" max="34" width="10.28515625" style="375" customWidth="1"/>
    <col min="35" max="35" width="10.140625" style="375" customWidth="1"/>
    <col min="36" max="36" width="10.42578125" style="375" customWidth="1"/>
    <col min="37" max="37" width="21.140625" style="375" customWidth="1"/>
    <col min="38" max="38" width="18.85546875" style="375" customWidth="1"/>
    <col min="39" max="40" width="18.85546875" style="375" hidden="1" customWidth="1"/>
    <col min="41" max="41" width="20.42578125" style="375" hidden="1" customWidth="1"/>
    <col min="42" max="44" width="9.140625" style="375" customWidth="1"/>
    <col min="45" max="16384" width="9.140625" style="375"/>
  </cols>
  <sheetData>
    <row r="1" spans="1:41" hidden="1" outlineLevel="1">
      <c r="A1" s="374" t="b">
        <v>1</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row>
    <row r="2" spans="1:41" hidden="1" outlineLevel="1">
      <c r="B2" s="375" t="s">
        <v>1022</v>
      </c>
      <c r="C2" s="375" t="s">
        <v>1084</v>
      </c>
      <c r="D2" s="375" t="s">
        <v>1085</v>
      </c>
      <c r="E2" s="375" t="s">
        <v>1086</v>
      </c>
      <c r="F2" s="375" t="s">
        <v>1087</v>
      </c>
      <c r="G2" s="375" t="s">
        <v>1027</v>
      </c>
      <c r="H2" s="375" t="s">
        <v>1028</v>
      </c>
      <c r="I2" s="375" t="s">
        <v>1088</v>
      </c>
      <c r="J2" s="375" t="s">
        <v>1030</v>
      </c>
      <c r="K2" s="375" t="s">
        <v>1089</v>
      </c>
      <c r="L2" s="375" t="s">
        <v>1090</v>
      </c>
      <c r="M2" s="375" t="s">
        <v>1091</v>
      </c>
      <c r="N2" s="375" t="s">
        <v>1092</v>
      </c>
      <c r="O2" s="375" t="s">
        <v>1093</v>
      </c>
      <c r="P2" s="375" t="s">
        <v>1094</v>
      </c>
      <c r="Q2" s="375" t="s">
        <v>1095</v>
      </c>
      <c r="R2" s="375" t="s">
        <v>1096</v>
      </c>
      <c r="S2" s="375" t="s">
        <v>1097</v>
      </c>
      <c r="T2" s="375" t="s">
        <v>1098</v>
      </c>
      <c r="U2" s="375" t="s">
        <v>1099</v>
      </c>
      <c r="V2" s="375" t="s">
        <v>1100</v>
      </c>
      <c r="W2" s="375" t="s">
        <v>1101</v>
      </c>
      <c r="X2" s="375" t="s">
        <v>1102</v>
      </c>
      <c r="Y2" s="375" t="s">
        <v>1103</v>
      </c>
      <c r="Z2" s="375" t="s">
        <v>1104</v>
      </c>
      <c r="AA2" s="375" t="s">
        <v>1105</v>
      </c>
      <c r="AB2" s="375" t="s">
        <v>1106</v>
      </c>
      <c r="AC2" s="375" t="s">
        <v>1107</v>
      </c>
      <c r="AD2" s="375" t="s">
        <v>1108</v>
      </c>
      <c r="AE2" s="375" t="s">
        <v>1109</v>
      </c>
      <c r="AF2" s="375" t="s">
        <v>1110</v>
      </c>
      <c r="AG2" s="375" t="s">
        <v>1111</v>
      </c>
      <c r="AH2" s="375" t="s">
        <v>1112</v>
      </c>
      <c r="AI2" s="375" t="s">
        <v>1113</v>
      </c>
      <c r="AJ2" s="375" t="s">
        <v>1114</v>
      </c>
      <c r="AK2" s="375" t="s">
        <v>1115</v>
      </c>
      <c r="AL2" s="375" t="s">
        <v>1116</v>
      </c>
      <c r="AM2" s="375" t="s">
        <v>1117</v>
      </c>
      <c r="AN2" s="375" t="s">
        <v>1118</v>
      </c>
      <c r="AO2" s="376"/>
    </row>
    <row r="3" spans="1:41" hidden="1" outlineLevel="1">
      <c r="A3" s="374" t="s">
        <v>1119</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row>
    <row r="4" spans="1:41" hidden="1" outlineLevel="1">
      <c r="O4" s="375" t="e">
        <f ca="1">_xll.ReportDrill('[28]JE Lookup'!B1,,_xll.PairGroup(_xll.Pair("c:E",'[28]JE Lookup'!L8),_xll.Pair("C:Z",'[28]JE Lookup'!L7)),"JE Lookup")</f>
        <v>#NAME?</v>
      </c>
      <c r="S4" s="375" t="str">
        <f>_xll.ReportDrill(,"APDrill",_xll.PairGroup(_xll.PairExt("c:AO","H8")),"AP Detail")</f>
        <v>OK!: ReportDrill 'AP Detail' Formula OK [jAction{}]</v>
      </c>
      <c r="W4" s="375" t="str">
        <f>_xll.ReportDrill(,"JEStaged_DrillToDetail",_xll.PairGroup(_xll.PairExt("c:O","dControlNum",TRUE),_xll.PairExt("c:AN","dDistrict",TRUE),_xll.PairExt("c:AM","dApplyMonth",TRUE)),"JE Staged Details")</f>
        <v>OK!: ReportDrill 'JE Staged Details' Formula OK [jAction{}]</v>
      </c>
    </row>
    <row r="5" spans="1:41" hidden="1" outlineLevel="1">
      <c r="B5" s="375" t="e">
        <f ca="1">_xll.ReportRange("JEQuery_WithStaged",B20:AP72,B2:AP2,,_xll.Param(G12,DateTo,IF(K12="","all",K12),K13,K14,K15,N12,N13,N14,N15,EntrieShownLimit,DateFrom,DateTo),TRUE)</f>
        <v>#NAME?</v>
      </c>
    </row>
    <row r="6" spans="1:41" hidden="1" outlineLevel="1">
      <c r="B6" s="377" t="s">
        <v>1120</v>
      </c>
      <c r="D6" s="375">
        <v>10000</v>
      </c>
    </row>
    <row r="7" spans="1:41" hidden="1" outlineLevel="1">
      <c r="A7" s="374" t="s">
        <v>1121</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row>
    <row r="8" spans="1:41" hidden="1" outlineLevel="1">
      <c r="B8" s="378" t="s">
        <v>1122</v>
      </c>
      <c r="C8" s="375" t="str">
        <f>IF(DateFrom="",CurrentMonth,DateFrom)</f>
        <v>2015-04</v>
      </c>
      <c r="D8" s="378" t="s">
        <v>1123</v>
      </c>
      <c r="E8" s="375" t="str">
        <f>IF(DateTo="",CurrentMonth,DateTo)</f>
        <v>2016-03</v>
      </c>
      <c r="G8" s="378" t="s">
        <v>1124</v>
      </c>
      <c r="H8" s="379" t="str">
        <f ca="1">TEXT(NOW() - 15,"yyyy-mm")</f>
        <v>2016-03</v>
      </c>
    </row>
    <row r="9" spans="1:41" ht="18" collapsed="1">
      <c r="B9" s="380" t="s">
        <v>1004</v>
      </c>
      <c r="E9" s="381" t="s">
        <v>1005</v>
      </c>
      <c r="N9" s="382"/>
      <c r="S9" s="377"/>
    </row>
    <row r="10" spans="1:41" ht="14.25">
      <c r="B10" s="376" t="s">
        <v>1006</v>
      </c>
      <c r="E10" s="383"/>
      <c r="N10" s="382"/>
      <c r="S10" s="377"/>
    </row>
    <row r="11" spans="1:41">
      <c r="E11" s="384" t="s">
        <v>1007</v>
      </c>
      <c r="F11" s="385"/>
      <c r="G11" s="386"/>
      <c r="J11" s="385" t="s">
        <v>1008</v>
      </c>
      <c r="K11" s="385"/>
      <c r="L11" s="385"/>
      <c r="M11" s="385"/>
      <c r="N11" s="385"/>
      <c r="S11" s="376"/>
    </row>
    <row r="12" spans="1:41" s="377" customFormat="1">
      <c r="F12" s="387" t="s">
        <v>1009</v>
      </c>
      <c r="G12" s="388" t="s">
        <v>1010</v>
      </c>
      <c r="I12" s="389"/>
      <c r="J12" s="377" t="s">
        <v>1011</v>
      </c>
      <c r="K12" s="388" t="s">
        <v>1012</v>
      </c>
      <c r="M12" s="387" t="s">
        <v>1125</v>
      </c>
      <c r="N12" s="390"/>
      <c r="X12" s="375"/>
      <c r="Y12" s="375"/>
      <c r="Z12" s="375"/>
      <c r="AF12" s="375"/>
      <c r="AG12" s="375"/>
      <c r="AH12" s="375"/>
      <c r="AI12" s="375"/>
      <c r="AJ12" s="375"/>
    </row>
    <row r="13" spans="1:41" s="377" customFormat="1">
      <c r="F13" s="387" t="s">
        <v>1013</v>
      </c>
      <c r="G13" s="388" t="s">
        <v>1014</v>
      </c>
      <c r="I13" s="389"/>
      <c r="J13" s="377" t="s">
        <v>1015</v>
      </c>
      <c r="K13" s="388" t="s">
        <v>1046</v>
      </c>
      <c r="L13" s="375"/>
      <c r="M13" s="387" t="s">
        <v>1126</v>
      </c>
      <c r="N13" s="372"/>
      <c r="O13" s="391"/>
      <c r="X13" s="375"/>
      <c r="Y13" s="375"/>
      <c r="Z13" s="375"/>
      <c r="AF13" s="375"/>
      <c r="AG13" s="375"/>
      <c r="AH13" s="375"/>
      <c r="AI13" s="375"/>
      <c r="AJ13" s="375"/>
    </row>
    <row r="14" spans="1:41">
      <c r="J14" s="377" t="s">
        <v>642</v>
      </c>
      <c r="K14" s="388"/>
      <c r="M14" s="387" t="s">
        <v>1127</v>
      </c>
      <c r="N14" s="372"/>
      <c r="O14" s="391"/>
    </row>
    <row r="15" spans="1:41">
      <c r="J15" s="377" t="s">
        <v>643</v>
      </c>
      <c r="K15" s="388" t="s">
        <v>0</v>
      </c>
      <c r="M15" s="387" t="s">
        <v>1128</v>
      </c>
      <c r="N15" s="392" t="s">
        <v>1129</v>
      </c>
    </row>
    <row r="16" spans="1:41">
      <c r="B16" s="393" t="s">
        <v>1017</v>
      </c>
      <c r="C16" s="394"/>
      <c r="D16" s="370">
        <f>SUM(D19:D73)</f>
        <v>-14262.259999999998</v>
      </c>
      <c r="E16" s="375" t="s">
        <v>1018</v>
      </c>
      <c r="L16" s="395"/>
      <c r="M16" s="395"/>
      <c r="N16" s="395"/>
      <c r="O16" s="395"/>
    </row>
    <row r="17" spans="2:41">
      <c r="B17" s="393" t="s">
        <v>1019</v>
      </c>
      <c r="C17" s="394"/>
      <c r="D17" s="371">
        <f>COUNT(D20:D74)</f>
        <v>50</v>
      </c>
      <c r="E17" s="375" t="s">
        <v>1020</v>
      </c>
      <c r="F17" s="396" t="str">
        <f>""&amp;EntrieShownLimit</f>
        <v>10000</v>
      </c>
    </row>
    <row r="18" spans="2:41">
      <c r="M18" s="397"/>
      <c r="P18" s="398" t="s">
        <v>1130</v>
      </c>
      <c r="Q18" s="399"/>
      <c r="R18" s="399"/>
      <c r="S18" s="399"/>
      <c r="T18" s="399"/>
      <c r="U18" s="399"/>
      <c r="V18" s="399"/>
      <c r="W18" s="399"/>
      <c r="X18" s="400"/>
      <c r="Y18" s="400"/>
      <c r="Z18" s="400"/>
      <c r="AA18" s="400"/>
      <c r="AB18" s="400"/>
      <c r="AC18" s="400"/>
      <c r="AD18" s="400"/>
      <c r="AE18" s="400"/>
      <c r="AF18" s="400"/>
      <c r="AG18" s="400"/>
      <c r="AH18" s="400"/>
      <c r="AI18" s="400"/>
      <c r="AJ18" s="400"/>
      <c r="AK18" s="400"/>
      <c r="AL18" s="400"/>
      <c r="AM18" s="400"/>
      <c r="AN18" s="400"/>
      <c r="AO18" s="400"/>
    </row>
    <row r="19" spans="2:41" ht="13.5" thickBot="1">
      <c r="B19" s="401" t="s">
        <v>1022</v>
      </c>
      <c r="C19" s="402" t="s">
        <v>1023</v>
      </c>
      <c r="D19" s="403" t="s">
        <v>1024</v>
      </c>
      <c r="E19" s="404" t="s">
        <v>1025</v>
      </c>
      <c r="F19" s="401" t="s">
        <v>1026</v>
      </c>
      <c r="G19" s="401" t="s">
        <v>1027</v>
      </c>
      <c r="H19" s="401" t="s">
        <v>1028</v>
      </c>
      <c r="I19" s="401" t="s">
        <v>1029</v>
      </c>
      <c r="J19" s="401" t="s">
        <v>1030</v>
      </c>
      <c r="K19" s="401" t="s">
        <v>1031</v>
      </c>
      <c r="L19" s="401" t="s">
        <v>1032</v>
      </c>
      <c r="M19" s="405" t="s">
        <v>1091</v>
      </c>
      <c r="N19" s="401" t="s">
        <v>1092</v>
      </c>
      <c r="O19" s="401" t="s">
        <v>1093</v>
      </c>
      <c r="P19" s="401" t="s">
        <v>1094</v>
      </c>
      <c r="Q19" s="401" t="s">
        <v>1095</v>
      </c>
      <c r="R19" s="401" t="s">
        <v>1096</v>
      </c>
      <c r="S19" s="401" t="s">
        <v>1097</v>
      </c>
      <c r="T19" s="401" t="s">
        <v>1098</v>
      </c>
      <c r="U19" s="401" t="s">
        <v>1099</v>
      </c>
      <c r="V19" s="401" t="s">
        <v>1100</v>
      </c>
      <c r="W19" s="401" t="s">
        <v>1101</v>
      </c>
      <c r="X19" s="401" t="s">
        <v>1102</v>
      </c>
      <c r="Y19" s="401" t="s">
        <v>1103</v>
      </c>
      <c r="Z19" s="401" t="s">
        <v>1131</v>
      </c>
      <c r="AA19" s="406" t="s">
        <v>1105</v>
      </c>
      <c r="AB19" s="406" t="s">
        <v>1106</v>
      </c>
      <c r="AC19" s="406" t="s">
        <v>1107</v>
      </c>
      <c r="AD19" s="406" t="s">
        <v>1108</v>
      </c>
      <c r="AE19" s="406" t="s">
        <v>1109</v>
      </c>
      <c r="AF19" s="406" t="s">
        <v>1110</v>
      </c>
      <c r="AG19" s="402" t="s">
        <v>1132</v>
      </c>
      <c r="AH19" s="402" t="s">
        <v>1133</v>
      </c>
      <c r="AI19" s="402" t="s">
        <v>1134</v>
      </c>
      <c r="AJ19" s="402" t="s">
        <v>1135</v>
      </c>
      <c r="AK19" s="402" t="s">
        <v>1136</v>
      </c>
      <c r="AL19" s="402" t="s">
        <v>1116</v>
      </c>
      <c r="AM19" s="407" t="s">
        <v>1137</v>
      </c>
      <c r="AN19" s="407" t="s">
        <v>1138</v>
      </c>
      <c r="AO19" s="407" t="s">
        <v>1139</v>
      </c>
    </row>
    <row r="20" spans="2:41">
      <c r="B20" s="375" t="s">
        <v>1047</v>
      </c>
      <c r="C20" s="408">
        <v>42124</v>
      </c>
      <c r="D20" s="409">
        <v>-513.21</v>
      </c>
      <c r="E20" s="375" t="s">
        <v>1140</v>
      </c>
      <c r="F20" s="410" t="s">
        <v>1035</v>
      </c>
      <c r="G20" s="375" t="s">
        <v>1141</v>
      </c>
      <c r="H20" s="375" t="s">
        <v>1037</v>
      </c>
      <c r="I20" s="375" t="s">
        <v>1038</v>
      </c>
      <c r="J20" s="379"/>
      <c r="K20" s="379"/>
      <c r="L20" s="379" t="s">
        <v>1142</v>
      </c>
      <c r="M20" s="397"/>
      <c r="N20" s="379"/>
      <c r="O20" s="379"/>
      <c r="S20" s="375" t="s">
        <v>1143</v>
      </c>
      <c r="T20" s="375" t="s">
        <v>1144</v>
      </c>
      <c r="V20" s="408">
        <v>42096</v>
      </c>
      <c r="W20" s="408">
        <v>42096</v>
      </c>
      <c r="Y20" s="408"/>
      <c r="Z20" s="375" t="s">
        <v>1145</v>
      </c>
      <c r="AA20" s="375">
        <v>0</v>
      </c>
      <c r="AB20" s="375">
        <v>0</v>
      </c>
      <c r="AC20" s="375">
        <v>0</v>
      </c>
      <c r="AD20" s="375">
        <v>0</v>
      </c>
      <c r="AE20" s="375">
        <v>5</v>
      </c>
      <c r="AF20" s="375">
        <v>1</v>
      </c>
      <c r="AG20" s="375">
        <v>38000</v>
      </c>
      <c r="AH20" s="375">
        <v>2025</v>
      </c>
      <c r="AI20" s="375">
        <v>0</v>
      </c>
      <c r="AJ20" s="375">
        <v>0</v>
      </c>
      <c r="AM20" s="410"/>
      <c r="AN20" s="410"/>
      <c r="AO20" s="375" t="str">
        <f>IF(LEFT(S20,2)="VO",S20,"")</f>
        <v/>
      </c>
    </row>
    <row r="21" spans="2:41">
      <c r="B21" s="375" t="s">
        <v>1047</v>
      </c>
      <c r="C21" s="408">
        <v>42124</v>
      </c>
      <c r="D21" s="409">
        <v>744.61</v>
      </c>
      <c r="E21" s="375" t="s">
        <v>1146</v>
      </c>
      <c r="F21" s="410" t="s">
        <v>1035</v>
      </c>
      <c r="G21" s="375" t="s">
        <v>1141</v>
      </c>
      <c r="H21" s="375" t="s">
        <v>1057</v>
      </c>
      <c r="I21" s="375" t="s">
        <v>1038</v>
      </c>
      <c r="J21" s="379"/>
      <c r="K21" s="379"/>
      <c r="L21" s="379" t="s">
        <v>1142</v>
      </c>
      <c r="M21" s="397"/>
      <c r="N21" s="379"/>
      <c r="O21" s="379"/>
      <c r="S21" s="375" t="s">
        <v>1147</v>
      </c>
      <c r="T21" s="375" t="s">
        <v>1147</v>
      </c>
      <c r="V21" s="408">
        <v>42128</v>
      </c>
      <c r="W21" s="408">
        <v>42128</v>
      </c>
      <c r="Y21" s="408"/>
      <c r="Z21" s="375" t="s">
        <v>1145</v>
      </c>
      <c r="AA21" s="375">
        <v>0</v>
      </c>
      <c r="AB21" s="375">
        <v>0</v>
      </c>
      <c r="AC21" s="375">
        <v>0</v>
      </c>
      <c r="AD21" s="375">
        <v>0</v>
      </c>
      <c r="AE21" s="375">
        <v>0</v>
      </c>
      <c r="AF21" s="375">
        <v>1</v>
      </c>
      <c r="AG21" s="375">
        <v>38000</v>
      </c>
      <c r="AH21" s="375">
        <v>2025</v>
      </c>
      <c r="AI21" s="375">
        <v>0</v>
      </c>
      <c r="AJ21" s="375">
        <v>0</v>
      </c>
      <c r="AM21" s="410"/>
      <c r="AN21" s="410"/>
      <c r="AO21" s="375" t="str">
        <f t="shared" ref="AO21:AO71" si="0">IF(LEFT(S21,2)="VO",S21,"")</f>
        <v/>
      </c>
    </row>
    <row r="22" spans="2:41">
      <c r="B22" s="375" t="s">
        <v>1047</v>
      </c>
      <c r="C22" s="408">
        <v>42155</v>
      </c>
      <c r="D22" s="409">
        <v>-744.61</v>
      </c>
      <c r="E22" s="375" t="s">
        <v>1148</v>
      </c>
      <c r="F22" s="410" t="s">
        <v>1035</v>
      </c>
      <c r="G22" s="375" t="s">
        <v>1141</v>
      </c>
      <c r="H22" s="375" t="s">
        <v>1050</v>
      </c>
      <c r="I22" s="375" t="s">
        <v>1038</v>
      </c>
      <c r="J22" s="379"/>
      <c r="K22" s="379"/>
      <c r="L22" s="379" t="s">
        <v>1142</v>
      </c>
      <c r="M22" s="397"/>
      <c r="N22" s="379"/>
      <c r="O22" s="379"/>
      <c r="S22" s="375" t="s">
        <v>1147</v>
      </c>
      <c r="T22" s="375" t="s">
        <v>1149</v>
      </c>
      <c r="V22" s="408">
        <v>42128</v>
      </c>
      <c r="W22" s="408">
        <v>42128</v>
      </c>
      <c r="Y22" s="408"/>
      <c r="Z22" s="375" t="s">
        <v>1145</v>
      </c>
      <c r="AA22" s="375">
        <v>0</v>
      </c>
      <c r="AB22" s="375">
        <v>0</v>
      </c>
      <c r="AC22" s="375">
        <v>0</v>
      </c>
      <c r="AD22" s="375">
        <v>0</v>
      </c>
      <c r="AE22" s="375">
        <v>5</v>
      </c>
      <c r="AF22" s="375">
        <v>1</v>
      </c>
      <c r="AG22" s="375">
        <v>38000</v>
      </c>
      <c r="AH22" s="375">
        <v>2025</v>
      </c>
      <c r="AI22" s="375">
        <v>0</v>
      </c>
      <c r="AJ22" s="375">
        <v>0</v>
      </c>
      <c r="AM22" s="410"/>
      <c r="AN22" s="410"/>
      <c r="AO22" s="375" t="str">
        <f t="shared" si="0"/>
        <v/>
      </c>
    </row>
    <row r="23" spans="2:41">
      <c r="B23" s="375" t="s">
        <v>1047</v>
      </c>
      <c r="C23" s="408">
        <v>42155</v>
      </c>
      <c r="D23" s="409">
        <v>969.8</v>
      </c>
      <c r="E23" s="375" t="s">
        <v>1150</v>
      </c>
      <c r="F23" s="410" t="s">
        <v>1035</v>
      </c>
      <c r="G23" s="375" t="s">
        <v>1141</v>
      </c>
      <c r="H23" s="375" t="s">
        <v>1037</v>
      </c>
      <c r="I23" s="375" t="s">
        <v>1038</v>
      </c>
      <c r="J23" s="379"/>
      <c r="K23" s="379"/>
      <c r="L23" s="379" t="s">
        <v>1142</v>
      </c>
      <c r="M23" s="397"/>
      <c r="N23" s="379"/>
      <c r="O23" s="379"/>
      <c r="S23" s="375" t="s">
        <v>1151</v>
      </c>
      <c r="T23" s="375" t="s">
        <v>1151</v>
      </c>
      <c r="V23" s="408">
        <v>42158</v>
      </c>
      <c r="W23" s="408">
        <v>42158</v>
      </c>
      <c r="Y23" s="408"/>
      <c r="Z23" s="375" t="s">
        <v>1145</v>
      </c>
      <c r="AA23" s="375">
        <v>0</v>
      </c>
      <c r="AB23" s="375">
        <v>0</v>
      </c>
      <c r="AC23" s="375">
        <v>0</v>
      </c>
      <c r="AD23" s="375">
        <v>0</v>
      </c>
      <c r="AE23" s="375">
        <v>0</v>
      </c>
      <c r="AF23" s="375">
        <v>1</v>
      </c>
      <c r="AG23" s="375">
        <v>38000</v>
      </c>
      <c r="AH23" s="375">
        <v>2025</v>
      </c>
      <c r="AI23" s="375">
        <v>0</v>
      </c>
      <c r="AJ23" s="375">
        <v>0</v>
      </c>
      <c r="AM23" s="410"/>
      <c r="AN23" s="410"/>
      <c r="AO23" s="375" t="str">
        <f t="shared" si="0"/>
        <v/>
      </c>
    </row>
    <row r="24" spans="2:41">
      <c r="B24" s="375" t="s">
        <v>1047</v>
      </c>
      <c r="C24" s="408">
        <v>42185</v>
      </c>
      <c r="D24" s="409">
        <v>-969.8</v>
      </c>
      <c r="E24" s="375" t="s">
        <v>1152</v>
      </c>
      <c r="F24" s="410" t="s">
        <v>1035</v>
      </c>
      <c r="G24" s="375" t="s">
        <v>1141</v>
      </c>
      <c r="H24" s="375" t="s">
        <v>1057</v>
      </c>
      <c r="I24" s="375" t="s">
        <v>1038</v>
      </c>
      <c r="J24" s="379"/>
      <c r="K24" s="379"/>
      <c r="L24" s="379" t="s">
        <v>1142</v>
      </c>
      <c r="M24" s="397"/>
      <c r="N24" s="379"/>
      <c r="O24" s="379"/>
      <c r="S24" s="375" t="s">
        <v>1151</v>
      </c>
      <c r="T24" s="375" t="s">
        <v>1153</v>
      </c>
      <c r="V24" s="408">
        <v>42158</v>
      </c>
      <c r="W24" s="408">
        <v>42158</v>
      </c>
      <c r="Y24" s="408"/>
      <c r="Z24" s="375" t="s">
        <v>1145</v>
      </c>
      <c r="AA24" s="375">
        <v>0</v>
      </c>
      <c r="AB24" s="375">
        <v>0</v>
      </c>
      <c r="AC24" s="375">
        <v>0</v>
      </c>
      <c r="AD24" s="375">
        <v>0</v>
      </c>
      <c r="AE24" s="375">
        <v>5</v>
      </c>
      <c r="AF24" s="375">
        <v>1</v>
      </c>
      <c r="AG24" s="375">
        <v>38000</v>
      </c>
      <c r="AH24" s="375">
        <v>2025</v>
      </c>
      <c r="AI24" s="375">
        <v>0</v>
      </c>
      <c r="AJ24" s="375">
        <v>0</v>
      </c>
      <c r="AM24" s="410"/>
      <c r="AN24" s="410"/>
      <c r="AO24" s="375" t="str">
        <f t="shared" si="0"/>
        <v/>
      </c>
    </row>
    <row r="25" spans="2:41">
      <c r="B25" s="375" t="s">
        <v>1047</v>
      </c>
      <c r="C25" s="408">
        <v>42185</v>
      </c>
      <c r="D25" s="409">
        <v>1098.95</v>
      </c>
      <c r="E25" s="375" t="s">
        <v>1154</v>
      </c>
      <c r="F25" s="410" t="s">
        <v>1035</v>
      </c>
      <c r="G25" s="375" t="s">
        <v>1141</v>
      </c>
      <c r="H25" s="375" t="s">
        <v>1050</v>
      </c>
      <c r="I25" s="375" t="s">
        <v>1038</v>
      </c>
      <c r="J25" s="379"/>
      <c r="K25" s="379"/>
      <c r="L25" s="379" t="s">
        <v>1142</v>
      </c>
      <c r="M25" s="397"/>
      <c r="N25" s="379"/>
      <c r="O25" s="379"/>
      <c r="S25" s="375" t="s">
        <v>1155</v>
      </c>
      <c r="T25" s="375" t="s">
        <v>1155</v>
      </c>
      <c r="V25" s="408">
        <v>42191</v>
      </c>
      <c r="W25" s="408">
        <v>42191</v>
      </c>
      <c r="Y25" s="408"/>
      <c r="Z25" s="375" t="s">
        <v>1145</v>
      </c>
      <c r="AA25" s="375">
        <v>0</v>
      </c>
      <c r="AB25" s="375">
        <v>0</v>
      </c>
      <c r="AC25" s="375">
        <v>0</v>
      </c>
      <c r="AD25" s="375">
        <v>0</v>
      </c>
      <c r="AE25" s="375">
        <v>0</v>
      </c>
      <c r="AF25" s="375">
        <v>1</v>
      </c>
      <c r="AG25" s="375">
        <v>38000</v>
      </c>
      <c r="AH25" s="375">
        <v>2025</v>
      </c>
      <c r="AI25" s="375">
        <v>0</v>
      </c>
      <c r="AJ25" s="375">
        <v>0</v>
      </c>
      <c r="AM25" s="410"/>
      <c r="AN25" s="410"/>
      <c r="AO25" s="375" t="str">
        <f t="shared" si="0"/>
        <v/>
      </c>
    </row>
    <row r="26" spans="2:41">
      <c r="B26" s="375" t="s">
        <v>1047</v>
      </c>
      <c r="C26" s="408">
        <v>42216</v>
      </c>
      <c r="D26" s="409">
        <v>-1098.95</v>
      </c>
      <c r="E26" s="375" t="s">
        <v>1156</v>
      </c>
      <c r="F26" s="410" t="s">
        <v>1035</v>
      </c>
      <c r="G26" s="375" t="s">
        <v>1141</v>
      </c>
      <c r="H26" s="375" t="s">
        <v>1050</v>
      </c>
      <c r="I26" s="375" t="s">
        <v>1038</v>
      </c>
      <c r="J26" s="379"/>
      <c r="K26" s="379"/>
      <c r="L26" s="379" t="s">
        <v>1142</v>
      </c>
      <c r="M26" s="397"/>
      <c r="N26" s="379"/>
      <c r="O26" s="379"/>
      <c r="S26" s="375" t="s">
        <v>1155</v>
      </c>
      <c r="T26" s="375" t="s">
        <v>1157</v>
      </c>
      <c r="V26" s="408">
        <v>42191</v>
      </c>
      <c r="W26" s="408">
        <v>42191</v>
      </c>
      <c r="Y26" s="408"/>
      <c r="Z26" s="375" t="s">
        <v>1145</v>
      </c>
      <c r="AA26" s="375">
        <v>0</v>
      </c>
      <c r="AB26" s="375">
        <v>0</v>
      </c>
      <c r="AC26" s="375">
        <v>0</v>
      </c>
      <c r="AD26" s="375">
        <v>0</v>
      </c>
      <c r="AE26" s="375">
        <v>5</v>
      </c>
      <c r="AF26" s="375">
        <v>1</v>
      </c>
      <c r="AG26" s="375">
        <v>38000</v>
      </c>
      <c r="AH26" s="375">
        <v>2025</v>
      </c>
      <c r="AI26" s="375">
        <v>0</v>
      </c>
      <c r="AJ26" s="375">
        <v>0</v>
      </c>
      <c r="AM26" s="410"/>
      <c r="AN26" s="410"/>
      <c r="AO26" s="375" t="str">
        <f t="shared" si="0"/>
        <v/>
      </c>
    </row>
    <row r="27" spans="2:41">
      <c r="B27" s="375" t="s">
        <v>1047</v>
      </c>
      <c r="C27" s="408">
        <v>42216</v>
      </c>
      <c r="D27" s="409">
        <v>1043.1600000000001</v>
      </c>
      <c r="E27" s="375" t="s">
        <v>1158</v>
      </c>
      <c r="F27" s="410" t="s">
        <v>1035</v>
      </c>
      <c r="G27" s="375" t="s">
        <v>1141</v>
      </c>
      <c r="H27" s="375" t="s">
        <v>1076</v>
      </c>
      <c r="I27" s="375" t="s">
        <v>1038</v>
      </c>
      <c r="J27" s="379"/>
      <c r="K27" s="379"/>
      <c r="L27" s="379" t="s">
        <v>1142</v>
      </c>
      <c r="M27" s="397"/>
      <c r="N27" s="379"/>
      <c r="O27" s="379"/>
      <c r="S27" s="375" t="s">
        <v>1159</v>
      </c>
      <c r="T27" s="375" t="s">
        <v>1159</v>
      </c>
      <c r="V27" s="408">
        <v>42221</v>
      </c>
      <c r="W27" s="408">
        <v>42221</v>
      </c>
      <c r="Y27" s="408"/>
      <c r="Z27" s="375" t="s">
        <v>1145</v>
      </c>
      <c r="AA27" s="375">
        <v>0</v>
      </c>
      <c r="AB27" s="375">
        <v>0</v>
      </c>
      <c r="AC27" s="375">
        <v>0</v>
      </c>
      <c r="AD27" s="375">
        <v>0</v>
      </c>
      <c r="AE27" s="375">
        <v>0</v>
      </c>
      <c r="AF27" s="375">
        <v>1</v>
      </c>
      <c r="AG27" s="375">
        <v>38000</v>
      </c>
      <c r="AH27" s="375">
        <v>2025</v>
      </c>
      <c r="AI27" s="375">
        <v>0</v>
      </c>
      <c r="AJ27" s="375">
        <v>0</v>
      </c>
      <c r="AM27" s="410"/>
      <c r="AN27" s="410"/>
      <c r="AO27" s="375" t="str">
        <f t="shared" si="0"/>
        <v/>
      </c>
    </row>
    <row r="28" spans="2:41">
      <c r="B28" s="375" t="s">
        <v>1047</v>
      </c>
      <c r="C28" s="408">
        <v>42247</v>
      </c>
      <c r="D28" s="409">
        <v>-1043.1600000000001</v>
      </c>
      <c r="E28" s="375" t="s">
        <v>1160</v>
      </c>
      <c r="F28" s="410" t="s">
        <v>1035</v>
      </c>
      <c r="G28" s="375" t="s">
        <v>1141</v>
      </c>
      <c r="H28" s="375" t="s">
        <v>1037</v>
      </c>
      <c r="I28" s="375" t="s">
        <v>1038</v>
      </c>
      <c r="J28" s="379"/>
      <c r="K28" s="379"/>
      <c r="L28" s="379" t="s">
        <v>1142</v>
      </c>
      <c r="M28" s="397"/>
      <c r="N28" s="379"/>
      <c r="O28" s="379"/>
      <c r="S28" s="375" t="s">
        <v>1159</v>
      </c>
      <c r="T28" s="375" t="s">
        <v>1161</v>
      </c>
      <c r="V28" s="408">
        <v>42221</v>
      </c>
      <c r="W28" s="408">
        <v>42221</v>
      </c>
      <c r="Y28" s="408"/>
      <c r="Z28" s="375" t="s">
        <v>1145</v>
      </c>
      <c r="AA28" s="375">
        <v>0</v>
      </c>
      <c r="AB28" s="375">
        <v>0</v>
      </c>
      <c r="AC28" s="375">
        <v>0</v>
      </c>
      <c r="AD28" s="375">
        <v>0</v>
      </c>
      <c r="AE28" s="375">
        <v>5</v>
      </c>
      <c r="AF28" s="375">
        <v>1</v>
      </c>
      <c r="AG28" s="375">
        <v>38000</v>
      </c>
      <c r="AH28" s="375">
        <v>2025</v>
      </c>
      <c r="AI28" s="375">
        <v>0</v>
      </c>
      <c r="AJ28" s="375">
        <v>0</v>
      </c>
      <c r="AM28" s="410"/>
      <c r="AN28" s="410"/>
      <c r="AO28" s="375" t="str">
        <f t="shared" si="0"/>
        <v/>
      </c>
    </row>
    <row r="29" spans="2:41">
      <c r="B29" s="375" t="s">
        <v>1047</v>
      </c>
      <c r="C29" s="408">
        <v>42247</v>
      </c>
      <c r="D29" s="409">
        <v>1039.72</v>
      </c>
      <c r="E29" s="375" t="s">
        <v>1162</v>
      </c>
      <c r="F29" s="410" t="s">
        <v>1035</v>
      </c>
      <c r="G29" s="375" t="s">
        <v>1141</v>
      </c>
      <c r="H29" s="375" t="s">
        <v>1037</v>
      </c>
      <c r="I29" s="375" t="s">
        <v>1038</v>
      </c>
      <c r="J29" s="379"/>
      <c r="K29" s="379"/>
      <c r="L29" s="379" t="s">
        <v>1142</v>
      </c>
      <c r="M29" s="397"/>
      <c r="N29" s="379"/>
      <c r="O29" s="379"/>
      <c r="S29" s="375" t="s">
        <v>1163</v>
      </c>
      <c r="T29" s="375" t="s">
        <v>1163</v>
      </c>
      <c r="V29" s="408">
        <v>42250</v>
      </c>
      <c r="W29" s="408">
        <v>42250</v>
      </c>
      <c r="Y29" s="408"/>
      <c r="Z29" s="375" t="s">
        <v>1145</v>
      </c>
      <c r="AA29" s="375">
        <v>0</v>
      </c>
      <c r="AB29" s="375">
        <v>0</v>
      </c>
      <c r="AC29" s="375">
        <v>0</v>
      </c>
      <c r="AD29" s="375">
        <v>0</v>
      </c>
      <c r="AE29" s="375">
        <v>0</v>
      </c>
      <c r="AF29" s="375">
        <v>1</v>
      </c>
      <c r="AG29" s="375">
        <v>38000</v>
      </c>
      <c r="AH29" s="375">
        <v>2025</v>
      </c>
      <c r="AI29" s="375">
        <v>0</v>
      </c>
      <c r="AJ29" s="375">
        <v>0</v>
      </c>
      <c r="AM29" s="410"/>
      <c r="AN29" s="410"/>
      <c r="AO29" s="375" t="str">
        <f t="shared" si="0"/>
        <v/>
      </c>
    </row>
    <row r="30" spans="2:41">
      <c r="B30" s="375" t="s">
        <v>1047</v>
      </c>
      <c r="C30" s="408">
        <v>42277</v>
      </c>
      <c r="D30" s="409">
        <v>-1039.72</v>
      </c>
      <c r="E30" s="375" t="s">
        <v>1164</v>
      </c>
      <c r="F30" s="410" t="s">
        <v>1035</v>
      </c>
      <c r="G30" s="375" t="s">
        <v>1141</v>
      </c>
      <c r="H30" s="375" t="s">
        <v>1057</v>
      </c>
      <c r="I30" s="375" t="s">
        <v>1038</v>
      </c>
      <c r="J30" s="379"/>
      <c r="K30" s="379"/>
      <c r="L30" s="379" t="s">
        <v>1142</v>
      </c>
      <c r="M30" s="397"/>
      <c r="N30" s="379"/>
      <c r="O30" s="379"/>
      <c r="S30" s="375" t="s">
        <v>1163</v>
      </c>
      <c r="T30" s="375" t="s">
        <v>1165</v>
      </c>
      <c r="V30" s="408">
        <v>42250</v>
      </c>
      <c r="W30" s="408">
        <v>42250</v>
      </c>
      <c r="Y30" s="408"/>
      <c r="Z30" s="375" t="s">
        <v>1145</v>
      </c>
      <c r="AA30" s="375">
        <v>0</v>
      </c>
      <c r="AB30" s="375">
        <v>0</v>
      </c>
      <c r="AC30" s="375">
        <v>0</v>
      </c>
      <c r="AD30" s="375">
        <v>0</v>
      </c>
      <c r="AE30" s="375">
        <v>5</v>
      </c>
      <c r="AF30" s="375">
        <v>1</v>
      </c>
      <c r="AG30" s="375">
        <v>38000</v>
      </c>
      <c r="AH30" s="375">
        <v>2025</v>
      </c>
      <c r="AI30" s="375">
        <v>0</v>
      </c>
      <c r="AJ30" s="375">
        <v>0</v>
      </c>
      <c r="AM30" s="410"/>
      <c r="AN30" s="410"/>
      <c r="AO30" s="375" t="str">
        <f t="shared" si="0"/>
        <v/>
      </c>
    </row>
    <row r="31" spans="2:41">
      <c r="B31" s="375" t="s">
        <v>1047</v>
      </c>
      <c r="C31" s="408">
        <v>42277</v>
      </c>
      <c r="D31" s="409">
        <v>987.27</v>
      </c>
      <c r="E31" s="375" t="s">
        <v>1166</v>
      </c>
      <c r="F31" s="410" t="s">
        <v>1035</v>
      </c>
      <c r="G31" s="375" t="s">
        <v>1141</v>
      </c>
      <c r="H31" s="375" t="s">
        <v>1037</v>
      </c>
      <c r="I31" s="375" t="s">
        <v>1038</v>
      </c>
      <c r="J31" s="379"/>
      <c r="K31" s="379"/>
      <c r="L31" s="379" t="s">
        <v>1142</v>
      </c>
      <c r="M31" s="397"/>
      <c r="N31" s="379"/>
      <c r="O31" s="379"/>
      <c r="S31" s="375" t="s">
        <v>1167</v>
      </c>
      <c r="T31" s="375" t="s">
        <v>1167</v>
      </c>
      <c r="V31" s="408">
        <v>42282</v>
      </c>
      <c r="W31" s="408">
        <v>42282</v>
      </c>
      <c r="Y31" s="408"/>
      <c r="Z31" s="375" t="s">
        <v>1145</v>
      </c>
      <c r="AA31" s="375">
        <v>0</v>
      </c>
      <c r="AB31" s="375">
        <v>0</v>
      </c>
      <c r="AC31" s="375">
        <v>0</v>
      </c>
      <c r="AD31" s="375">
        <v>0</v>
      </c>
      <c r="AE31" s="375">
        <v>0</v>
      </c>
      <c r="AF31" s="375">
        <v>1</v>
      </c>
      <c r="AG31" s="375">
        <v>38000</v>
      </c>
      <c r="AH31" s="375">
        <v>2025</v>
      </c>
      <c r="AI31" s="375">
        <v>0</v>
      </c>
      <c r="AJ31" s="375">
        <v>0</v>
      </c>
      <c r="AM31" s="410"/>
      <c r="AN31" s="410"/>
      <c r="AO31" s="375" t="str">
        <f t="shared" si="0"/>
        <v/>
      </c>
    </row>
    <row r="32" spans="2:41">
      <c r="B32" s="375" t="s">
        <v>1047</v>
      </c>
      <c r="C32" s="408">
        <v>42308</v>
      </c>
      <c r="D32" s="409">
        <v>-987.27</v>
      </c>
      <c r="E32" s="375" t="s">
        <v>1168</v>
      </c>
      <c r="F32" s="410" t="s">
        <v>1035</v>
      </c>
      <c r="G32" s="375" t="s">
        <v>1141</v>
      </c>
      <c r="H32" s="375" t="s">
        <v>1057</v>
      </c>
      <c r="I32" s="375" t="s">
        <v>1038</v>
      </c>
      <c r="J32" s="379"/>
      <c r="K32" s="379"/>
      <c r="L32" s="379" t="s">
        <v>1142</v>
      </c>
      <c r="M32" s="397"/>
      <c r="N32" s="379"/>
      <c r="O32" s="379"/>
      <c r="S32" s="375" t="s">
        <v>1167</v>
      </c>
      <c r="T32" s="375" t="s">
        <v>1169</v>
      </c>
      <c r="V32" s="408">
        <v>42282</v>
      </c>
      <c r="W32" s="408">
        <v>42282</v>
      </c>
      <c r="Y32" s="408"/>
      <c r="Z32" s="375" t="s">
        <v>1145</v>
      </c>
      <c r="AA32" s="375">
        <v>0</v>
      </c>
      <c r="AB32" s="375">
        <v>0</v>
      </c>
      <c r="AC32" s="375">
        <v>0</v>
      </c>
      <c r="AD32" s="375">
        <v>0</v>
      </c>
      <c r="AE32" s="375">
        <v>5</v>
      </c>
      <c r="AF32" s="375">
        <v>1</v>
      </c>
      <c r="AG32" s="375">
        <v>38000</v>
      </c>
      <c r="AH32" s="375">
        <v>2025</v>
      </c>
      <c r="AI32" s="375">
        <v>0</v>
      </c>
      <c r="AJ32" s="375">
        <v>0</v>
      </c>
      <c r="AM32" s="410"/>
      <c r="AN32" s="410"/>
      <c r="AO32" s="375" t="str">
        <f t="shared" si="0"/>
        <v/>
      </c>
    </row>
    <row r="33" spans="2:41">
      <c r="B33" s="375" t="s">
        <v>1047</v>
      </c>
      <c r="C33" s="408">
        <v>42308</v>
      </c>
      <c r="D33" s="409">
        <v>1071.8599999999999</v>
      </c>
      <c r="E33" s="375" t="s">
        <v>1170</v>
      </c>
      <c r="F33" s="410" t="s">
        <v>1035</v>
      </c>
      <c r="G33" s="375" t="s">
        <v>1141</v>
      </c>
      <c r="H33" s="375" t="s">
        <v>1037</v>
      </c>
      <c r="I33" s="375" t="s">
        <v>1038</v>
      </c>
      <c r="J33" s="379"/>
      <c r="K33" s="379"/>
      <c r="L33" s="379" t="s">
        <v>1142</v>
      </c>
      <c r="M33" s="397"/>
      <c r="N33" s="379"/>
      <c r="O33" s="379"/>
      <c r="S33" s="375" t="s">
        <v>1171</v>
      </c>
      <c r="T33" s="375" t="s">
        <v>1171</v>
      </c>
      <c r="V33" s="408">
        <v>42312</v>
      </c>
      <c r="W33" s="408">
        <v>42312</v>
      </c>
      <c r="Y33" s="408"/>
      <c r="Z33" s="375" t="s">
        <v>1145</v>
      </c>
      <c r="AA33" s="375">
        <v>0</v>
      </c>
      <c r="AB33" s="375">
        <v>0</v>
      </c>
      <c r="AC33" s="375">
        <v>0</v>
      </c>
      <c r="AD33" s="375">
        <v>0</v>
      </c>
      <c r="AE33" s="375">
        <v>0</v>
      </c>
      <c r="AF33" s="375">
        <v>1</v>
      </c>
      <c r="AG33" s="375">
        <v>38000</v>
      </c>
      <c r="AH33" s="375">
        <v>2025</v>
      </c>
      <c r="AI33" s="375">
        <v>0</v>
      </c>
      <c r="AJ33" s="375">
        <v>0</v>
      </c>
      <c r="AM33" s="410"/>
      <c r="AN33" s="410"/>
      <c r="AO33" s="375" t="str">
        <f t="shared" si="0"/>
        <v/>
      </c>
    </row>
    <row r="34" spans="2:41">
      <c r="B34" s="375" t="s">
        <v>1047</v>
      </c>
      <c r="C34" s="408">
        <v>42338</v>
      </c>
      <c r="D34" s="409">
        <v>-1071.8599999999999</v>
      </c>
      <c r="E34" s="375" t="s">
        <v>1172</v>
      </c>
      <c r="F34" s="410" t="s">
        <v>1035</v>
      </c>
      <c r="G34" s="375" t="s">
        <v>1141</v>
      </c>
      <c r="H34" s="375" t="s">
        <v>1057</v>
      </c>
      <c r="I34" s="375" t="s">
        <v>1038</v>
      </c>
      <c r="J34" s="379"/>
      <c r="K34" s="379"/>
      <c r="L34" s="379" t="s">
        <v>1142</v>
      </c>
      <c r="M34" s="397"/>
      <c r="N34" s="379"/>
      <c r="O34" s="379"/>
      <c r="S34" s="375" t="s">
        <v>1171</v>
      </c>
      <c r="T34" s="375" t="s">
        <v>1173</v>
      </c>
      <c r="V34" s="408">
        <v>42312</v>
      </c>
      <c r="W34" s="408">
        <v>42312</v>
      </c>
      <c r="Y34" s="408"/>
      <c r="Z34" s="375" t="s">
        <v>1145</v>
      </c>
      <c r="AA34" s="375">
        <v>0</v>
      </c>
      <c r="AB34" s="375">
        <v>0</v>
      </c>
      <c r="AC34" s="375">
        <v>0</v>
      </c>
      <c r="AD34" s="375">
        <v>0</v>
      </c>
      <c r="AE34" s="375">
        <v>5</v>
      </c>
      <c r="AF34" s="375">
        <v>1</v>
      </c>
      <c r="AG34" s="375">
        <v>38000</v>
      </c>
      <c r="AH34" s="375">
        <v>2025</v>
      </c>
      <c r="AI34" s="375">
        <v>0</v>
      </c>
      <c r="AJ34" s="375">
        <v>0</v>
      </c>
      <c r="AM34" s="410"/>
      <c r="AN34" s="410"/>
      <c r="AO34" s="375" t="str">
        <f t="shared" si="0"/>
        <v/>
      </c>
    </row>
    <row r="35" spans="2:41">
      <c r="B35" s="375" t="s">
        <v>1047</v>
      </c>
      <c r="C35" s="408">
        <v>42338</v>
      </c>
      <c r="D35" s="409">
        <v>1187.55</v>
      </c>
      <c r="E35" s="375" t="s">
        <v>1174</v>
      </c>
      <c r="F35" s="410" t="s">
        <v>1035</v>
      </c>
      <c r="G35" s="375" t="s">
        <v>1141</v>
      </c>
      <c r="H35" s="375" t="s">
        <v>1037</v>
      </c>
      <c r="I35" s="375" t="s">
        <v>1038</v>
      </c>
      <c r="J35" s="379"/>
      <c r="K35" s="379"/>
      <c r="L35" s="379" t="s">
        <v>1142</v>
      </c>
      <c r="M35" s="397"/>
      <c r="N35" s="379"/>
      <c r="O35" s="379"/>
      <c r="S35" s="375" t="s">
        <v>1175</v>
      </c>
      <c r="T35" s="375" t="s">
        <v>1175</v>
      </c>
      <c r="V35" s="408">
        <v>42340</v>
      </c>
      <c r="W35" s="408">
        <v>42341</v>
      </c>
      <c r="Y35" s="408"/>
      <c r="Z35" s="375" t="s">
        <v>1145</v>
      </c>
      <c r="AA35" s="375">
        <v>0</v>
      </c>
      <c r="AB35" s="375">
        <v>0</v>
      </c>
      <c r="AC35" s="375">
        <v>0</v>
      </c>
      <c r="AD35" s="375">
        <v>0</v>
      </c>
      <c r="AE35" s="375">
        <v>0</v>
      </c>
      <c r="AF35" s="375">
        <v>1</v>
      </c>
      <c r="AG35" s="375">
        <v>38000</v>
      </c>
      <c r="AH35" s="375">
        <v>2025</v>
      </c>
      <c r="AI35" s="375">
        <v>0</v>
      </c>
      <c r="AJ35" s="375">
        <v>0</v>
      </c>
      <c r="AM35" s="410"/>
      <c r="AN35" s="410"/>
      <c r="AO35" s="375" t="str">
        <f t="shared" si="0"/>
        <v/>
      </c>
    </row>
    <row r="36" spans="2:41">
      <c r="B36" s="375" t="s">
        <v>1047</v>
      </c>
      <c r="C36" s="408">
        <v>42369</v>
      </c>
      <c r="D36" s="409">
        <v>-1187.55</v>
      </c>
      <c r="E36" s="375" t="s">
        <v>1176</v>
      </c>
      <c r="F36" s="410" t="s">
        <v>1035</v>
      </c>
      <c r="G36" s="375" t="s">
        <v>1141</v>
      </c>
      <c r="H36" s="375" t="s">
        <v>1037</v>
      </c>
      <c r="I36" s="375" t="s">
        <v>1038</v>
      </c>
      <c r="J36" s="379"/>
      <c r="K36" s="379"/>
      <c r="L36" s="379" t="s">
        <v>1142</v>
      </c>
      <c r="M36" s="397"/>
      <c r="N36" s="379"/>
      <c r="O36" s="379"/>
      <c r="S36" s="375" t="s">
        <v>1175</v>
      </c>
      <c r="T36" s="375" t="s">
        <v>1177</v>
      </c>
      <c r="V36" s="408">
        <v>42341</v>
      </c>
      <c r="W36" s="408">
        <v>42341</v>
      </c>
      <c r="Y36" s="408"/>
      <c r="Z36" s="375" t="s">
        <v>1145</v>
      </c>
      <c r="AA36" s="375">
        <v>0</v>
      </c>
      <c r="AB36" s="375">
        <v>0</v>
      </c>
      <c r="AC36" s="375">
        <v>0</v>
      </c>
      <c r="AD36" s="375">
        <v>0</v>
      </c>
      <c r="AE36" s="375">
        <v>5</v>
      </c>
      <c r="AF36" s="375">
        <v>1</v>
      </c>
      <c r="AG36" s="375">
        <v>38000</v>
      </c>
      <c r="AH36" s="375">
        <v>2025</v>
      </c>
      <c r="AI36" s="375">
        <v>0</v>
      </c>
      <c r="AJ36" s="375">
        <v>0</v>
      </c>
      <c r="AM36" s="410"/>
      <c r="AN36" s="410"/>
      <c r="AO36" s="375" t="str">
        <f t="shared" si="0"/>
        <v/>
      </c>
    </row>
    <row r="37" spans="2:41">
      <c r="B37" s="375" t="s">
        <v>1047</v>
      </c>
      <c r="C37" s="408">
        <v>42369</v>
      </c>
      <c r="D37" s="409">
        <v>1230.8599999999999</v>
      </c>
      <c r="E37" s="375" t="s">
        <v>1178</v>
      </c>
      <c r="F37" s="410" t="s">
        <v>1035</v>
      </c>
      <c r="G37" s="375" t="s">
        <v>1141</v>
      </c>
      <c r="H37" s="375" t="s">
        <v>1037</v>
      </c>
      <c r="I37" s="375" t="s">
        <v>1038</v>
      </c>
      <c r="J37" s="379"/>
      <c r="K37" s="379"/>
      <c r="L37" s="379" t="s">
        <v>1142</v>
      </c>
      <c r="M37" s="397"/>
      <c r="N37" s="379"/>
      <c r="O37" s="379"/>
      <c r="S37" s="375" t="s">
        <v>1179</v>
      </c>
      <c r="T37" s="375" t="s">
        <v>1179</v>
      </c>
      <c r="V37" s="408">
        <v>42375</v>
      </c>
      <c r="W37" s="408">
        <v>42375</v>
      </c>
      <c r="Y37" s="408"/>
      <c r="Z37" s="375" t="s">
        <v>1145</v>
      </c>
      <c r="AA37" s="375">
        <v>0</v>
      </c>
      <c r="AB37" s="375">
        <v>0</v>
      </c>
      <c r="AC37" s="375">
        <v>0</v>
      </c>
      <c r="AD37" s="375">
        <v>0</v>
      </c>
      <c r="AE37" s="375">
        <v>0</v>
      </c>
      <c r="AF37" s="375">
        <v>1</v>
      </c>
      <c r="AG37" s="375">
        <v>38000</v>
      </c>
      <c r="AH37" s="375">
        <v>2025</v>
      </c>
      <c r="AI37" s="375">
        <v>0</v>
      </c>
      <c r="AJ37" s="375">
        <v>0</v>
      </c>
      <c r="AM37" s="410"/>
      <c r="AN37" s="410"/>
      <c r="AO37" s="375" t="str">
        <f t="shared" si="0"/>
        <v/>
      </c>
    </row>
    <row r="38" spans="2:41">
      <c r="B38" s="375" t="s">
        <v>1047</v>
      </c>
      <c r="C38" s="408">
        <v>42400</v>
      </c>
      <c r="D38" s="409">
        <v>-1230.8599999999999</v>
      </c>
      <c r="E38" s="375" t="s">
        <v>1180</v>
      </c>
      <c r="F38" s="410" t="s">
        <v>1035</v>
      </c>
      <c r="G38" s="375" t="s">
        <v>1141</v>
      </c>
      <c r="H38" s="375" t="s">
        <v>1057</v>
      </c>
      <c r="I38" s="375" t="s">
        <v>1038</v>
      </c>
      <c r="J38" s="379"/>
      <c r="K38" s="379"/>
      <c r="L38" s="379" t="s">
        <v>1142</v>
      </c>
      <c r="M38" s="397"/>
      <c r="N38" s="379"/>
      <c r="O38" s="379"/>
      <c r="S38" s="375" t="s">
        <v>1179</v>
      </c>
      <c r="T38" s="375" t="s">
        <v>1181</v>
      </c>
      <c r="V38" s="408">
        <v>42375</v>
      </c>
      <c r="W38" s="408">
        <v>42375</v>
      </c>
      <c r="Y38" s="408"/>
      <c r="Z38" s="375" t="s">
        <v>1145</v>
      </c>
      <c r="AA38" s="375">
        <v>0</v>
      </c>
      <c r="AB38" s="375">
        <v>0</v>
      </c>
      <c r="AC38" s="375">
        <v>0</v>
      </c>
      <c r="AD38" s="375">
        <v>0</v>
      </c>
      <c r="AE38" s="375">
        <v>5</v>
      </c>
      <c r="AF38" s="375">
        <v>1</v>
      </c>
      <c r="AG38" s="375">
        <v>38000</v>
      </c>
      <c r="AH38" s="375">
        <v>2025</v>
      </c>
      <c r="AI38" s="375">
        <v>0</v>
      </c>
      <c r="AJ38" s="375">
        <v>0</v>
      </c>
      <c r="AM38" s="410"/>
      <c r="AN38" s="410"/>
      <c r="AO38" s="375" t="str">
        <f t="shared" si="0"/>
        <v/>
      </c>
    </row>
    <row r="39" spans="2:41">
      <c r="B39" s="375" t="s">
        <v>1047</v>
      </c>
      <c r="C39" s="408">
        <v>42400</v>
      </c>
      <c r="D39" s="409">
        <v>1269.8399999999999</v>
      </c>
      <c r="E39" s="375" t="s">
        <v>1182</v>
      </c>
      <c r="F39" s="410" t="s">
        <v>1035</v>
      </c>
      <c r="G39" s="375" t="s">
        <v>1141</v>
      </c>
      <c r="H39" s="375" t="s">
        <v>1037</v>
      </c>
      <c r="I39" s="375" t="s">
        <v>1038</v>
      </c>
      <c r="J39" s="379"/>
      <c r="K39" s="379"/>
      <c r="L39" s="379" t="s">
        <v>1142</v>
      </c>
      <c r="M39" s="397"/>
      <c r="N39" s="379"/>
      <c r="O39" s="379"/>
      <c r="S39" s="375" t="s">
        <v>1183</v>
      </c>
      <c r="T39" s="375" t="s">
        <v>1183</v>
      </c>
      <c r="V39" s="408">
        <v>42403</v>
      </c>
      <c r="W39" s="408">
        <v>42403</v>
      </c>
      <c r="Y39" s="408"/>
      <c r="Z39" s="375" t="s">
        <v>1145</v>
      </c>
      <c r="AA39" s="375">
        <v>0</v>
      </c>
      <c r="AB39" s="375">
        <v>0</v>
      </c>
      <c r="AC39" s="375">
        <v>0</v>
      </c>
      <c r="AD39" s="375">
        <v>0</v>
      </c>
      <c r="AE39" s="375">
        <v>0</v>
      </c>
      <c r="AF39" s="375">
        <v>1</v>
      </c>
      <c r="AG39" s="375">
        <v>38000</v>
      </c>
      <c r="AH39" s="375">
        <v>2025</v>
      </c>
      <c r="AI39" s="375">
        <v>0</v>
      </c>
      <c r="AJ39" s="375">
        <v>0</v>
      </c>
      <c r="AM39" s="410"/>
      <c r="AN39" s="410"/>
      <c r="AO39" s="375" t="str">
        <f t="shared" si="0"/>
        <v/>
      </c>
    </row>
    <row r="40" spans="2:41">
      <c r="B40" s="375" t="s">
        <v>1047</v>
      </c>
      <c r="C40" s="408">
        <v>42429</v>
      </c>
      <c r="D40" s="409">
        <v>-1269.8399999999999</v>
      </c>
      <c r="E40" s="375" t="s">
        <v>1184</v>
      </c>
      <c r="F40" s="410" t="s">
        <v>1035</v>
      </c>
      <c r="G40" s="375" t="s">
        <v>1141</v>
      </c>
      <c r="H40" s="375" t="s">
        <v>1076</v>
      </c>
      <c r="I40" s="375" t="s">
        <v>1038</v>
      </c>
      <c r="J40" s="379"/>
      <c r="K40" s="379"/>
      <c r="L40" s="379" t="s">
        <v>1142</v>
      </c>
      <c r="M40" s="397"/>
      <c r="N40" s="379"/>
      <c r="O40" s="379"/>
      <c r="S40" s="375" t="s">
        <v>1183</v>
      </c>
      <c r="T40" s="375" t="s">
        <v>1185</v>
      </c>
      <c r="V40" s="408">
        <v>42403</v>
      </c>
      <c r="W40" s="408">
        <v>42403</v>
      </c>
      <c r="Y40" s="408"/>
      <c r="Z40" s="375" t="s">
        <v>1145</v>
      </c>
      <c r="AA40" s="375">
        <v>0</v>
      </c>
      <c r="AB40" s="375">
        <v>0</v>
      </c>
      <c r="AC40" s="375">
        <v>0</v>
      </c>
      <c r="AD40" s="375">
        <v>0</v>
      </c>
      <c r="AE40" s="375">
        <v>5</v>
      </c>
      <c r="AF40" s="375">
        <v>1</v>
      </c>
      <c r="AG40" s="375">
        <v>38000</v>
      </c>
      <c r="AH40" s="375">
        <v>2025</v>
      </c>
      <c r="AI40" s="375">
        <v>0</v>
      </c>
      <c r="AJ40" s="375">
        <v>0</v>
      </c>
      <c r="AM40" s="410"/>
      <c r="AN40" s="410"/>
      <c r="AO40" s="375" t="str">
        <f t="shared" si="0"/>
        <v/>
      </c>
    </row>
    <row r="41" spans="2:41">
      <c r="B41" s="375" t="s">
        <v>1047</v>
      </c>
      <c r="C41" s="408">
        <v>42429</v>
      </c>
      <c r="D41" s="409">
        <v>1285.1099999999999</v>
      </c>
      <c r="E41" s="375" t="s">
        <v>1186</v>
      </c>
      <c r="F41" s="410" t="s">
        <v>1035</v>
      </c>
      <c r="G41" s="375" t="s">
        <v>1141</v>
      </c>
      <c r="H41" s="375" t="s">
        <v>1037</v>
      </c>
      <c r="I41" s="375" t="s">
        <v>1038</v>
      </c>
      <c r="J41" s="379"/>
      <c r="K41" s="379"/>
      <c r="L41" s="379" t="s">
        <v>1142</v>
      </c>
      <c r="M41" s="397"/>
      <c r="N41" s="379"/>
      <c r="O41" s="379"/>
      <c r="S41" s="375" t="s">
        <v>1187</v>
      </c>
      <c r="T41" s="375" t="s">
        <v>1187</v>
      </c>
      <c r="V41" s="408">
        <v>42432</v>
      </c>
      <c r="W41" s="408">
        <v>42432</v>
      </c>
      <c r="Y41" s="408"/>
      <c r="Z41" s="375" t="s">
        <v>1145</v>
      </c>
      <c r="AA41" s="375">
        <v>0</v>
      </c>
      <c r="AB41" s="375">
        <v>0</v>
      </c>
      <c r="AC41" s="375">
        <v>0</v>
      </c>
      <c r="AD41" s="375">
        <v>0</v>
      </c>
      <c r="AE41" s="375">
        <v>0</v>
      </c>
      <c r="AF41" s="375">
        <v>1</v>
      </c>
      <c r="AG41" s="375">
        <v>38000</v>
      </c>
      <c r="AH41" s="375">
        <v>2025</v>
      </c>
      <c r="AI41" s="375">
        <v>0</v>
      </c>
      <c r="AJ41" s="375">
        <v>0</v>
      </c>
      <c r="AM41" s="410"/>
      <c r="AN41" s="410"/>
      <c r="AO41" s="375" t="str">
        <f t="shared" si="0"/>
        <v/>
      </c>
    </row>
    <row r="42" spans="2:41">
      <c r="B42" s="375" t="s">
        <v>1047</v>
      </c>
      <c r="C42" s="408">
        <v>42460</v>
      </c>
      <c r="D42" s="409">
        <v>-1285.1099999999999</v>
      </c>
      <c r="E42" s="375" t="s">
        <v>1188</v>
      </c>
      <c r="F42" s="410" t="s">
        <v>1035</v>
      </c>
      <c r="G42" s="375" t="s">
        <v>1141</v>
      </c>
      <c r="H42" s="375" t="s">
        <v>1037</v>
      </c>
      <c r="I42" s="375" t="s">
        <v>1038</v>
      </c>
      <c r="J42" s="379"/>
      <c r="K42" s="379"/>
      <c r="L42" s="379" t="s">
        <v>1142</v>
      </c>
      <c r="M42" s="397"/>
      <c r="N42" s="379"/>
      <c r="O42" s="379"/>
      <c r="S42" s="375" t="s">
        <v>1187</v>
      </c>
      <c r="T42" s="375" t="s">
        <v>1189</v>
      </c>
      <c r="V42" s="408">
        <v>42432</v>
      </c>
      <c r="W42" s="408">
        <v>42432</v>
      </c>
      <c r="Y42" s="408"/>
      <c r="Z42" s="375" t="s">
        <v>1145</v>
      </c>
      <c r="AA42" s="375">
        <v>0</v>
      </c>
      <c r="AB42" s="375">
        <v>0</v>
      </c>
      <c r="AC42" s="375">
        <v>0</v>
      </c>
      <c r="AD42" s="375">
        <v>0</v>
      </c>
      <c r="AE42" s="375">
        <v>5</v>
      </c>
      <c r="AF42" s="375">
        <v>1</v>
      </c>
      <c r="AG42" s="375">
        <v>38000</v>
      </c>
      <c r="AH42" s="375">
        <v>2025</v>
      </c>
      <c r="AI42" s="375">
        <v>0</v>
      </c>
      <c r="AJ42" s="375">
        <v>0</v>
      </c>
      <c r="AM42" s="410"/>
      <c r="AN42" s="410"/>
      <c r="AO42" s="375" t="str">
        <f t="shared" si="0"/>
        <v/>
      </c>
    </row>
    <row r="43" spans="2:41">
      <c r="B43" s="375" t="s">
        <v>1047</v>
      </c>
      <c r="C43" s="408">
        <v>42460</v>
      </c>
      <c r="D43" s="409">
        <v>979.44</v>
      </c>
      <c r="E43" s="375" t="s">
        <v>1190</v>
      </c>
      <c r="F43" s="410" t="s">
        <v>1035</v>
      </c>
      <c r="G43" s="375" t="s">
        <v>1141</v>
      </c>
      <c r="H43" s="375" t="s">
        <v>1057</v>
      </c>
      <c r="I43" s="375" t="s">
        <v>1038</v>
      </c>
      <c r="J43" s="379"/>
      <c r="K43" s="379"/>
      <c r="L43" s="379" t="s">
        <v>1142</v>
      </c>
      <c r="M43" s="397"/>
      <c r="N43" s="379"/>
      <c r="O43" s="379"/>
      <c r="S43" s="375" t="s">
        <v>1191</v>
      </c>
      <c r="T43" s="375" t="s">
        <v>1191</v>
      </c>
      <c r="V43" s="408">
        <v>42465</v>
      </c>
      <c r="W43" s="408">
        <v>42465</v>
      </c>
      <c r="Y43" s="408"/>
      <c r="Z43" s="375" t="s">
        <v>1145</v>
      </c>
      <c r="AA43" s="375">
        <v>0</v>
      </c>
      <c r="AB43" s="375">
        <v>0</v>
      </c>
      <c r="AC43" s="375">
        <v>0</v>
      </c>
      <c r="AD43" s="375">
        <v>0</v>
      </c>
      <c r="AE43" s="375">
        <v>0</v>
      </c>
      <c r="AF43" s="375">
        <v>1</v>
      </c>
      <c r="AG43" s="375">
        <v>38000</v>
      </c>
      <c r="AH43" s="375">
        <v>2025</v>
      </c>
      <c r="AI43" s="375">
        <v>0</v>
      </c>
      <c r="AJ43" s="375">
        <v>0</v>
      </c>
      <c r="AM43" s="410"/>
      <c r="AN43" s="410"/>
      <c r="AO43" s="375" t="str">
        <f t="shared" si="0"/>
        <v/>
      </c>
    </row>
    <row r="44" spans="2:41">
      <c r="B44" s="375" t="s">
        <v>1047</v>
      </c>
      <c r="C44" s="408">
        <v>42124</v>
      </c>
      <c r="D44" s="409">
        <v>-460.19</v>
      </c>
      <c r="E44" s="375" t="s">
        <v>1192</v>
      </c>
      <c r="F44" s="410" t="s">
        <v>1035</v>
      </c>
      <c r="G44" s="375" t="s">
        <v>1193</v>
      </c>
      <c r="H44" s="375" t="s">
        <v>1057</v>
      </c>
      <c r="I44" s="375" t="s">
        <v>1038</v>
      </c>
      <c r="J44" s="379"/>
      <c r="K44" s="379"/>
      <c r="L44" s="379" t="s">
        <v>982</v>
      </c>
      <c r="M44" s="397"/>
      <c r="N44" s="379"/>
      <c r="O44" s="379"/>
      <c r="S44" s="375" t="s">
        <v>1194</v>
      </c>
      <c r="T44" s="375" t="s">
        <v>1194</v>
      </c>
      <c r="V44" s="408">
        <v>42128</v>
      </c>
      <c r="W44" s="408">
        <v>42128</v>
      </c>
      <c r="Y44" s="408"/>
      <c r="Z44" s="375" t="s">
        <v>1145</v>
      </c>
      <c r="AA44" s="375">
        <v>0</v>
      </c>
      <c r="AB44" s="375">
        <v>0</v>
      </c>
      <c r="AC44" s="375">
        <v>0</v>
      </c>
      <c r="AD44" s="375">
        <v>0</v>
      </c>
      <c r="AE44" s="375">
        <v>0</v>
      </c>
      <c r="AF44" s="375">
        <v>1</v>
      </c>
      <c r="AG44" s="375">
        <v>38000</v>
      </c>
      <c r="AH44" s="375">
        <v>2025</v>
      </c>
      <c r="AI44" s="375">
        <v>0</v>
      </c>
      <c r="AJ44" s="375">
        <v>0</v>
      </c>
      <c r="AM44" s="410"/>
      <c r="AN44" s="410"/>
      <c r="AO44" s="375" t="str">
        <f t="shared" si="0"/>
        <v/>
      </c>
    </row>
    <row r="45" spans="2:41">
      <c r="B45" s="375" t="s">
        <v>1047</v>
      </c>
      <c r="C45" s="408">
        <v>42155</v>
      </c>
      <c r="D45" s="409">
        <v>-464.7</v>
      </c>
      <c r="E45" s="375" t="s">
        <v>1195</v>
      </c>
      <c r="F45" s="410" t="s">
        <v>1035</v>
      </c>
      <c r="G45" s="375" t="s">
        <v>1193</v>
      </c>
      <c r="H45" s="375" t="s">
        <v>1037</v>
      </c>
      <c r="I45" s="375" t="s">
        <v>1038</v>
      </c>
      <c r="J45" s="379"/>
      <c r="K45" s="379"/>
      <c r="L45" s="379" t="s">
        <v>982</v>
      </c>
      <c r="M45" s="397"/>
      <c r="N45" s="379"/>
      <c r="O45" s="379"/>
      <c r="S45" s="375" t="s">
        <v>1196</v>
      </c>
      <c r="T45" s="375" t="s">
        <v>1196</v>
      </c>
      <c r="V45" s="408">
        <v>42158</v>
      </c>
      <c r="W45" s="408">
        <v>42158</v>
      </c>
      <c r="Y45" s="408"/>
      <c r="Z45" s="375" t="s">
        <v>1145</v>
      </c>
      <c r="AA45" s="375">
        <v>0</v>
      </c>
      <c r="AB45" s="375">
        <v>0</v>
      </c>
      <c r="AC45" s="375">
        <v>0</v>
      </c>
      <c r="AD45" s="375">
        <v>0</v>
      </c>
      <c r="AE45" s="375">
        <v>0</v>
      </c>
      <c r="AF45" s="375">
        <v>1</v>
      </c>
      <c r="AG45" s="375">
        <v>38000</v>
      </c>
      <c r="AH45" s="375">
        <v>2025</v>
      </c>
      <c r="AI45" s="375">
        <v>0</v>
      </c>
      <c r="AJ45" s="375">
        <v>0</v>
      </c>
      <c r="AM45" s="410"/>
      <c r="AN45" s="410"/>
      <c r="AO45" s="375" t="str">
        <f t="shared" si="0"/>
        <v/>
      </c>
    </row>
    <row r="46" spans="2:41">
      <c r="B46" s="375" t="s">
        <v>1047</v>
      </c>
      <c r="C46" s="408">
        <v>42185</v>
      </c>
      <c r="D46" s="409">
        <v>-578.52</v>
      </c>
      <c r="E46" s="375" t="s">
        <v>1197</v>
      </c>
      <c r="F46" s="410" t="s">
        <v>1035</v>
      </c>
      <c r="G46" s="375" t="s">
        <v>1193</v>
      </c>
      <c r="H46" s="375" t="s">
        <v>1050</v>
      </c>
      <c r="I46" s="375" t="s">
        <v>1038</v>
      </c>
      <c r="J46" s="379"/>
      <c r="K46" s="379"/>
      <c r="L46" s="379" t="s">
        <v>982</v>
      </c>
      <c r="M46" s="397"/>
      <c r="N46" s="379"/>
      <c r="O46" s="379"/>
      <c r="S46" s="375" t="s">
        <v>1198</v>
      </c>
      <c r="T46" s="375" t="s">
        <v>1198</v>
      </c>
      <c r="V46" s="408">
        <v>42191</v>
      </c>
      <c r="W46" s="408">
        <v>42191</v>
      </c>
      <c r="Y46" s="408"/>
      <c r="Z46" s="375" t="s">
        <v>1145</v>
      </c>
      <c r="AA46" s="375">
        <v>0</v>
      </c>
      <c r="AB46" s="375">
        <v>0</v>
      </c>
      <c r="AC46" s="375">
        <v>0</v>
      </c>
      <c r="AD46" s="375">
        <v>0</v>
      </c>
      <c r="AE46" s="375">
        <v>0</v>
      </c>
      <c r="AF46" s="375">
        <v>1</v>
      </c>
      <c r="AG46" s="375">
        <v>38000</v>
      </c>
      <c r="AH46" s="375">
        <v>2025</v>
      </c>
      <c r="AI46" s="375">
        <v>0</v>
      </c>
      <c r="AJ46" s="375">
        <v>0</v>
      </c>
      <c r="AM46" s="410"/>
      <c r="AN46" s="410"/>
      <c r="AO46" s="375" t="str">
        <f t="shared" si="0"/>
        <v/>
      </c>
    </row>
    <row r="47" spans="2:41">
      <c r="B47" s="375" t="s">
        <v>1047</v>
      </c>
      <c r="C47" s="408">
        <v>42216</v>
      </c>
      <c r="D47" s="409">
        <v>-364.24</v>
      </c>
      <c r="E47" s="375" t="s">
        <v>1199</v>
      </c>
      <c r="F47" s="410" t="s">
        <v>1035</v>
      </c>
      <c r="G47" s="375" t="s">
        <v>1193</v>
      </c>
      <c r="H47" s="375" t="s">
        <v>1076</v>
      </c>
      <c r="I47" s="375" t="s">
        <v>1038</v>
      </c>
      <c r="J47" s="379"/>
      <c r="K47" s="379"/>
      <c r="L47" s="379" t="s">
        <v>982</v>
      </c>
      <c r="M47" s="397"/>
      <c r="N47" s="379"/>
      <c r="O47" s="379"/>
      <c r="S47" s="375" t="s">
        <v>1200</v>
      </c>
      <c r="T47" s="375" t="s">
        <v>1200</v>
      </c>
      <c r="V47" s="408">
        <v>42221</v>
      </c>
      <c r="W47" s="408">
        <v>42221</v>
      </c>
      <c r="Y47" s="408"/>
      <c r="Z47" s="375" t="s">
        <v>1145</v>
      </c>
      <c r="AA47" s="375">
        <v>0</v>
      </c>
      <c r="AB47" s="375">
        <v>0</v>
      </c>
      <c r="AC47" s="375">
        <v>0</v>
      </c>
      <c r="AD47" s="375">
        <v>0</v>
      </c>
      <c r="AE47" s="375">
        <v>0</v>
      </c>
      <c r="AF47" s="375">
        <v>1</v>
      </c>
      <c r="AG47" s="375">
        <v>38000</v>
      </c>
      <c r="AH47" s="375">
        <v>2025</v>
      </c>
      <c r="AI47" s="375">
        <v>0</v>
      </c>
      <c r="AJ47" s="375">
        <v>0</v>
      </c>
      <c r="AM47" s="410"/>
      <c r="AN47" s="410"/>
      <c r="AO47" s="375" t="str">
        <f t="shared" si="0"/>
        <v/>
      </c>
    </row>
    <row r="48" spans="2:41">
      <c r="B48" s="375" t="s">
        <v>1047</v>
      </c>
      <c r="C48" s="408">
        <v>42247</v>
      </c>
      <c r="D48" s="409">
        <v>-438.25</v>
      </c>
      <c r="E48" s="375" t="s">
        <v>1201</v>
      </c>
      <c r="F48" s="410" t="s">
        <v>1035</v>
      </c>
      <c r="G48" s="375" t="s">
        <v>1193</v>
      </c>
      <c r="H48" s="375" t="s">
        <v>1037</v>
      </c>
      <c r="I48" s="375" t="s">
        <v>1038</v>
      </c>
      <c r="J48" s="379"/>
      <c r="K48" s="379"/>
      <c r="L48" s="379" t="s">
        <v>982</v>
      </c>
      <c r="M48" s="397"/>
      <c r="N48" s="379"/>
      <c r="O48" s="379"/>
      <c r="S48" s="375" t="s">
        <v>1202</v>
      </c>
      <c r="T48" s="375" t="s">
        <v>1202</v>
      </c>
      <c r="V48" s="408">
        <v>42250</v>
      </c>
      <c r="W48" s="408">
        <v>42250</v>
      </c>
      <c r="Y48" s="408"/>
      <c r="Z48" s="375" t="s">
        <v>1145</v>
      </c>
      <c r="AA48" s="375">
        <v>0</v>
      </c>
      <c r="AB48" s="375">
        <v>0</v>
      </c>
      <c r="AC48" s="375">
        <v>0</v>
      </c>
      <c r="AD48" s="375">
        <v>0</v>
      </c>
      <c r="AE48" s="375">
        <v>0</v>
      </c>
      <c r="AF48" s="375">
        <v>1</v>
      </c>
      <c r="AG48" s="375">
        <v>38000</v>
      </c>
      <c r="AH48" s="375">
        <v>2025</v>
      </c>
      <c r="AI48" s="375">
        <v>0</v>
      </c>
      <c r="AJ48" s="375">
        <v>0</v>
      </c>
      <c r="AM48" s="410"/>
      <c r="AN48" s="410"/>
      <c r="AO48" s="375" t="str">
        <f t="shared" si="0"/>
        <v/>
      </c>
    </row>
    <row r="49" spans="2:41">
      <c r="B49" s="375" t="s">
        <v>1047</v>
      </c>
      <c r="C49" s="408">
        <v>42277</v>
      </c>
      <c r="D49" s="409">
        <v>-382.16</v>
      </c>
      <c r="E49" s="375" t="s">
        <v>1203</v>
      </c>
      <c r="F49" s="410" t="s">
        <v>1035</v>
      </c>
      <c r="G49" s="375" t="s">
        <v>1193</v>
      </c>
      <c r="H49" s="375" t="s">
        <v>1037</v>
      </c>
      <c r="I49" s="375" t="s">
        <v>1038</v>
      </c>
      <c r="J49" s="379"/>
      <c r="K49" s="379"/>
      <c r="L49" s="379" t="s">
        <v>982</v>
      </c>
      <c r="M49" s="397"/>
      <c r="N49" s="379"/>
      <c r="O49" s="379"/>
      <c r="S49" s="375" t="s">
        <v>1204</v>
      </c>
      <c r="T49" s="375" t="s">
        <v>1204</v>
      </c>
      <c r="V49" s="408">
        <v>42282</v>
      </c>
      <c r="W49" s="408">
        <v>42282</v>
      </c>
      <c r="Y49" s="408"/>
      <c r="Z49" s="375" t="s">
        <v>1145</v>
      </c>
      <c r="AA49" s="375">
        <v>0</v>
      </c>
      <c r="AB49" s="375">
        <v>0</v>
      </c>
      <c r="AC49" s="375">
        <v>0</v>
      </c>
      <c r="AD49" s="375">
        <v>0</v>
      </c>
      <c r="AE49" s="375">
        <v>0</v>
      </c>
      <c r="AF49" s="375">
        <v>1</v>
      </c>
      <c r="AG49" s="375">
        <v>38000</v>
      </c>
      <c r="AH49" s="375">
        <v>2025</v>
      </c>
      <c r="AI49" s="375">
        <v>0</v>
      </c>
      <c r="AJ49" s="375">
        <v>0</v>
      </c>
      <c r="AM49" s="410"/>
      <c r="AN49" s="410"/>
      <c r="AO49" s="375" t="str">
        <f t="shared" si="0"/>
        <v/>
      </c>
    </row>
    <row r="50" spans="2:41">
      <c r="B50" s="375" t="s">
        <v>1047</v>
      </c>
      <c r="C50" s="408">
        <v>42308</v>
      </c>
      <c r="D50" s="409">
        <v>-396.89</v>
      </c>
      <c r="E50" s="375" t="s">
        <v>1205</v>
      </c>
      <c r="F50" s="410" t="s">
        <v>1035</v>
      </c>
      <c r="G50" s="375" t="s">
        <v>1193</v>
      </c>
      <c r="H50" s="375" t="s">
        <v>1037</v>
      </c>
      <c r="I50" s="375" t="s">
        <v>1038</v>
      </c>
      <c r="J50" s="379"/>
      <c r="K50" s="379"/>
      <c r="L50" s="379" t="s">
        <v>982</v>
      </c>
      <c r="M50" s="397"/>
      <c r="N50" s="379"/>
      <c r="O50" s="379"/>
      <c r="S50" s="375" t="s">
        <v>1206</v>
      </c>
      <c r="T50" s="375" t="s">
        <v>1206</v>
      </c>
      <c r="V50" s="408">
        <v>42312</v>
      </c>
      <c r="W50" s="408">
        <v>42312</v>
      </c>
      <c r="Y50" s="408"/>
      <c r="Z50" s="375" t="s">
        <v>1145</v>
      </c>
      <c r="AA50" s="375">
        <v>0</v>
      </c>
      <c r="AB50" s="375">
        <v>0</v>
      </c>
      <c r="AC50" s="375">
        <v>0</v>
      </c>
      <c r="AD50" s="375">
        <v>0</v>
      </c>
      <c r="AE50" s="375">
        <v>0</v>
      </c>
      <c r="AF50" s="375">
        <v>1</v>
      </c>
      <c r="AG50" s="375">
        <v>38000</v>
      </c>
      <c r="AH50" s="375">
        <v>2025</v>
      </c>
      <c r="AI50" s="375">
        <v>0</v>
      </c>
      <c r="AJ50" s="375">
        <v>0</v>
      </c>
      <c r="AM50" s="410"/>
      <c r="AN50" s="410"/>
      <c r="AO50" s="375" t="str">
        <f t="shared" si="0"/>
        <v/>
      </c>
    </row>
    <row r="51" spans="2:41">
      <c r="B51" s="375" t="s">
        <v>1047</v>
      </c>
      <c r="C51" s="408">
        <v>42338</v>
      </c>
      <c r="D51" s="409">
        <v>-464.65</v>
      </c>
      <c r="E51" s="375" t="s">
        <v>1207</v>
      </c>
      <c r="F51" s="410" t="s">
        <v>1035</v>
      </c>
      <c r="G51" s="375" t="s">
        <v>1193</v>
      </c>
      <c r="H51" s="375" t="s">
        <v>1037</v>
      </c>
      <c r="I51" s="375" t="s">
        <v>1038</v>
      </c>
      <c r="J51" s="379"/>
      <c r="K51" s="379"/>
      <c r="L51" s="379" t="s">
        <v>982</v>
      </c>
      <c r="M51" s="397"/>
      <c r="N51" s="379"/>
      <c r="O51" s="379"/>
      <c r="S51" s="375" t="s">
        <v>1208</v>
      </c>
      <c r="T51" s="375" t="s">
        <v>1208</v>
      </c>
      <c r="V51" s="408">
        <v>42340</v>
      </c>
      <c r="W51" s="408">
        <v>42341</v>
      </c>
      <c r="Y51" s="408"/>
      <c r="Z51" s="375" t="s">
        <v>1145</v>
      </c>
      <c r="AA51" s="375">
        <v>0</v>
      </c>
      <c r="AB51" s="375">
        <v>0</v>
      </c>
      <c r="AC51" s="375">
        <v>0</v>
      </c>
      <c r="AD51" s="375">
        <v>0</v>
      </c>
      <c r="AE51" s="375">
        <v>0</v>
      </c>
      <c r="AF51" s="375">
        <v>1</v>
      </c>
      <c r="AG51" s="375">
        <v>38000</v>
      </c>
      <c r="AH51" s="375">
        <v>2025</v>
      </c>
      <c r="AI51" s="375">
        <v>0</v>
      </c>
      <c r="AJ51" s="375">
        <v>0</v>
      </c>
      <c r="AM51" s="410"/>
      <c r="AN51" s="410"/>
      <c r="AO51" s="375" t="str">
        <f t="shared" si="0"/>
        <v/>
      </c>
    </row>
    <row r="52" spans="2:41">
      <c r="B52" s="375" t="s">
        <v>1047</v>
      </c>
      <c r="C52" s="408">
        <v>42369</v>
      </c>
      <c r="D52" s="409">
        <v>-441.11</v>
      </c>
      <c r="E52" s="375" t="s">
        <v>1209</v>
      </c>
      <c r="F52" s="410" t="s">
        <v>1035</v>
      </c>
      <c r="G52" s="375" t="s">
        <v>1193</v>
      </c>
      <c r="H52" s="375" t="s">
        <v>1037</v>
      </c>
      <c r="I52" s="375" t="s">
        <v>1038</v>
      </c>
      <c r="J52" s="379"/>
      <c r="K52" s="379"/>
      <c r="L52" s="379" t="s">
        <v>982</v>
      </c>
      <c r="M52" s="397"/>
      <c r="N52" s="379"/>
      <c r="O52" s="379"/>
      <c r="S52" s="375" t="s">
        <v>1210</v>
      </c>
      <c r="T52" s="375" t="s">
        <v>1210</v>
      </c>
      <c r="V52" s="408">
        <v>42375</v>
      </c>
      <c r="W52" s="408">
        <v>42375</v>
      </c>
      <c r="Y52" s="408"/>
      <c r="Z52" s="375" t="s">
        <v>1145</v>
      </c>
      <c r="AA52" s="375">
        <v>0</v>
      </c>
      <c r="AB52" s="375">
        <v>0</v>
      </c>
      <c r="AC52" s="375">
        <v>0</v>
      </c>
      <c r="AD52" s="375">
        <v>0</v>
      </c>
      <c r="AE52" s="375">
        <v>0</v>
      </c>
      <c r="AF52" s="375">
        <v>1</v>
      </c>
      <c r="AG52" s="375">
        <v>38000</v>
      </c>
      <c r="AH52" s="375">
        <v>2025</v>
      </c>
      <c r="AI52" s="375">
        <v>0</v>
      </c>
      <c r="AJ52" s="375">
        <v>0</v>
      </c>
      <c r="AM52" s="410"/>
      <c r="AN52" s="410"/>
      <c r="AO52" s="375" t="str">
        <f t="shared" si="0"/>
        <v/>
      </c>
    </row>
    <row r="53" spans="2:41">
      <c r="B53" s="375" t="s">
        <v>1047</v>
      </c>
      <c r="C53" s="408">
        <v>42400</v>
      </c>
      <c r="D53" s="409">
        <v>-427.75</v>
      </c>
      <c r="E53" s="375" t="s">
        <v>1211</v>
      </c>
      <c r="F53" s="410" t="s">
        <v>1035</v>
      </c>
      <c r="G53" s="375" t="s">
        <v>1193</v>
      </c>
      <c r="H53" s="375" t="s">
        <v>1037</v>
      </c>
      <c r="I53" s="375" t="s">
        <v>1038</v>
      </c>
      <c r="J53" s="379"/>
      <c r="K53" s="379"/>
      <c r="L53" s="379" t="s">
        <v>982</v>
      </c>
      <c r="M53" s="397"/>
      <c r="N53" s="379"/>
      <c r="O53" s="379"/>
      <c r="S53" s="375" t="s">
        <v>1212</v>
      </c>
      <c r="T53" s="375" t="s">
        <v>1212</v>
      </c>
      <c r="V53" s="408">
        <v>42403</v>
      </c>
      <c r="W53" s="408">
        <v>42403</v>
      </c>
      <c r="Y53" s="408"/>
      <c r="Z53" s="375" t="s">
        <v>1145</v>
      </c>
      <c r="AA53" s="375">
        <v>0</v>
      </c>
      <c r="AB53" s="375">
        <v>0</v>
      </c>
      <c r="AC53" s="375">
        <v>0</v>
      </c>
      <c r="AD53" s="375">
        <v>0</v>
      </c>
      <c r="AE53" s="375">
        <v>0</v>
      </c>
      <c r="AF53" s="375">
        <v>1</v>
      </c>
      <c r="AG53" s="375">
        <v>38000</v>
      </c>
      <c r="AH53" s="375">
        <v>2025</v>
      </c>
      <c r="AI53" s="375">
        <v>0</v>
      </c>
      <c r="AJ53" s="375">
        <v>0</v>
      </c>
      <c r="AM53" s="410"/>
      <c r="AN53" s="410"/>
      <c r="AO53" s="375" t="str">
        <f t="shared" si="0"/>
        <v/>
      </c>
    </row>
    <row r="54" spans="2:41">
      <c r="B54" s="375" t="s">
        <v>1047</v>
      </c>
      <c r="C54" s="408">
        <v>42429</v>
      </c>
      <c r="D54" s="409">
        <v>-407.3</v>
      </c>
      <c r="E54" s="375" t="s">
        <v>1213</v>
      </c>
      <c r="F54" s="410" t="s">
        <v>1035</v>
      </c>
      <c r="G54" s="375" t="s">
        <v>1193</v>
      </c>
      <c r="H54" s="375" t="s">
        <v>1037</v>
      </c>
      <c r="I54" s="375" t="s">
        <v>1038</v>
      </c>
      <c r="J54" s="379"/>
      <c r="K54" s="379"/>
      <c r="L54" s="379" t="s">
        <v>982</v>
      </c>
      <c r="M54" s="397"/>
      <c r="N54" s="379"/>
      <c r="O54" s="379"/>
      <c r="S54" s="375" t="s">
        <v>1214</v>
      </c>
      <c r="T54" s="375" t="s">
        <v>1214</v>
      </c>
      <c r="V54" s="408">
        <v>42432</v>
      </c>
      <c r="W54" s="408">
        <v>42432</v>
      </c>
      <c r="Y54" s="408"/>
      <c r="Z54" s="375" t="s">
        <v>1145</v>
      </c>
      <c r="AA54" s="375">
        <v>0</v>
      </c>
      <c r="AB54" s="375">
        <v>0</v>
      </c>
      <c r="AC54" s="375">
        <v>0</v>
      </c>
      <c r="AD54" s="375">
        <v>0</v>
      </c>
      <c r="AE54" s="375">
        <v>0</v>
      </c>
      <c r="AF54" s="375">
        <v>1</v>
      </c>
      <c r="AG54" s="375">
        <v>38000</v>
      </c>
      <c r="AH54" s="375">
        <v>2025</v>
      </c>
      <c r="AI54" s="375">
        <v>0</v>
      </c>
      <c r="AJ54" s="375">
        <v>0</v>
      </c>
      <c r="AM54" s="410"/>
      <c r="AN54" s="410"/>
      <c r="AO54" s="375" t="str">
        <f t="shared" si="0"/>
        <v/>
      </c>
    </row>
    <row r="55" spans="2:41">
      <c r="B55" s="375" t="s">
        <v>1047</v>
      </c>
      <c r="C55" s="408">
        <v>42460</v>
      </c>
      <c r="D55" s="411">
        <v>-396.27</v>
      </c>
      <c r="E55" s="375" t="s">
        <v>1215</v>
      </c>
      <c r="F55" s="410" t="s">
        <v>1035</v>
      </c>
      <c r="G55" s="375" t="s">
        <v>1193</v>
      </c>
      <c r="H55" s="375" t="s">
        <v>1057</v>
      </c>
      <c r="I55" s="375" t="s">
        <v>1038</v>
      </c>
      <c r="J55" s="379"/>
      <c r="K55" s="379"/>
      <c r="L55" s="379" t="s">
        <v>982</v>
      </c>
      <c r="M55" s="397"/>
      <c r="N55" s="379"/>
      <c r="O55" s="379"/>
      <c r="S55" s="375" t="s">
        <v>1216</v>
      </c>
      <c r="T55" s="375" t="s">
        <v>1216</v>
      </c>
      <c r="V55" s="408">
        <v>42465</v>
      </c>
      <c r="W55" s="408">
        <v>42465</v>
      </c>
      <c r="Y55" s="408"/>
      <c r="Z55" s="375" t="s">
        <v>1145</v>
      </c>
      <c r="AA55" s="375">
        <v>0</v>
      </c>
      <c r="AB55" s="375">
        <v>0</v>
      </c>
      <c r="AC55" s="375">
        <v>0</v>
      </c>
      <c r="AD55" s="375">
        <v>0</v>
      </c>
      <c r="AE55" s="375">
        <v>0</v>
      </c>
      <c r="AF55" s="375">
        <v>1</v>
      </c>
      <c r="AG55" s="375">
        <v>38000</v>
      </c>
      <c r="AH55" s="375">
        <v>2025</v>
      </c>
      <c r="AI55" s="375">
        <v>0</v>
      </c>
      <c r="AJ55" s="375">
        <v>0</v>
      </c>
      <c r="AM55" s="410"/>
      <c r="AN55" s="410"/>
      <c r="AO55" s="375" t="str">
        <f t="shared" si="0"/>
        <v/>
      </c>
    </row>
    <row r="56" spans="2:41">
      <c r="C56" s="408"/>
      <c r="D56" s="409">
        <f>SUM(D20:D55)</f>
        <v>-4755.7999999999993</v>
      </c>
      <c r="E56" s="377" t="s">
        <v>1217</v>
      </c>
      <c r="F56" s="410"/>
      <c r="J56" s="379"/>
      <c r="K56" s="379"/>
      <c r="L56" s="379"/>
      <c r="M56" s="397"/>
      <c r="N56" s="379"/>
      <c r="O56" s="379"/>
      <c r="V56" s="408"/>
      <c r="W56" s="408"/>
      <c r="Y56" s="408"/>
      <c r="AM56" s="410"/>
      <c r="AN56" s="410"/>
    </row>
    <row r="57" spans="2:41">
      <c r="C57" s="408"/>
      <c r="D57" s="409"/>
      <c r="F57" s="410"/>
      <c r="J57" s="379"/>
      <c r="K57" s="379"/>
      <c r="L57" s="379"/>
      <c r="M57" s="397"/>
      <c r="N57" s="379"/>
      <c r="O57" s="379"/>
      <c r="V57" s="408"/>
      <c r="W57" s="408"/>
      <c r="Y57" s="408"/>
      <c r="AM57" s="410"/>
      <c r="AN57" s="410"/>
    </row>
    <row r="58" spans="2:41">
      <c r="C58" s="408"/>
      <c r="D58" s="409"/>
      <c r="F58" s="410"/>
      <c r="J58" s="379"/>
      <c r="K58" s="379"/>
      <c r="L58" s="379"/>
      <c r="M58" s="397"/>
      <c r="N58" s="379"/>
      <c r="O58" s="379"/>
      <c r="V58" s="408"/>
      <c r="W58" s="408"/>
      <c r="Y58" s="408"/>
      <c r="AM58" s="410"/>
      <c r="AN58" s="410"/>
    </row>
    <row r="59" spans="2:41">
      <c r="C59" s="408"/>
      <c r="D59" s="409"/>
      <c r="F59" s="410"/>
      <c r="J59" s="379"/>
      <c r="K59" s="379"/>
      <c r="L59" s="379"/>
      <c r="M59" s="397"/>
      <c r="N59" s="379"/>
      <c r="O59" s="379"/>
      <c r="V59" s="408"/>
      <c r="W59" s="408"/>
      <c r="Y59" s="408"/>
      <c r="AM59" s="410"/>
      <c r="AN59" s="410"/>
    </row>
    <row r="60" spans="2:41">
      <c r="B60" s="375" t="s">
        <v>1047</v>
      </c>
      <c r="C60" s="408">
        <v>42124</v>
      </c>
      <c r="D60" s="409">
        <v>-63.86</v>
      </c>
      <c r="E60" s="375" t="s">
        <v>1048</v>
      </c>
      <c r="F60" s="410" t="s">
        <v>1035</v>
      </c>
      <c r="G60" s="375" t="s">
        <v>1049</v>
      </c>
      <c r="H60" s="375" t="s">
        <v>1050</v>
      </c>
      <c r="I60" s="375" t="s">
        <v>1038</v>
      </c>
      <c r="J60" s="379"/>
      <c r="K60" s="379"/>
      <c r="L60" s="379" t="s">
        <v>1051</v>
      </c>
      <c r="M60" s="397"/>
      <c r="N60" s="379"/>
      <c r="O60" s="379"/>
      <c r="S60" s="375" t="s">
        <v>1218</v>
      </c>
      <c r="T60" s="375" t="s">
        <v>1218</v>
      </c>
      <c r="V60" s="408">
        <v>42129</v>
      </c>
      <c r="W60" s="408">
        <v>42129</v>
      </c>
      <c r="Y60" s="408"/>
      <c r="Z60" s="375" t="s">
        <v>1145</v>
      </c>
      <c r="AA60" s="375">
        <v>0</v>
      </c>
      <c r="AB60" s="375">
        <v>0</v>
      </c>
      <c r="AC60" s="375">
        <v>0</v>
      </c>
      <c r="AD60" s="375">
        <v>0</v>
      </c>
      <c r="AE60" s="375">
        <v>0</v>
      </c>
      <c r="AF60" s="375">
        <v>1</v>
      </c>
      <c r="AG60" s="375">
        <v>38000</v>
      </c>
      <c r="AH60" s="375">
        <v>2025</v>
      </c>
      <c r="AI60" s="375">
        <v>0</v>
      </c>
      <c r="AJ60" s="375">
        <v>0</v>
      </c>
      <c r="AM60" s="410"/>
      <c r="AN60" s="410"/>
      <c r="AO60" s="375" t="str">
        <f t="shared" si="0"/>
        <v/>
      </c>
    </row>
    <row r="61" spans="2:41">
      <c r="B61" s="375" t="s">
        <v>1047</v>
      </c>
      <c r="C61" s="408">
        <v>42247</v>
      </c>
      <c r="D61" s="409">
        <v>-65.61</v>
      </c>
      <c r="E61" s="375" t="s">
        <v>1061</v>
      </c>
      <c r="F61" s="410" t="s">
        <v>1035</v>
      </c>
      <c r="G61" s="375" t="s">
        <v>1062</v>
      </c>
      <c r="H61" s="375" t="s">
        <v>1057</v>
      </c>
      <c r="I61" s="375" t="s">
        <v>1038</v>
      </c>
      <c r="J61" s="379"/>
      <c r="K61" s="379"/>
      <c r="L61" s="379" t="s">
        <v>1063</v>
      </c>
      <c r="M61" s="397"/>
      <c r="N61" s="379"/>
      <c r="O61" s="379"/>
      <c r="S61" s="375" t="s">
        <v>1219</v>
      </c>
      <c r="T61" s="375" t="s">
        <v>1219</v>
      </c>
      <c r="V61" s="408">
        <v>42249</v>
      </c>
      <c r="W61" s="408">
        <v>42249</v>
      </c>
      <c r="Y61" s="408"/>
      <c r="Z61" s="375" t="s">
        <v>1145</v>
      </c>
      <c r="AA61" s="375">
        <v>0</v>
      </c>
      <c r="AB61" s="375">
        <v>0</v>
      </c>
      <c r="AC61" s="375">
        <v>0</v>
      </c>
      <c r="AD61" s="375">
        <v>0</v>
      </c>
      <c r="AE61" s="375">
        <v>0</v>
      </c>
      <c r="AF61" s="375">
        <v>1</v>
      </c>
      <c r="AG61" s="375">
        <v>38000</v>
      </c>
      <c r="AH61" s="375">
        <v>2025</v>
      </c>
      <c r="AI61" s="375">
        <v>0</v>
      </c>
      <c r="AJ61" s="375">
        <v>0</v>
      </c>
      <c r="AM61" s="410"/>
      <c r="AN61" s="410"/>
      <c r="AO61" s="375" t="str">
        <f t="shared" si="0"/>
        <v/>
      </c>
    </row>
    <row r="62" spans="2:41">
      <c r="B62" s="375" t="s">
        <v>1047</v>
      </c>
      <c r="C62" s="408">
        <v>42369</v>
      </c>
      <c r="D62" s="409">
        <v>-222.52</v>
      </c>
      <c r="E62" s="375" t="s">
        <v>1072</v>
      </c>
      <c r="F62" s="410" t="s">
        <v>1035</v>
      </c>
      <c r="G62" s="375" t="s">
        <v>1073</v>
      </c>
      <c r="H62" s="375" t="s">
        <v>1057</v>
      </c>
      <c r="I62" s="375" t="s">
        <v>1038</v>
      </c>
      <c r="J62" s="379"/>
      <c r="K62" s="379"/>
      <c r="L62" s="379" t="s">
        <v>1073</v>
      </c>
      <c r="M62" s="397"/>
      <c r="N62" s="379"/>
      <c r="O62" s="379"/>
      <c r="S62" s="375" t="s">
        <v>1220</v>
      </c>
      <c r="T62" s="375" t="s">
        <v>1220</v>
      </c>
      <c r="V62" s="408">
        <v>42374</v>
      </c>
      <c r="W62" s="408">
        <v>42374</v>
      </c>
      <c r="Y62" s="408"/>
      <c r="Z62" s="375" t="s">
        <v>1145</v>
      </c>
      <c r="AA62" s="375">
        <v>0</v>
      </c>
      <c r="AB62" s="375">
        <v>0</v>
      </c>
      <c r="AC62" s="375">
        <v>0</v>
      </c>
      <c r="AD62" s="375">
        <v>0</v>
      </c>
      <c r="AE62" s="375">
        <v>0</v>
      </c>
      <c r="AF62" s="375">
        <v>1</v>
      </c>
      <c r="AG62" s="375">
        <v>38000</v>
      </c>
      <c r="AH62" s="375">
        <v>2025</v>
      </c>
      <c r="AI62" s="375">
        <v>0</v>
      </c>
      <c r="AJ62" s="375">
        <v>0</v>
      </c>
      <c r="AM62" s="410"/>
      <c r="AN62" s="410"/>
      <c r="AO62" s="375" t="str">
        <f t="shared" si="0"/>
        <v/>
      </c>
    </row>
    <row r="63" spans="2:41">
      <c r="B63" s="375" t="s">
        <v>1047</v>
      </c>
      <c r="C63" s="408">
        <v>42429</v>
      </c>
      <c r="D63" s="409">
        <v>-271.22000000000003</v>
      </c>
      <c r="E63" s="375" t="s">
        <v>1077</v>
      </c>
      <c r="F63" s="410" t="s">
        <v>1035</v>
      </c>
      <c r="G63" s="375" t="s">
        <v>1078</v>
      </c>
      <c r="H63" s="375" t="s">
        <v>1057</v>
      </c>
      <c r="I63" s="375" t="s">
        <v>1038</v>
      </c>
      <c r="J63" s="379"/>
      <c r="K63" s="379"/>
      <c r="L63" s="379" t="s">
        <v>1078</v>
      </c>
      <c r="M63" s="397"/>
      <c r="N63" s="379"/>
      <c r="O63" s="379"/>
      <c r="S63" s="375" t="s">
        <v>1221</v>
      </c>
      <c r="T63" s="375" t="s">
        <v>1221</v>
      </c>
      <c r="V63" s="408">
        <v>42432</v>
      </c>
      <c r="W63" s="408">
        <v>42432</v>
      </c>
      <c r="Y63" s="408"/>
      <c r="Z63" s="375" t="s">
        <v>1145</v>
      </c>
      <c r="AA63" s="375">
        <v>0</v>
      </c>
      <c r="AB63" s="375">
        <v>0</v>
      </c>
      <c r="AC63" s="375">
        <v>0</v>
      </c>
      <c r="AD63" s="375">
        <v>0</v>
      </c>
      <c r="AE63" s="375">
        <v>0</v>
      </c>
      <c r="AF63" s="375">
        <v>1</v>
      </c>
      <c r="AG63" s="375">
        <v>38000</v>
      </c>
      <c r="AH63" s="375">
        <v>2025</v>
      </c>
      <c r="AI63" s="375">
        <v>0</v>
      </c>
      <c r="AJ63" s="375">
        <v>0</v>
      </c>
      <c r="AM63" s="410"/>
      <c r="AN63" s="410"/>
      <c r="AO63" s="375" t="str">
        <f t="shared" si="0"/>
        <v/>
      </c>
    </row>
    <row r="64" spans="2:41">
      <c r="B64" s="375" t="s">
        <v>1047</v>
      </c>
      <c r="C64" s="408">
        <v>42400</v>
      </c>
      <c r="D64" s="409">
        <v>-121.58</v>
      </c>
      <c r="E64" s="375" t="s">
        <v>1074</v>
      </c>
      <c r="F64" s="410" t="s">
        <v>1035</v>
      </c>
      <c r="G64" s="375" t="s">
        <v>1075</v>
      </c>
      <c r="H64" s="375" t="s">
        <v>1076</v>
      </c>
      <c r="I64" s="375" t="s">
        <v>1038</v>
      </c>
      <c r="J64" s="379"/>
      <c r="K64" s="379"/>
      <c r="L64" s="379" t="s">
        <v>1075</v>
      </c>
      <c r="M64" s="397"/>
      <c r="N64" s="379"/>
      <c r="O64" s="379"/>
      <c r="S64" s="375" t="s">
        <v>1222</v>
      </c>
      <c r="T64" s="375" t="s">
        <v>1222</v>
      </c>
      <c r="V64" s="408">
        <v>42402</v>
      </c>
      <c r="W64" s="408">
        <v>42402</v>
      </c>
      <c r="Y64" s="408"/>
      <c r="Z64" s="375" t="s">
        <v>1145</v>
      </c>
      <c r="AA64" s="375">
        <v>0</v>
      </c>
      <c r="AB64" s="375">
        <v>0</v>
      </c>
      <c r="AC64" s="375">
        <v>0</v>
      </c>
      <c r="AD64" s="375">
        <v>0</v>
      </c>
      <c r="AE64" s="375">
        <v>0</v>
      </c>
      <c r="AF64" s="375">
        <v>1</v>
      </c>
      <c r="AG64" s="375">
        <v>38000</v>
      </c>
      <c r="AH64" s="375">
        <v>2025</v>
      </c>
      <c r="AI64" s="375">
        <v>0</v>
      </c>
      <c r="AJ64" s="375">
        <v>0</v>
      </c>
      <c r="AM64" s="410"/>
      <c r="AN64" s="410"/>
      <c r="AO64" s="375" t="str">
        <f t="shared" si="0"/>
        <v/>
      </c>
    </row>
    <row r="65" spans="2:41">
      <c r="B65" s="375" t="s">
        <v>1047</v>
      </c>
      <c r="C65" s="408">
        <v>42216</v>
      </c>
      <c r="D65" s="409">
        <v>-255.45</v>
      </c>
      <c r="E65" s="375" t="s">
        <v>1058</v>
      </c>
      <c r="F65" s="410" t="s">
        <v>1035</v>
      </c>
      <c r="G65" s="375" t="s">
        <v>1059</v>
      </c>
      <c r="H65" s="375" t="s">
        <v>1057</v>
      </c>
      <c r="I65" s="375" t="s">
        <v>1038</v>
      </c>
      <c r="J65" s="379"/>
      <c r="K65" s="379"/>
      <c r="L65" s="379" t="s">
        <v>1060</v>
      </c>
      <c r="M65" s="397"/>
      <c r="N65" s="379"/>
      <c r="O65" s="379"/>
      <c r="S65" s="375" t="s">
        <v>1223</v>
      </c>
      <c r="T65" s="375" t="s">
        <v>1223</v>
      </c>
      <c r="V65" s="408">
        <v>42220</v>
      </c>
      <c r="W65" s="408">
        <v>42220</v>
      </c>
      <c r="Y65" s="408"/>
      <c r="Z65" s="375" t="s">
        <v>1145</v>
      </c>
      <c r="AA65" s="375">
        <v>0</v>
      </c>
      <c r="AB65" s="375">
        <v>0</v>
      </c>
      <c r="AC65" s="375">
        <v>0</v>
      </c>
      <c r="AD65" s="375">
        <v>0</v>
      </c>
      <c r="AE65" s="375">
        <v>0</v>
      </c>
      <c r="AF65" s="375">
        <v>1</v>
      </c>
      <c r="AG65" s="375">
        <v>38000</v>
      </c>
      <c r="AH65" s="375">
        <v>2025</v>
      </c>
      <c r="AI65" s="375">
        <v>0</v>
      </c>
      <c r="AJ65" s="375">
        <v>0</v>
      </c>
      <c r="AM65" s="410"/>
      <c r="AN65" s="410"/>
      <c r="AO65" s="375" t="str">
        <f t="shared" si="0"/>
        <v/>
      </c>
    </row>
    <row r="66" spans="2:41">
      <c r="B66" s="375" t="s">
        <v>1047</v>
      </c>
      <c r="C66" s="408">
        <v>42185</v>
      </c>
      <c r="D66" s="409">
        <v>-73.44</v>
      </c>
      <c r="E66" s="375" t="s">
        <v>1055</v>
      </c>
      <c r="F66" s="410" t="s">
        <v>1035</v>
      </c>
      <c r="G66" s="375" t="s">
        <v>1056</v>
      </c>
      <c r="H66" s="375" t="s">
        <v>1057</v>
      </c>
      <c r="I66" s="375" t="s">
        <v>1038</v>
      </c>
      <c r="J66" s="379"/>
      <c r="K66" s="379"/>
      <c r="L66" s="379" t="s">
        <v>1056</v>
      </c>
      <c r="M66" s="397"/>
      <c r="N66" s="379"/>
      <c r="O66" s="379"/>
      <c r="S66" s="375" t="s">
        <v>1224</v>
      </c>
      <c r="T66" s="375" t="s">
        <v>1224</v>
      </c>
      <c r="V66" s="408">
        <v>42187</v>
      </c>
      <c r="W66" s="408">
        <v>42187</v>
      </c>
      <c r="Y66" s="408"/>
      <c r="Z66" s="375" t="s">
        <v>1145</v>
      </c>
      <c r="AA66" s="375">
        <v>0</v>
      </c>
      <c r="AB66" s="375">
        <v>0</v>
      </c>
      <c r="AC66" s="375">
        <v>0</v>
      </c>
      <c r="AD66" s="375">
        <v>0</v>
      </c>
      <c r="AE66" s="375">
        <v>0</v>
      </c>
      <c r="AF66" s="375">
        <v>1</v>
      </c>
      <c r="AG66" s="375">
        <v>38000</v>
      </c>
      <c r="AH66" s="375">
        <v>2025</v>
      </c>
      <c r="AI66" s="375">
        <v>0</v>
      </c>
      <c r="AJ66" s="375">
        <v>0</v>
      </c>
      <c r="AM66" s="410"/>
      <c r="AN66" s="410"/>
      <c r="AO66" s="375" t="str">
        <f t="shared" si="0"/>
        <v/>
      </c>
    </row>
    <row r="67" spans="2:41">
      <c r="B67" s="375" t="s">
        <v>1047</v>
      </c>
      <c r="C67" s="408">
        <v>42460</v>
      </c>
      <c r="D67" s="409">
        <v>-35.14</v>
      </c>
      <c r="E67" s="375" t="s">
        <v>1079</v>
      </c>
      <c r="F67" s="410" t="s">
        <v>1035</v>
      </c>
      <c r="G67" s="375" t="s">
        <v>1080</v>
      </c>
      <c r="H67" s="375" t="s">
        <v>1057</v>
      </c>
      <c r="I67" s="375" t="s">
        <v>1038</v>
      </c>
      <c r="J67" s="379"/>
      <c r="K67" s="379"/>
      <c r="L67" s="379" t="s">
        <v>1081</v>
      </c>
      <c r="M67" s="397"/>
      <c r="N67" s="379"/>
      <c r="O67" s="379"/>
      <c r="S67" s="375" t="s">
        <v>1225</v>
      </c>
      <c r="T67" s="375" t="s">
        <v>1225</v>
      </c>
      <c r="V67" s="408">
        <v>42465</v>
      </c>
      <c r="W67" s="408">
        <v>42465</v>
      </c>
      <c r="Y67" s="408"/>
      <c r="Z67" s="375" t="s">
        <v>1145</v>
      </c>
      <c r="AA67" s="375">
        <v>0</v>
      </c>
      <c r="AB67" s="375">
        <v>0</v>
      </c>
      <c r="AC67" s="375">
        <v>0</v>
      </c>
      <c r="AD67" s="375">
        <v>0</v>
      </c>
      <c r="AE67" s="375">
        <v>0</v>
      </c>
      <c r="AF67" s="375">
        <v>1</v>
      </c>
      <c r="AG67" s="375">
        <v>38000</v>
      </c>
      <c r="AH67" s="375">
        <v>2025</v>
      </c>
      <c r="AI67" s="375">
        <v>0</v>
      </c>
      <c r="AJ67" s="375">
        <v>0</v>
      </c>
      <c r="AM67" s="410"/>
      <c r="AN67" s="410"/>
      <c r="AO67" s="375" t="str">
        <f t="shared" si="0"/>
        <v/>
      </c>
    </row>
    <row r="68" spans="2:41">
      <c r="B68" s="375" t="s">
        <v>1047</v>
      </c>
      <c r="C68" s="408">
        <v>42155</v>
      </c>
      <c r="D68" s="409">
        <v>-53.74</v>
      </c>
      <c r="E68" s="375" t="s">
        <v>1052</v>
      </c>
      <c r="F68" s="410" t="s">
        <v>1035</v>
      </c>
      <c r="G68" s="375" t="s">
        <v>1053</v>
      </c>
      <c r="H68" s="375" t="s">
        <v>1037</v>
      </c>
      <c r="I68" s="375" t="s">
        <v>1038</v>
      </c>
      <c r="J68" s="379"/>
      <c r="K68" s="379"/>
      <c r="L68" s="379" t="s">
        <v>1054</v>
      </c>
      <c r="M68" s="397"/>
      <c r="N68" s="379"/>
      <c r="O68" s="379"/>
      <c r="S68" s="375" t="s">
        <v>1226</v>
      </c>
      <c r="T68" s="375" t="s">
        <v>1226</v>
      </c>
      <c r="V68" s="408">
        <v>42156</v>
      </c>
      <c r="W68" s="408">
        <v>42157</v>
      </c>
      <c r="Y68" s="408"/>
      <c r="Z68" s="375" t="s">
        <v>1145</v>
      </c>
      <c r="AA68" s="375">
        <v>0</v>
      </c>
      <c r="AB68" s="375">
        <v>0</v>
      </c>
      <c r="AC68" s="375">
        <v>0</v>
      </c>
      <c r="AD68" s="375">
        <v>0</v>
      </c>
      <c r="AE68" s="375">
        <v>0</v>
      </c>
      <c r="AF68" s="375">
        <v>1</v>
      </c>
      <c r="AG68" s="375">
        <v>38000</v>
      </c>
      <c r="AH68" s="375">
        <v>2025</v>
      </c>
      <c r="AI68" s="375">
        <v>0</v>
      </c>
      <c r="AJ68" s="375">
        <v>0</v>
      </c>
      <c r="AM68" s="410"/>
      <c r="AN68" s="410"/>
      <c r="AO68" s="375" t="str">
        <f t="shared" si="0"/>
        <v/>
      </c>
    </row>
    <row r="69" spans="2:41">
      <c r="B69" s="375" t="s">
        <v>1047</v>
      </c>
      <c r="C69" s="408">
        <v>42338</v>
      </c>
      <c r="D69" s="409">
        <v>-1091.46</v>
      </c>
      <c r="E69" s="375" t="s">
        <v>1070</v>
      </c>
      <c r="F69" s="410" t="s">
        <v>1035</v>
      </c>
      <c r="G69" s="375" t="s">
        <v>1071</v>
      </c>
      <c r="H69" s="375" t="s">
        <v>1037</v>
      </c>
      <c r="I69" s="375" t="s">
        <v>1038</v>
      </c>
      <c r="J69" s="379"/>
      <c r="K69" s="379"/>
      <c r="L69" s="379" t="s">
        <v>1071</v>
      </c>
      <c r="M69" s="397"/>
      <c r="N69" s="379"/>
      <c r="O69" s="379"/>
      <c r="S69" s="375" t="s">
        <v>1227</v>
      </c>
      <c r="T69" s="375" t="s">
        <v>1227</v>
      </c>
      <c r="V69" s="408">
        <v>42340</v>
      </c>
      <c r="W69" s="408">
        <v>42341</v>
      </c>
      <c r="Y69" s="408"/>
      <c r="Z69" s="375" t="s">
        <v>1145</v>
      </c>
      <c r="AA69" s="375">
        <v>0</v>
      </c>
      <c r="AB69" s="375">
        <v>0</v>
      </c>
      <c r="AC69" s="375">
        <v>0</v>
      </c>
      <c r="AD69" s="375">
        <v>0</v>
      </c>
      <c r="AE69" s="375">
        <v>0</v>
      </c>
      <c r="AF69" s="375">
        <v>1</v>
      </c>
      <c r="AG69" s="375">
        <v>38000</v>
      </c>
      <c r="AH69" s="375">
        <v>2025</v>
      </c>
      <c r="AI69" s="375">
        <v>0</v>
      </c>
      <c r="AJ69" s="375">
        <v>0</v>
      </c>
      <c r="AM69" s="410"/>
      <c r="AN69" s="410"/>
      <c r="AO69" s="375" t="str">
        <f t="shared" si="0"/>
        <v/>
      </c>
    </row>
    <row r="70" spans="2:41">
      <c r="B70" s="375" t="s">
        <v>1047</v>
      </c>
      <c r="C70" s="408">
        <v>42308</v>
      </c>
      <c r="D70" s="409">
        <v>-67.209999999999994</v>
      </c>
      <c r="E70" s="375" t="s">
        <v>1067</v>
      </c>
      <c r="F70" s="410" t="s">
        <v>1035</v>
      </c>
      <c r="G70" s="375" t="s">
        <v>1068</v>
      </c>
      <c r="H70" s="375" t="s">
        <v>1057</v>
      </c>
      <c r="I70" s="375" t="s">
        <v>1038</v>
      </c>
      <c r="J70" s="379"/>
      <c r="K70" s="379"/>
      <c r="L70" s="379" t="s">
        <v>1069</v>
      </c>
      <c r="M70" s="397"/>
      <c r="N70" s="379"/>
      <c r="O70" s="379"/>
      <c r="S70" s="375" t="s">
        <v>1228</v>
      </c>
      <c r="T70" s="375" t="s">
        <v>1228</v>
      </c>
      <c r="V70" s="408">
        <v>42310</v>
      </c>
      <c r="W70" s="408">
        <v>42310</v>
      </c>
      <c r="Y70" s="408"/>
      <c r="Z70" s="375" t="s">
        <v>1145</v>
      </c>
      <c r="AA70" s="375">
        <v>0</v>
      </c>
      <c r="AB70" s="375">
        <v>0</v>
      </c>
      <c r="AC70" s="375">
        <v>0</v>
      </c>
      <c r="AD70" s="375">
        <v>0</v>
      </c>
      <c r="AE70" s="375">
        <v>0</v>
      </c>
      <c r="AF70" s="375">
        <v>1</v>
      </c>
      <c r="AG70" s="375">
        <v>38000</v>
      </c>
      <c r="AH70" s="375">
        <v>2025</v>
      </c>
      <c r="AI70" s="375">
        <v>0</v>
      </c>
      <c r="AJ70" s="375">
        <v>0</v>
      </c>
      <c r="AM70" s="410"/>
      <c r="AN70" s="410"/>
      <c r="AO70" s="375" t="str">
        <f t="shared" si="0"/>
        <v/>
      </c>
    </row>
    <row r="71" spans="2:41">
      <c r="B71" s="375" t="s">
        <v>1047</v>
      </c>
      <c r="C71" s="408">
        <v>42277</v>
      </c>
      <c r="D71" s="411">
        <v>-54.1</v>
      </c>
      <c r="E71" s="375" t="s">
        <v>1064</v>
      </c>
      <c r="F71" s="410" t="s">
        <v>1035</v>
      </c>
      <c r="G71" s="375" t="s">
        <v>1065</v>
      </c>
      <c r="H71" s="375" t="s">
        <v>1057</v>
      </c>
      <c r="I71" s="375" t="s">
        <v>1038</v>
      </c>
      <c r="J71" s="379"/>
      <c r="K71" s="379"/>
      <c r="L71" s="379" t="s">
        <v>1066</v>
      </c>
      <c r="M71" s="397"/>
      <c r="N71" s="379"/>
      <c r="O71" s="379"/>
      <c r="S71" s="375" t="s">
        <v>1229</v>
      </c>
      <c r="T71" s="375" t="s">
        <v>1229</v>
      </c>
      <c r="V71" s="408">
        <v>42279</v>
      </c>
      <c r="W71" s="408">
        <v>42279</v>
      </c>
      <c r="Y71" s="408"/>
      <c r="Z71" s="375" t="s">
        <v>1145</v>
      </c>
      <c r="AA71" s="375">
        <v>0</v>
      </c>
      <c r="AB71" s="375">
        <v>0</v>
      </c>
      <c r="AC71" s="375">
        <v>0</v>
      </c>
      <c r="AD71" s="375">
        <v>0</v>
      </c>
      <c r="AE71" s="375">
        <v>0</v>
      </c>
      <c r="AF71" s="375">
        <v>1</v>
      </c>
      <c r="AG71" s="375">
        <v>38000</v>
      </c>
      <c r="AH71" s="375">
        <v>2025</v>
      </c>
      <c r="AI71" s="375">
        <v>0</v>
      </c>
      <c r="AJ71" s="375">
        <v>0</v>
      </c>
      <c r="AM71" s="410"/>
      <c r="AN71" s="410"/>
      <c r="AO71" s="375" t="str">
        <f t="shared" si="0"/>
        <v/>
      </c>
    </row>
    <row r="72" spans="2:41">
      <c r="C72" s="408"/>
      <c r="D72" s="417">
        <f>SUM(D60:D71)</f>
        <v>-2375.3300000000004</v>
      </c>
      <c r="E72" s="377" t="s">
        <v>1230</v>
      </c>
      <c r="F72" s="378"/>
    </row>
    <row r="73" spans="2:41">
      <c r="B73" s="412" t="s">
        <v>1231</v>
      </c>
      <c r="C73" s="412"/>
      <c r="D73" s="416"/>
      <c r="E73" s="412"/>
      <c r="F73" s="413"/>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4"/>
    </row>
    <row r="74" spans="2:41">
      <c r="F74" s="378"/>
    </row>
    <row r="75" spans="2:41">
      <c r="F75" s="378"/>
    </row>
    <row r="76" spans="2:41">
      <c r="F76" s="378"/>
    </row>
    <row r="77" spans="2:41">
      <c r="F77" s="378"/>
    </row>
    <row r="78" spans="2:41">
      <c r="F78" s="378"/>
    </row>
    <row r="79" spans="2:41">
      <c r="F79" s="378"/>
    </row>
    <row r="80" spans="2:41">
      <c r="F80" s="378"/>
    </row>
    <row r="81" spans="2:6">
      <c r="F81" s="378"/>
    </row>
    <row r="82" spans="2:6">
      <c r="F82" s="378"/>
    </row>
    <row r="83" spans="2:6">
      <c r="F83" s="378"/>
    </row>
    <row r="84" spans="2:6">
      <c r="F84" s="378"/>
    </row>
    <row r="85" spans="2:6">
      <c r="F85" s="378"/>
    </row>
    <row r="86" spans="2:6">
      <c r="F86" s="378"/>
    </row>
    <row r="87" spans="2:6">
      <c r="F87" s="378"/>
    </row>
    <row r="88" spans="2:6">
      <c r="F88" s="378"/>
    </row>
    <row r="89" spans="2:6">
      <c r="F89" s="378"/>
    </row>
    <row r="90" spans="2:6">
      <c r="F90" s="378"/>
    </row>
    <row r="91" spans="2:6">
      <c r="B91" s="415"/>
      <c r="F91" s="378"/>
    </row>
  </sheetData>
  <autoFilter ref="B19:AL19"/>
  <dataValidations count="1">
    <dataValidation type="list" allowBlank="1" showInputMessage="1" showErrorMessage="1" sqref="N15">
      <formula1>"All,Posted/Unposted,Posted,Unposted,Staged"</formula1>
    </dataValidation>
  </dataValidations>
  <pageMargins left="0.27" right="0.28999999999999998" top="0.37" bottom="0.43" header="0.25" footer="0.25"/>
  <pageSetup scale="44" fitToHeight="0" orientation="landscape" r:id="rId1"/>
  <headerFooter alignWithMargins="0">
    <oddHeader>&amp;L&amp;"Arial"&amp;L&amp;08 &amp;R&amp;"Arial"&amp;R&amp;08 &amp;D-&amp;T-Jeff Honsowetz</oddHeader>
    <oddFooter>&amp;L&amp;"Arial"&amp;L&amp;08 Path:D:\Data_WCNX\Financials\MidMonths\BrentProject\\&amp;F-&amp;A&amp;R&amp;"Arial"&amp;R&amp;08  Page &amp;P</oddFooter>
  </headerFooter>
  <legacyDrawing r:id="rId2"/>
</worksheet>
</file>

<file path=xl/worksheets/sheet27.xml><?xml version="1.0" encoding="utf-8"?>
<worksheet xmlns="http://schemas.openxmlformats.org/spreadsheetml/2006/main" xmlns:r="http://schemas.openxmlformats.org/officeDocument/2006/relationships">
  <dimension ref="A3:JE168"/>
  <sheetViews>
    <sheetView showGridLines="0" zoomScale="75" workbookViewId="0">
      <selection activeCell="AL13" sqref="AL13"/>
    </sheetView>
  </sheetViews>
  <sheetFormatPr defaultColWidth="13.85546875" defaultRowHeight="12.75" outlineLevelRow="1" outlineLevelCol="1"/>
  <cols>
    <col min="1" max="1" width="6.85546875" style="1" customWidth="1"/>
    <col min="2" max="3" width="2.28515625" style="1" customWidth="1"/>
    <col min="4" max="4" width="10.85546875" style="1" customWidth="1"/>
    <col min="5" max="5" width="3.85546875" style="1" customWidth="1"/>
    <col min="6" max="6" width="9.5703125" style="1" customWidth="1"/>
    <col min="7" max="7" width="15.5703125" style="1" hidden="1" customWidth="1" outlineLevel="1"/>
    <col min="8" max="8" width="1.85546875" style="1" hidden="1" customWidth="1" outlineLevel="1"/>
    <col min="9" max="9" width="15.5703125" style="1" hidden="1" customWidth="1" outlineLevel="1"/>
    <col min="10" max="10" width="1.85546875" style="1" hidden="1" customWidth="1" outlineLevel="1"/>
    <col min="11" max="11" width="15.5703125" style="1" hidden="1" customWidth="1" outlineLevel="1"/>
    <col min="12" max="12" width="1.85546875" style="1" hidden="1" customWidth="1" outlineLevel="1"/>
    <col min="13" max="13" width="15.5703125" style="1" hidden="1" customWidth="1" outlineLevel="1"/>
    <col min="14" max="14" width="1.85546875" style="1" hidden="1" customWidth="1" outlineLevel="1"/>
    <col min="15" max="15" width="15.5703125" style="1" hidden="1" customWidth="1" outlineLevel="1"/>
    <col min="16" max="16" width="1.85546875" style="1" hidden="1" customWidth="1" outlineLevel="1"/>
    <col min="17" max="17" width="15.5703125" style="1" hidden="1" customWidth="1" outlineLevel="1"/>
    <col min="18" max="18" width="1.85546875" style="1" hidden="1" customWidth="1" outlineLevel="1"/>
    <col min="19" max="19" width="15.5703125" style="1" hidden="1" customWidth="1" outlineLevel="1"/>
    <col min="20" max="20" width="1.85546875" style="1" hidden="1" customWidth="1" outlineLevel="1"/>
    <col min="21" max="21" width="15.5703125" style="1" hidden="1" customWidth="1" outlineLevel="1"/>
    <col min="22" max="22" width="1.85546875" style="1" hidden="1" customWidth="1" outlineLevel="1"/>
    <col min="23" max="23" width="15.5703125" style="1" hidden="1" customWidth="1" outlineLevel="1"/>
    <col min="24" max="24" width="1.85546875" style="1" hidden="1" customWidth="1" outlineLevel="1"/>
    <col min="25" max="25" width="15.5703125" style="1" hidden="1" customWidth="1" outlineLevel="1"/>
    <col min="26" max="26" width="1.85546875" style="1" hidden="1" customWidth="1" outlineLevel="1"/>
    <col min="27" max="27" width="15.5703125" style="1" hidden="1" customWidth="1" outlineLevel="1"/>
    <col min="28" max="28" width="1.85546875" style="1" customWidth="1" collapsed="1"/>
    <col min="29" max="29" width="15.5703125" style="1" customWidth="1"/>
    <col min="30" max="30" width="1.85546875" style="1" customWidth="1"/>
    <col min="31" max="31" width="3.140625" style="1" customWidth="1"/>
    <col min="32" max="32" width="2.85546875" style="1" customWidth="1"/>
    <col min="33" max="265" width="13.85546875" style="1"/>
    <col min="266" max="266" width="7" style="1" customWidth="1"/>
    <col min="267" max="267" width="16.5703125" style="1" customWidth="1"/>
    <col min="268" max="268" width="4.28515625" style="1" customWidth="1"/>
    <col min="269" max="269" width="6.85546875" style="1" customWidth="1"/>
    <col min="270" max="271" width="2.28515625" style="1" customWidth="1"/>
    <col min="272" max="272" width="10.85546875" style="1" customWidth="1"/>
    <col min="273" max="273" width="3.85546875" style="1" customWidth="1"/>
    <col min="274" max="274" width="2" style="1" customWidth="1"/>
    <col min="275" max="275" width="15.5703125" style="1" customWidth="1"/>
    <col min="276" max="276" width="1.85546875" style="1" customWidth="1"/>
    <col min="277" max="277" width="15.5703125" style="1" customWidth="1"/>
    <col min="278" max="278" width="1.85546875" style="1" customWidth="1"/>
    <col min="279" max="279" width="15.5703125" style="1" customWidth="1"/>
    <col min="280" max="280" width="1.85546875" style="1" customWidth="1"/>
    <col min="281" max="281" width="15.5703125" style="1" customWidth="1"/>
    <col min="282" max="282" width="3.140625" style="1" customWidth="1"/>
    <col min="283" max="283" width="15.5703125" style="1" customWidth="1"/>
    <col min="284" max="284" width="14.28515625" style="1" customWidth="1"/>
    <col min="285" max="285" width="15.5703125" style="1" customWidth="1"/>
    <col min="286" max="286" width="1.85546875" style="1" customWidth="1"/>
    <col min="287" max="287" width="15.5703125" style="1" customWidth="1"/>
    <col min="288" max="288" width="2.85546875" style="1" customWidth="1"/>
    <col min="289" max="521" width="13.85546875" style="1"/>
    <col min="522" max="522" width="7" style="1" customWidth="1"/>
    <col min="523" max="523" width="16.5703125" style="1" customWidth="1"/>
    <col min="524" max="524" width="4.28515625" style="1" customWidth="1"/>
    <col min="525" max="525" width="6.85546875" style="1" customWidth="1"/>
    <col min="526" max="527" width="2.28515625" style="1" customWidth="1"/>
    <col min="528" max="528" width="10.85546875" style="1" customWidth="1"/>
    <col min="529" max="529" width="3.85546875" style="1" customWidth="1"/>
    <col min="530" max="530" width="2" style="1" customWidth="1"/>
    <col min="531" max="531" width="15.5703125" style="1" customWidth="1"/>
    <col min="532" max="532" width="1.85546875" style="1" customWidth="1"/>
    <col min="533" max="533" width="15.5703125" style="1" customWidth="1"/>
    <col min="534" max="534" width="1.85546875" style="1" customWidth="1"/>
    <col min="535" max="535" width="15.5703125" style="1" customWidth="1"/>
    <col min="536" max="536" width="1.85546875" style="1" customWidth="1"/>
    <col min="537" max="537" width="15.5703125" style="1" customWidth="1"/>
    <col min="538" max="538" width="3.140625" style="1" customWidth="1"/>
    <col min="539" max="539" width="15.5703125" style="1" customWidth="1"/>
    <col min="540" max="540" width="14.28515625" style="1" customWidth="1"/>
    <col min="541" max="541" width="15.5703125" style="1" customWidth="1"/>
    <col min="542" max="542" width="1.85546875" style="1" customWidth="1"/>
    <col min="543" max="543" width="15.5703125" style="1" customWidth="1"/>
    <col min="544" max="544" width="2.85546875" style="1" customWidth="1"/>
    <col min="545" max="777" width="13.85546875" style="1"/>
    <col min="778" max="778" width="7" style="1" customWidth="1"/>
    <col min="779" max="779" width="16.5703125" style="1" customWidth="1"/>
    <col min="780" max="780" width="4.28515625" style="1" customWidth="1"/>
    <col min="781" max="781" width="6.85546875" style="1" customWidth="1"/>
    <col min="782" max="783" width="2.28515625" style="1" customWidth="1"/>
    <col min="784" max="784" width="10.85546875" style="1" customWidth="1"/>
    <col min="785" max="785" width="3.85546875" style="1" customWidth="1"/>
    <col min="786" max="786" width="2" style="1" customWidth="1"/>
    <col min="787" max="787" width="15.5703125" style="1" customWidth="1"/>
    <col min="788" max="788" width="1.85546875" style="1" customWidth="1"/>
    <col min="789" max="789" width="15.5703125" style="1" customWidth="1"/>
    <col min="790" max="790" width="1.85546875" style="1" customWidth="1"/>
    <col min="791" max="791" width="15.5703125" style="1" customWidth="1"/>
    <col min="792" max="792" width="1.85546875" style="1" customWidth="1"/>
    <col min="793" max="793" width="15.5703125" style="1" customWidth="1"/>
    <col min="794" max="794" width="3.140625" style="1" customWidth="1"/>
    <col min="795" max="795" width="15.5703125" style="1" customWidth="1"/>
    <col min="796" max="796" width="14.28515625" style="1" customWidth="1"/>
    <col min="797" max="797" width="15.5703125" style="1" customWidth="1"/>
    <col min="798" max="798" width="1.85546875" style="1" customWidth="1"/>
    <col min="799" max="799" width="15.5703125" style="1" customWidth="1"/>
    <col min="800" max="800" width="2.85546875" style="1" customWidth="1"/>
    <col min="801" max="1033" width="13.85546875" style="1"/>
    <col min="1034" max="1034" width="7" style="1" customWidth="1"/>
    <col min="1035" max="1035" width="16.5703125" style="1" customWidth="1"/>
    <col min="1036" max="1036" width="4.28515625" style="1" customWidth="1"/>
    <col min="1037" max="1037" width="6.85546875" style="1" customWidth="1"/>
    <col min="1038" max="1039" width="2.28515625" style="1" customWidth="1"/>
    <col min="1040" max="1040" width="10.85546875" style="1" customWidth="1"/>
    <col min="1041" max="1041" width="3.85546875" style="1" customWidth="1"/>
    <col min="1042" max="1042" width="2" style="1" customWidth="1"/>
    <col min="1043" max="1043" width="15.5703125" style="1" customWidth="1"/>
    <col min="1044" max="1044" width="1.85546875" style="1" customWidth="1"/>
    <col min="1045" max="1045" width="15.5703125" style="1" customWidth="1"/>
    <col min="1046" max="1046" width="1.85546875" style="1" customWidth="1"/>
    <col min="1047" max="1047" width="15.5703125" style="1" customWidth="1"/>
    <col min="1048" max="1048" width="1.85546875" style="1" customWidth="1"/>
    <col min="1049" max="1049" width="15.5703125" style="1" customWidth="1"/>
    <col min="1050" max="1050" width="3.140625" style="1" customWidth="1"/>
    <col min="1051" max="1051" width="15.5703125" style="1" customWidth="1"/>
    <col min="1052" max="1052" width="14.28515625" style="1" customWidth="1"/>
    <col min="1053" max="1053" width="15.5703125" style="1" customWidth="1"/>
    <col min="1054" max="1054" width="1.85546875" style="1" customWidth="1"/>
    <col min="1055" max="1055" width="15.5703125" style="1" customWidth="1"/>
    <col min="1056" max="1056" width="2.85546875" style="1" customWidth="1"/>
    <col min="1057" max="1289" width="13.85546875" style="1"/>
    <col min="1290" max="1290" width="7" style="1" customWidth="1"/>
    <col min="1291" max="1291" width="16.5703125" style="1" customWidth="1"/>
    <col min="1292" max="1292" width="4.28515625" style="1" customWidth="1"/>
    <col min="1293" max="1293" width="6.85546875" style="1" customWidth="1"/>
    <col min="1294" max="1295" width="2.28515625" style="1" customWidth="1"/>
    <col min="1296" max="1296" width="10.85546875" style="1" customWidth="1"/>
    <col min="1297" max="1297" width="3.85546875" style="1" customWidth="1"/>
    <col min="1298" max="1298" width="2" style="1" customWidth="1"/>
    <col min="1299" max="1299" width="15.5703125" style="1" customWidth="1"/>
    <col min="1300" max="1300" width="1.85546875" style="1" customWidth="1"/>
    <col min="1301" max="1301" width="15.5703125" style="1" customWidth="1"/>
    <col min="1302" max="1302" width="1.85546875" style="1" customWidth="1"/>
    <col min="1303" max="1303" width="15.5703125" style="1" customWidth="1"/>
    <col min="1304" max="1304" width="1.85546875" style="1" customWidth="1"/>
    <col min="1305" max="1305" width="15.5703125" style="1" customWidth="1"/>
    <col min="1306" max="1306" width="3.140625" style="1" customWidth="1"/>
    <col min="1307" max="1307" width="15.5703125" style="1" customWidth="1"/>
    <col min="1308" max="1308" width="14.28515625" style="1" customWidth="1"/>
    <col min="1309" max="1309" width="15.5703125" style="1" customWidth="1"/>
    <col min="1310" max="1310" width="1.85546875" style="1" customWidth="1"/>
    <col min="1311" max="1311" width="15.5703125" style="1" customWidth="1"/>
    <col min="1312" max="1312" width="2.85546875" style="1" customWidth="1"/>
    <col min="1313" max="1545" width="13.85546875" style="1"/>
    <col min="1546" max="1546" width="7" style="1" customWidth="1"/>
    <col min="1547" max="1547" width="16.5703125" style="1" customWidth="1"/>
    <col min="1548" max="1548" width="4.28515625" style="1" customWidth="1"/>
    <col min="1549" max="1549" width="6.85546875" style="1" customWidth="1"/>
    <col min="1550" max="1551" width="2.28515625" style="1" customWidth="1"/>
    <col min="1552" max="1552" width="10.85546875" style="1" customWidth="1"/>
    <col min="1553" max="1553" width="3.85546875" style="1" customWidth="1"/>
    <col min="1554" max="1554" width="2" style="1" customWidth="1"/>
    <col min="1555" max="1555" width="15.5703125" style="1" customWidth="1"/>
    <col min="1556" max="1556" width="1.85546875" style="1" customWidth="1"/>
    <col min="1557" max="1557" width="15.5703125" style="1" customWidth="1"/>
    <col min="1558" max="1558" width="1.85546875" style="1" customWidth="1"/>
    <col min="1559" max="1559" width="15.5703125" style="1" customWidth="1"/>
    <col min="1560" max="1560" width="1.85546875" style="1" customWidth="1"/>
    <col min="1561" max="1561" width="15.5703125" style="1" customWidth="1"/>
    <col min="1562" max="1562" width="3.140625" style="1" customWidth="1"/>
    <col min="1563" max="1563" width="15.5703125" style="1" customWidth="1"/>
    <col min="1564" max="1564" width="14.28515625" style="1" customWidth="1"/>
    <col min="1565" max="1565" width="15.5703125" style="1" customWidth="1"/>
    <col min="1566" max="1566" width="1.85546875" style="1" customWidth="1"/>
    <col min="1567" max="1567" width="15.5703125" style="1" customWidth="1"/>
    <col min="1568" max="1568" width="2.85546875" style="1" customWidth="1"/>
    <col min="1569" max="1801" width="13.85546875" style="1"/>
    <col min="1802" max="1802" width="7" style="1" customWidth="1"/>
    <col min="1803" max="1803" width="16.5703125" style="1" customWidth="1"/>
    <col min="1804" max="1804" width="4.28515625" style="1" customWidth="1"/>
    <col min="1805" max="1805" width="6.85546875" style="1" customWidth="1"/>
    <col min="1806" max="1807" width="2.28515625" style="1" customWidth="1"/>
    <col min="1808" max="1808" width="10.85546875" style="1" customWidth="1"/>
    <col min="1809" max="1809" width="3.85546875" style="1" customWidth="1"/>
    <col min="1810" max="1810" width="2" style="1" customWidth="1"/>
    <col min="1811" max="1811" width="15.5703125" style="1" customWidth="1"/>
    <col min="1812" max="1812" width="1.85546875" style="1" customWidth="1"/>
    <col min="1813" max="1813" width="15.5703125" style="1" customWidth="1"/>
    <col min="1814" max="1814" width="1.85546875" style="1" customWidth="1"/>
    <col min="1815" max="1815" width="15.5703125" style="1" customWidth="1"/>
    <col min="1816" max="1816" width="1.85546875" style="1" customWidth="1"/>
    <col min="1817" max="1817" width="15.5703125" style="1" customWidth="1"/>
    <col min="1818" max="1818" width="3.140625" style="1" customWidth="1"/>
    <col min="1819" max="1819" width="15.5703125" style="1" customWidth="1"/>
    <col min="1820" max="1820" width="14.28515625" style="1" customWidth="1"/>
    <col min="1821" max="1821" width="15.5703125" style="1" customWidth="1"/>
    <col min="1822" max="1822" width="1.85546875" style="1" customWidth="1"/>
    <col min="1823" max="1823" width="15.5703125" style="1" customWidth="1"/>
    <col min="1824" max="1824" width="2.85546875" style="1" customWidth="1"/>
    <col min="1825" max="2057" width="13.85546875" style="1"/>
    <col min="2058" max="2058" width="7" style="1" customWidth="1"/>
    <col min="2059" max="2059" width="16.5703125" style="1" customWidth="1"/>
    <col min="2060" max="2060" width="4.28515625" style="1" customWidth="1"/>
    <col min="2061" max="2061" width="6.85546875" style="1" customWidth="1"/>
    <col min="2062" max="2063" width="2.28515625" style="1" customWidth="1"/>
    <col min="2064" max="2064" width="10.85546875" style="1" customWidth="1"/>
    <col min="2065" max="2065" width="3.85546875" style="1" customWidth="1"/>
    <col min="2066" max="2066" width="2" style="1" customWidth="1"/>
    <col min="2067" max="2067" width="15.5703125" style="1" customWidth="1"/>
    <col min="2068" max="2068" width="1.85546875" style="1" customWidth="1"/>
    <col min="2069" max="2069" width="15.5703125" style="1" customWidth="1"/>
    <col min="2070" max="2070" width="1.85546875" style="1" customWidth="1"/>
    <col min="2071" max="2071" width="15.5703125" style="1" customWidth="1"/>
    <col min="2072" max="2072" width="1.85546875" style="1" customWidth="1"/>
    <col min="2073" max="2073" width="15.5703125" style="1" customWidth="1"/>
    <col min="2074" max="2074" width="3.140625" style="1" customWidth="1"/>
    <col min="2075" max="2075" width="15.5703125" style="1" customWidth="1"/>
    <col min="2076" max="2076" width="14.28515625" style="1" customWidth="1"/>
    <col min="2077" max="2077" width="15.5703125" style="1" customWidth="1"/>
    <col min="2078" max="2078" width="1.85546875" style="1" customWidth="1"/>
    <col min="2079" max="2079" width="15.5703125" style="1" customWidth="1"/>
    <col min="2080" max="2080" width="2.85546875" style="1" customWidth="1"/>
    <col min="2081" max="2313" width="13.85546875" style="1"/>
    <col min="2314" max="2314" width="7" style="1" customWidth="1"/>
    <col min="2315" max="2315" width="16.5703125" style="1" customWidth="1"/>
    <col min="2316" max="2316" width="4.28515625" style="1" customWidth="1"/>
    <col min="2317" max="2317" width="6.85546875" style="1" customWidth="1"/>
    <col min="2318" max="2319" width="2.28515625" style="1" customWidth="1"/>
    <col min="2320" max="2320" width="10.85546875" style="1" customWidth="1"/>
    <col min="2321" max="2321" width="3.85546875" style="1" customWidth="1"/>
    <col min="2322" max="2322" width="2" style="1" customWidth="1"/>
    <col min="2323" max="2323" width="15.5703125" style="1" customWidth="1"/>
    <col min="2324" max="2324" width="1.85546875" style="1" customWidth="1"/>
    <col min="2325" max="2325" width="15.5703125" style="1" customWidth="1"/>
    <col min="2326" max="2326" width="1.85546875" style="1" customWidth="1"/>
    <col min="2327" max="2327" width="15.5703125" style="1" customWidth="1"/>
    <col min="2328" max="2328" width="1.85546875" style="1" customWidth="1"/>
    <col min="2329" max="2329" width="15.5703125" style="1" customWidth="1"/>
    <col min="2330" max="2330" width="3.140625" style="1" customWidth="1"/>
    <col min="2331" max="2331" width="15.5703125" style="1" customWidth="1"/>
    <col min="2332" max="2332" width="14.28515625" style="1" customWidth="1"/>
    <col min="2333" max="2333" width="15.5703125" style="1" customWidth="1"/>
    <col min="2334" max="2334" width="1.85546875" style="1" customWidth="1"/>
    <col min="2335" max="2335" width="15.5703125" style="1" customWidth="1"/>
    <col min="2336" max="2336" width="2.85546875" style="1" customWidth="1"/>
    <col min="2337" max="2569" width="13.85546875" style="1"/>
    <col min="2570" max="2570" width="7" style="1" customWidth="1"/>
    <col min="2571" max="2571" width="16.5703125" style="1" customWidth="1"/>
    <col min="2572" max="2572" width="4.28515625" style="1" customWidth="1"/>
    <col min="2573" max="2573" width="6.85546875" style="1" customWidth="1"/>
    <col min="2574" max="2575" width="2.28515625" style="1" customWidth="1"/>
    <col min="2576" max="2576" width="10.85546875" style="1" customWidth="1"/>
    <col min="2577" max="2577" width="3.85546875" style="1" customWidth="1"/>
    <col min="2578" max="2578" width="2" style="1" customWidth="1"/>
    <col min="2579" max="2579" width="15.5703125" style="1" customWidth="1"/>
    <col min="2580" max="2580" width="1.85546875" style="1" customWidth="1"/>
    <col min="2581" max="2581" width="15.5703125" style="1" customWidth="1"/>
    <col min="2582" max="2582" width="1.85546875" style="1" customWidth="1"/>
    <col min="2583" max="2583" width="15.5703125" style="1" customWidth="1"/>
    <col min="2584" max="2584" width="1.85546875" style="1" customWidth="1"/>
    <col min="2585" max="2585" width="15.5703125" style="1" customWidth="1"/>
    <col min="2586" max="2586" width="3.140625" style="1" customWidth="1"/>
    <col min="2587" max="2587" width="15.5703125" style="1" customWidth="1"/>
    <col min="2588" max="2588" width="14.28515625" style="1" customWidth="1"/>
    <col min="2589" max="2589" width="15.5703125" style="1" customWidth="1"/>
    <col min="2590" max="2590" width="1.85546875" style="1" customWidth="1"/>
    <col min="2591" max="2591" width="15.5703125" style="1" customWidth="1"/>
    <col min="2592" max="2592" width="2.85546875" style="1" customWidth="1"/>
    <col min="2593" max="2825" width="13.85546875" style="1"/>
    <col min="2826" max="2826" width="7" style="1" customWidth="1"/>
    <col min="2827" max="2827" width="16.5703125" style="1" customWidth="1"/>
    <col min="2828" max="2828" width="4.28515625" style="1" customWidth="1"/>
    <col min="2829" max="2829" width="6.85546875" style="1" customWidth="1"/>
    <col min="2830" max="2831" width="2.28515625" style="1" customWidth="1"/>
    <col min="2832" max="2832" width="10.85546875" style="1" customWidth="1"/>
    <col min="2833" max="2833" width="3.85546875" style="1" customWidth="1"/>
    <col min="2834" max="2834" width="2" style="1" customWidth="1"/>
    <col min="2835" max="2835" width="15.5703125" style="1" customWidth="1"/>
    <col min="2836" max="2836" width="1.85546875" style="1" customWidth="1"/>
    <col min="2837" max="2837" width="15.5703125" style="1" customWidth="1"/>
    <col min="2838" max="2838" width="1.85546875" style="1" customWidth="1"/>
    <col min="2839" max="2839" width="15.5703125" style="1" customWidth="1"/>
    <col min="2840" max="2840" width="1.85546875" style="1" customWidth="1"/>
    <col min="2841" max="2841" width="15.5703125" style="1" customWidth="1"/>
    <col min="2842" max="2842" width="3.140625" style="1" customWidth="1"/>
    <col min="2843" max="2843" width="15.5703125" style="1" customWidth="1"/>
    <col min="2844" max="2844" width="14.28515625" style="1" customWidth="1"/>
    <col min="2845" max="2845" width="15.5703125" style="1" customWidth="1"/>
    <col min="2846" max="2846" width="1.85546875" style="1" customWidth="1"/>
    <col min="2847" max="2847" width="15.5703125" style="1" customWidth="1"/>
    <col min="2848" max="2848" width="2.85546875" style="1" customWidth="1"/>
    <col min="2849" max="3081" width="13.85546875" style="1"/>
    <col min="3082" max="3082" width="7" style="1" customWidth="1"/>
    <col min="3083" max="3083" width="16.5703125" style="1" customWidth="1"/>
    <col min="3084" max="3084" width="4.28515625" style="1" customWidth="1"/>
    <col min="3085" max="3085" width="6.85546875" style="1" customWidth="1"/>
    <col min="3086" max="3087" width="2.28515625" style="1" customWidth="1"/>
    <col min="3088" max="3088" width="10.85546875" style="1" customWidth="1"/>
    <col min="3089" max="3089" width="3.85546875" style="1" customWidth="1"/>
    <col min="3090" max="3090" width="2" style="1" customWidth="1"/>
    <col min="3091" max="3091" width="15.5703125" style="1" customWidth="1"/>
    <col min="3092" max="3092" width="1.85546875" style="1" customWidth="1"/>
    <col min="3093" max="3093" width="15.5703125" style="1" customWidth="1"/>
    <col min="3094" max="3094" width="1.85546875" style="1" customWidth="1"/>
    <col min="3095" max="3095" width="15.5703125" style="1" customWidth="1"/>
    <col min="3096" max="3096" width="1.85546875" style="1" customWidth="1"/>
    <col min="3097" max="3097" width="15.5703125" style="1" customWidth="1"/>
    <col min="3098" max="3098" width="3.140625" style="1" customWidth="1"/>
    <col min="3099" max="3099" width="15.5703125" style="1" customWidth="1"/>
    <col min="3100" max="3100" width="14.28515625" style="1" customWidth="1"/>
    <col min="3101" max="3101" width="15.5703125" style="1" customWidth="1"/>
    <col min="3102" max="3102" width="1.85546875" style="1" customWidth="1"/>
    <col min="3103" max="3103" width="15.5703125" style="1" customWidth="1"/>
    <col min="3104" max="3104" width="2.85546875" style="1" customWidth="1"/>
    <col min="3105" max="3337" width="13.85546875" style="1"/>
    <col min="3338" max="3338" width="7" style="1" customWidth="1"/>
    <col min="3339" max="3339" width="16.5703125" style="1" customWidth="1"/>
    <col min="3340" max="3340" width="4.28515625" style="1" customWidth="1"/>
    <col min="3341" max="3341" width="6.85546875" style="1" customWidth="1"/>
    <col min="3342" max="3343" width="2.28515625" style="1" customWidth="1"/>
    <col min="3344" max="3344" width="10.85546875" style="1" customWidth="1"/>
    <col min="3345" max="3345" width="3.85546875" style="1" customWidth="1"/>
    <col min="3346" max="3346" width="2" style="1" customWidth="1"/>
    <col min="3347" max="3347" width="15.5703125" style="1" customWidth="1"/>
    <col min="3348" max="3348" width="1.85546875" style="1" customWidth="1"/>
    <col min="3349" max="3349" width="15.5703125" style="1" customWidth="1"/>
    <col min="3350" max="3350" width="1.85546875" style="1" customWidth="1"/>
    <col min="3351" max="3351" width="15.5703125" style="1" customWidth="1"/>
    <col min="3352" max="3352" width="1.85546875" style="1" customWidth="1"/>
    <col min="3353" max="3353" width="15.5703125" style="1" customWidth="1"/>
    <col min="3354" max="3354" width="3.140625" style="1" customWidth="1"/>
    <col min="3355" max="3355" width="15.5703125" style="1" customWidth="1"/>
    <col min="3356" max="3356" width="14.28515625" style="1" customWidth="1"/>
    <col min="3357" max="3357" width="15.5703125" style="1" customWidth="1"/>
    <col min="3358" max="3358" width="1.85546875" style="1" customWidth="1"/>
    <col min="3359" max="3359" width="15.5703125" style="1" customWidth="1"/>
    <col min="3360" max="3360" width="2.85546875" style="1" customWidth="1"/>
    <col min="3361" max="3593" width="13.85546875" style="1"/>
    <col min="3594" max="3594" width="7" style="1" customWidth="1"/>
    <col min="3595" max="3595" width="16.5703125" style="1" customWidth="1"/>
    <col min="3596" max="3596" width="4.28515625" style="1" customWidth="1"/>
    <col min="3597" max="3597" width="6.85546875" style="1" customWidth="1"/>
    <col min="3598" max="3599" width="2.28515625" style="1" customWidth="1"/>
    <col min="3600" max="3600" width="10.85546875" style="1" customWidth="1"/>
    <col min="3601" max="3601" width="3.85546875" style="1" customWidth="1"/>
    <col min="3602" max="3602" width="2" style="1" customWidth="1"/>
    <col min="3603" max="3603" width="15.5703125" style="1" customWidth="1"/>
    <col min="3604" max="3604" width="1.85546875" style="1" customWidth="1"/>
    <col min="3605" max="3605" width="15.5703125" style="1" customWidth="1"/>
    <col min="3606" max="3606" width="1.85546875" style="1" customWidth="1"/>
    <col min="3607" max="3607" width="15.5703125" style="1" customWidth="1"/>
    <col min="3608" max="3608" width="1.85546875" style="1" customWidth="1"/>
    <col min="3609" max="3609" width="15.5703125" style="1" customWidth="1"/>
    <col min="3610" max="3610" width="3.140625" style="1" customWidth="1"/>
    <col min="3611" max="3611" width="15.5703125" style="1" customWidth="1"/>
    <col min="3612" max="3612" width="14.28515625" style="1" customWidth="1"/>
    <col min="3613" max="3613" width="15.5703125" style="1" customWidth="1"/>
    <col min="3614" max="3614" width="1.85546875" style="1" customWidth="1"/>
    <col min="3615" max="3615" width="15.5703125" style="1" customWidth="1"/>
    <col min="3616" max="3616" width="2.85546875" style="1" customWidth="1"/>
    <col min="3617" max="3849" width="13.85546875" style="1"/>
    <col min="3850" max="3850" width="7" style="1" customWidth="1"/>
    <col min="3851" max="3851" width="16.5703125" style="1" customWidth="1"/>
    <col min="3852" max="3852" width="4.28515625" style="1" customWidth="1"/>
    <col min="3853" max="3853" width="6.85546875" style="1" customWidth="1"/>
    <col min="3854" max="3855" width="2.28515625" style="1" customWidth="1"/>
    <col min="3856" max="3856" width="10.85546875" style="1" customWidth="1"/>
    <col min="3857" max="3857" width="3.85546875" style="1" customWidth="1"/>
    <col min="3858" max="3858" width="2" style="1" customWidth="1"/>
    <col min="3859" max="3859" width="15.5703125" style="1" customWidth="1"/>
    <col min="3860" max="3860" width="1.85546875" style="1" customWidth="1"/>
    <col min="3861" max="3861" width="15.5703125" style="1" customWidth="1"/>
    <col min="3862" max="3862" width="1.85546875" style="1" customWidth="1"/>
    <col min="3863" max="3863" width="15.5703125" style="1" customWidth="1"/>
    <col min="3864" max="3864" width="1.85546875" style="1" customWidth="1"/>
    <col min="3865" max="3865" width="15.5703125" style="1" customWidth="1"/>
    <col min="3866" max="3866" width="3.140625" style="1" customWidth="1"/>
    <col min="3867" max="3867" width="15.5703125" style="1" customWidth="1"/>
    <col min="3868" max="3868" width="14.28515625" style="1" customWidth="1"/>
    <col min="3869" max="3869" width="15.5703125" style="1" customWidth="1"/>
    <col min="3870" max="3870" width="1.85546875" style="1" customWidth="1"/>
    <col min="3871" max="3871" width="15.5703125" style="1" customWidth="1"/>
    <col min="3872" max="3872" width="2.85546875" style="1" customWidth="1"/>
    <col min="3873" max="4105" width="13.85546875" style="1"/>
    <col min="4106" max="4106" width="7" style="1" customWidth="1"/>
    <col min="4107" max="4107" width="16.5703125" style="1" customWidth="1"/>
    <col min="4108" max="4108" width="4.28515625" style="1" customWidth="1"/>
    <col min="4109" max="4109" width="6.85546875" style="1" customWidth="1"/>
    <col min="4110" max="4111" width="2.28515625" style="1" customWidth="1"/>
    <col min="4112" max="4112" width="10.85546875" style="1" customWidth="1"/>
    <col min="4113" max="4113" width="3.85546875" style="1" customWidth="1"/>
    <col min="4114" max="4114" width="2" style="1" customWidth="1"/>
    <col min="4115" max="4115" width="15.5703125" style="1" customWidth="1"/>
    <col min="4116" max="4116" width="1.85546875" style="1" customWidth="1"/>
    <col min="4117" max="4117" width="15.5703125" style="1" customWidth="1"/>
    <col min="4118" max="4118" width="1.85546875" style="1" customWidth="1"/>
    <col min="4119" max="4119" width="15.5703125" style="1" customWidth="1"/>
    <col min="4120" max="4120" width="1.85546875" style="1" customWidth="1"/>
    <col min="4121" max="4121" width="15.5703125" style="1" customWidth="1"/>
    <col min="4122" max="4122" width="3.140625" style="1" customWidth="1"/>
    <col min="4123" max="4123" width="15.5703125" style="1" customWidth="1"/>
    <col min="4124" max="4124" width="14.28515625" style="1" customWidth="1"/>
    <col min="4125" max="4125" width="15.5703125" style="1" customWidth="1"/>
    <col min="4126" max="4126" width="1.85546875" style="1" customWidth="1"/>
    <col min="4127" max="4127" width="15.5703125" style="1" customWidth="1"/>
    <col min="4128" max="4128" width="2.85546875" style="1" customWidth="1"/>
    <col min="4129" max="4361" width="13.85546875" style="1"/>
    <col min="4362" max="4362" width="7" style="1" customWidth="1"/>
    <col min="4363" max="4363" width="16.5703125" style="1" customWidth="1"/>
    <col min="4364" max="4364" width="4.28515625" style="1" customWidth="1"/>
    <col min="4365" max="4365" width="6.85546875" style="1" customWidth="1"/>
    <col min="4366" max="4367" width="2.28515625" style="1" customWidth="1"/>
    <col min="4368" max="4368" width="10.85546875" style="1" customWidth="1"/>
    <col min="4369" max="4369" width="3.85546875" style="1" customWidth="1"/>
    <col min="4370" max="4370" width="2" style="1" customWidth="1"/>
    <col min="4371" max="4371" width="15.5703125" style="1" customWidth="1"/>
    <col min="4372" max="4372" width="1.85546875" style="1" customWidth="1"/>
    <col min="4373" max="4373" width="15.5703125" style="1" customWidth="1"/>
    <col min="4374" max="4374" width="1.85546875" style="1" customWidth="1"/>
    <col min="4375" max="4375" width="15.5703125" style="1" customWidth="1"/>
    <col min="4376" max="4376" width="1.85546875" style="1" customWidth="1"/>
    <col min="4377" max="4377" width="15.5703125" style="1" customWidth="1"/>
    <col min="4378" max="4378" width="3.140625" style="1" customWidth="1"/>
    <col min="4379" max="4379" width="15.5703125" style="1" customWidth="1"/>
    <col min="4380" max="4380" width="14.28515625" style="1" customWidth="1"/>
    <col min="4381" max="4381" width="15.5703125" style="1" customWidth="1"/>
    <col min="4382" max="4382" width="1.85546875" style="1" customWidth="1"/>
    <col min="4383" max="4383" width="15.5703125" style="1" customWidth="1"/>
    <col min="4384" max="4384" width="2.85546875" style="1" customWidth="1"/>
    <col min="4385" max="4617" width="13.85546875" style="1"/>
    <col min="4618" max="4618" width="7" style="1" customWidth="1"/>
    <col min="4619" max="4619" width="16.5703125" style="1" customWidth="1"/>
    <col min="4620" max="4620" width="4.28515625" style="1" customWidth="1"/>
    <col min="4621" max="4621" width="6.85546875" style="1" customWidth="1"/>
    <col min="4622" max="4623" width="2.28515625" style="1" customWidth="1"/>
    <col min="4624" max="4624" width="10.85546875" style="1" customWidth="1"/>
    <col min="4625" max="4625" width="3.85546875" style="1" customWidth="1"/>
    <col min="4626" max="4626" width="2" style="1" customWidth="1"/>
    <col min="4627" max="4627" width="15.5703125" style="1" customWidth="1"/>
    <col min="4628" max="4628" width="1.85546875" style="1" customWidth="1"/>
    <col min="4629" max="4629" width="15.5703125" style="1" customWidth="1"/>
    <col min="4630" max="4630" width="1.85546875" style="1" customWidth="1"/>
    <col min="4631" max="4631" width="15.5703125" style="1" customWidth="1"/>
    <col min="4632" max="4632" width="1.85546875" style="1" customWidth="1"/>
    <col min="4633" max="4633" width="15.5703125" style="1" customWidth="1"/>
    <col min="4634" max="4634" width="3.140625" style="1" customWidth="1"/>
    <col min="4635" max="4635" width="15.5703125" style="1" customWidth="1"/>
    <col min="4636" max="4636" width="14.28515625" style="1" customWidth="1"/>
    <col min="4637" max="4637" width="15.5703125" style="1" customWidth="1"/>
    <col min="4638" max="4638" width="1.85546875" style="1" customWidth="1"/>
    <col min="4639" max="4639" width="15.5703125" style="1" customWidth="1"/>
    <col min="4640" max="4640" width="2.85546875" style="1" customWidth="1"/>
    <col min="4641" max="4873" width="13.85546875" style="1"/>
    <col min="4874" max="4874" width="7" style="1" customWidth="1"/>
    <col min="4875" max="4875" width="16.5703125" style="1" customWidth="1"/>
    <col min="4876" max="4876" width="4.28515625" style="1" customWidth="1"/>
    <col min="4877" max="4877" width="6.85546875" style="1" customWidth="1"/>
    <col min="4878" max="4879" width="2.28515625" style="1" customWidth="1"/>
    <col min="4880" max="4880" width="10.85546875" style="1" customWidth="1"/>
    <col min="4881" max="4881" width="3.85546875" style="1" customWidth="1"/>
    <col min="4882" max="4882" width="2" style="1" customWidth="1"/>
    <col min="4883" max="4883" width="15.5703125" style="1" customWidth="1"/>
    <col min="4884" max="4884" width="1.85546875" style="1" customWidth="1"/>
    <col min="4885" max="4885" width="15.5703125" style="1" customWidth="1"/>
    <col min="4886" max="4886" width="1.85546875" style="1" customWidth="1"/>
    <col min="4887" max="4887" width="15.5703125" style="1" customWidth="1"/>
    <col min="4888" max="4888" width="1.85546875" style="1" customWidth="1"/>
    <col min="4889" max="4889" width="15.5703125" style="1" customWidth="1"/>
    <col min="4890" max="4890" width="3.140625" style="1" customWidth="1"/>
    <col min="4891" max="4891" width="15.5703125" style="1" customWidth="1"/>
    <col min="4892" max="4892" width="14.28515625" style="1" customWidth="1"/>
    <col min="4893" max="4893" width="15.5703125" style="1" customWidth="1"/>
    <col min="4894" max="4894" width="1.85546875" style="1" customWidth="1"/>
    <col min="4895" max="4895" width="15.5703125" style="1" customWidth="1"/>
    <col min="4896" max="4896" width="2.85546875" style="1" customWidth="1"/>
    <col min="4897" max="5129" width="13.85546875" style="1"/>
    <col min="5130" max="5130" width="7" style="1" customWidth="1"/>
    <col min="5131" max="5131" width="16.5703125" style="1" customWidth="1"/>
    <col min="5132" max="5132" width="4.28515625" style="1" customWidth="1"/>
    <col min="5133" max="5133" width="6.85546875" style="1" customWidth="1"/>
    <col min="5134" max="5135" width="2.28515625" style="1" customWidth="1"/>
    <col min="5136" max="5136" width="10.85546875" style="1" customWidth="1"/>
    <col min="5137" max="5137" width="3.85546875" style="1" customWidth="1"/>
    <col min="5138" max="5138" width="2" style="1" customWidth="1"/>
    <col min="5139" max="5139" width="15.5703125" style="1" customWidth="1"/>
    <col min="5140" max="5140" width="1.85546875" style="1" customWidth="1"/>
    <col min="5141" max="5141" width="15.5703125" style="1" customWidth="1"/>
    <col min="5142" max="5142" width="1.85546875" style="1" customWidth="1"/>
    <col min="5143" max="5143" width="15.5703125" style="1" customWidth="1"/>
    <col min="5144" max="5144" width="1.85546875" style="1" customWidth="1"/>
    <col min="5145" max="5145" width="15.5703125" style="1" customWidth="1"/>
    <col min="5146" max="5146" width="3.140625" style="1" customWidth="1"/>
    <col min="5147" max="5147" width="15.5703125" style="1" customWidth="1"/>
    <col min="5148" max="5148" width="14.28515625" style="1" customWidth="1"/>
    <col min="5149" max="5149" width="15.5703125" style="1" customWidth="1"/>
    <col min="5150" max="5150" width="1.85546875" style="1" customWidth="1"/>
    <col min="5151" max="5151" width="15.5703125" style="1" customWidth="1"/>
    <col min="5152" max="5152" width="2.85546875" style="1" customWidth="1"/>
    <col min="5153" max="5385" width="13.85546875" style="1"/>
    <col min="5386" max="5386" width="7" style="1" customWidth="1"/>
    <col min="5387" max="5387" width="16.5703125" style="1" customWidth="1"/>
    <col min="5388" max="5388" width="4.28515625" style="1" customWidth="1"/>
    <col min="5389" max="5389" width="6.85546875" style="1" customWidth="1"/>
    <col min="5390" max="5391" width="2.28515625" style="1" customWidth="1"/>
    <col min="5392" max="5392" width="10.85546875" style="1" customWidth="1"/>
    <col min="5393" max="5393" width="3.85546875" style="1" customWidth="1"/>
    <col min="5394" max="5394" width="2" style="1" customWidth="1"/>
    <col min="5395" max="5395" width="15.5703125" style="1" customWidth="1"/>
    <col min="5396" max="5396" width="1.85546875" style="1" customWidth="1"/>
    <col min="5397" max="5397" width="15.5703125" style="1" customWidth="1"/>
    <col min="5398" max="5398" width="1.85546875" style="1" customWidth="1"/>
    <col min="5399" max="5399" width="15.5703125" style="1" customWidth="1"/>
    <col min="5400" max="5400" width="1.85546875" style="1" customWidth="1"/>
    <col min="5401" max="5401" width="15.5703125" style="1" customWidth="1"/>
    <col min="5402" max="5402" width="3.140625" style="1" customWidth="1"/>
    <col min="5403" max="5403" width="15.5703125" style="1" customWidth="1"/>
    <col min="5404" max="5404" width="14.28515625" style="1" customWidth="1"/>
    <col min="5405" max="5405" width="15.5703125" style="1" customWidth="1"/>
    <col min="5406" max="5406" width="1.85546875" style="1" customWidth="1"/>
    <col min="5407" max="5407" width="15.5703125" style="1" customWidth="1"/>
    <col min="5408" max="5408" width="2.85546875" style="1" customWidth="1"/>
    <col min="5409" max="5641" width="13.85546875" style="1"/>
    <col min="5642" max="5642" width="7" style="1" customWidth="1"/>
    <col min="5643" max="5643" width="16.5703125" style="1" customWidth="1"/>
    <col min="5644" max="5644" width="4.28515625" style="1" customWidth="1"/>
    <col min="5645" max="5645" width="6.85546875" style="1" customWidth="1"/>
    <col min="5646" max="5647" width="2.28515625" style="1" customWidth="1"/>
    <col min="5648" max="5648" width="10.85546875" style="1" customWidth="1"/>
    <col min="5649" max="5649" width="3.85546875" style="1" customWidth="1"/>
    <col min="5650" max="5650" width="2" style="1" customWidth="1"/>
    <col min="5651" max="5651" width="15.5703125" style="1" customWidth="1"/>
    <col min="5652" max="5652" width="1.85546875" style="1" customWidth="1"/>
    <col min="5653" max="5653" width="15.5703125" style="1" customWidth="1"/>
    <col min="5654" max="5654" width="1.85546875" style="1" customWidth="1"/>
    <col min="5655" max="5655" width="15.5703125" style="1" customWidth="1"/>
    <col min="5656" max="5656" width="1.85546875" style="1" customWidth="1"/>
    <col min="5657" max="5657" width="15.5703125" style="1" customWidth="1"/>
    <col min="5658" max="5658" width="3.140625" style="1" customWidth="1"/>
    <col min="5659" max="5659" width="15.5703125" style="1" customWidth="1"/>
    <col min="5660" max="5660" width="14.28515625" style="1" customWidth="1"/>
    <col min="5661" max="5661" width="15.5703125" style="1" customWidth="1"/>
    <col min="5662" max="5662" width="1.85546875" style="1" customWidth="1"/>
    <col min="5663" max="5663" width="15.5703125" style="1" customWidth="1"/>
    <col min="5664" max="5664" width="2.85546875" style="1" customWidth="1"/>
    <col min="5665" max="5897" width="13.85546875" style="1"/>
    <col min="5898" max="5898" width="7" style="1" customWidth="1"/>
    <col min="5899" max="5899" width="16.5703125" style="1" customWidth="1"/>
    <col min="5900" max="5900" width="4.28515625" style="1" customWidth="1"/>
    <col min="5901" max="5901" width="6.85546875" style="1" customWidth="1"/>
    <col min="5902" max="5903" width="2.28515625" style="1" customWidth="1"/>
    <col min="5904" max="5904" width="10.85546875" style="1" customWidth="1"/>
    <col min="5905" max="5905" width="3.85546875" style="1" customWidth="1"/>
    <col min="5906" max="5906" width="2" style="1" customWidth="1"/>
    <col min="5907" max="5907" width="15.5703125" style="1" customWidth="1"/>
    <col min="5908" max="5908" width="1.85546875" style="1" customWidth="1"/>
    <col min="5909" max="5909" width="15.5703125" style="1" customWidth="1"/>
    <col min="5910" max="5910" width="1.85546875" style="1" customWidth="1"/>
    <col min="5911" max="5911" width="15.5703125" style="1" customWidth="1"/>
    <col min="5912" max="5912" width="1.85546875" style="1" customWidth="1"/>
    <col min="5913" max="5913" width="15.5703125" style="1" customWidth="1"/>
    <col min="5914" max="5914" width="3.140625" style="1" customWidth="1"/>
    <col min="5915" max="5915" width="15.5703125" style="1" customWidth="1"/>
    <col min="5916" max="5916" width="14.28515625" style="1" customWidth="1"/>
    <col min="5917" max="5917" width="15.5703125" style="1" customWidth="1"/>
    <col min="5918" max="5918" width="1.85546875" style="1" customWidth="1"/>
    <col min="5919" max="5919" width="15.5703125" style="1" customWidth="1"/>
    <col min="5920" max="5920" width="2.85546875" style="1" customWidth="1"/>
    <col min="5921" max="6153" width="13.85546875" style="1"/>
    <col min="6154" max="6154" width="7" style="1" customWidth="1"/>
    <col min="6155" max="6155" width="16.5703125" style="1" customWidth="1"/>
    <col min="6156" max="6156" width="4.28515625" style="1" customWidth="1"/>
    <col min="6157" max="6157" width="6.85546875" style="1" customWidth="1"/>
    <col min="6158" max="6159" width="2.28515625" style="1" customWidth="1"/>
    <col min="6160" max="6160" width="10.85546875" style="1" customWidth="1"/>
    <col min="6161" max="6161" width="3.85546875" style="1" customWidth="1"/>
    <col min="6162" max="6162" width="2" style="1" customWidth="1"/>
    <col min="6163" max="6163" width="15.5703125" style="1" customWidth="1"/>
    <col min="6164" max="6164" width="1.85546875" style="1" customWidth="1"/>
    <col min="6165" max="6165" width="15.5703125" style="1" customWidth="1"/>
    <col min="6166" max="6166" width="1.85546875" style="1" customWidth="1"/>
    <col min="6167" max="6167" width="15.5703125" style="1" customWidth="1"/>
    <col min="6168" max="6168" width="1.85546875" style="1" customWidth="1"/>
    <col min="6169" max="6169" width="15.5703125" style="1" customWidth="1"/>
    <col min="6170" max="6170" width="3.140625" style="1" customWidth="1"/>
    <col min="6171" max="6171" width="15.5703125" style="1" customWidth="1"/>
    <col min="6172" max="6172" width="14.28515625" style="1" customWidth="1"/>
    <col min="6173" max="6173" width="15.5703125" style="1" customWidth="1"/>
    <col min="6174" max="6174" width="1.85546875" style="1" customWidth="1"/>
    <col min="6175" max="6175" width="15.5703125" style="1" customWidth="1"/>
    <col min="6176" max="6176" width="2.85546875" style="1" customWidth="1"/>
    <col min="6177" max="6409" width="13.85546875" style="1"/>
    <col min="6410" max="6410" width="7" style="1" customWidth="1"/>
    <col min="6411" max="6411" width="16.5703125" style="1" customWidth="1"/>
    <col min="6412" max="6412" width="4.28515625" style="1" customWidth="1"/>
    <col min="6413" max="6413" width="6.85546875" style="1" customWidth="1"/>
    <col min="6414" max="6415" width="2.28515625" style="1" customWidth="1"/>
    <col min="6416" max="6416" width="10.85546875" style="1" customWidth="1"/>
    <col min="6417" max="6417" width="3.85546875" style="1" customWidth="1"/>
    <col min="6418" max="6418" width="2" style="1" customWidth="1"/>
    <col min="6419" max="6419" width="15.5703125" style="1" customWidth="1"/>
    <col min="6420" max="6420" width="1.85546875" style="1" customWidth="1"/>
    <col min="6421" max="6421" width="15.5703125" style="1" customWidth="1"/>
    <col min="6422" max="6422" width="1.85546875" style="1" customWidth="1"/>
    <col min="6423" max="6423" width="15.5703125" style="1" customWidth="1"/>
    <col min="6424" max="6424" width="1.85546875" style="1" customWidth="1"/>
    <col min="6425" max="6425" width="15.5703125" style="1" customWidth="1"/>
    <col min="6426" max="6426" width="3.140625" style="1" customWidth="1"/>
    <col min="6427" max="6427" width="15.5703125" style="1" customWidth="1"/>
    <col min="6428" max="6428" width="14.28515625" style="1" customWidth="1"/>
    <col min="6429" max="6429" width="15.5703125" style="1" customWidth="1"/>
    <col min="6430" max="6430" width="1.85546875" style="1" customWidth="1"/>
    <col min="6431" max="6431" width="15.5703125" style="1" customWidth="1"/>
    <col min="6432" max="6432" width="2.85546875" style="1" customWidth="1"/>
    <col min="6433" max="6665" width="13.85546875" style="1"/>
    <col min="6666" max="6666" width="7" style="1" customWidth="1"/>
    <col min="6667" max="6667" width="16.5703125" style="1" customWidth="1"/>
    <col min="6668" max="6668" width="4.28515625" style="1" customWidth="1"/>
    <col min="6669" max="6669" width="6.85546875" style="1" customWidth="1"/>
    <col min="6670" max="6671" width="2.28515625" style="1" customWidth="1"/>
    <col min="6672" max="6672" width="10.85546875" style="1" customWidth="1"/>
    <col min="6673" max="6673" width="3.85546875" style="1" customWidth="1"/>
    <col min="6674" max="6674" width="2" style="1" customWidth="1"/>
    <col min="6675" max="6675" width="15.5703125" style="1" customWidth="1"/>
    <col min="6676" max="6676" width="1.85546875" style="1" customWidth="1"/>
    <col min="6677" max="6677" width="15.5703125" style="1" customWidth="1"/>
    <col min="6678" max="6678" width="1.85546875" style="1" customWidth="1"/>
    <col min="6679" max="6679" width="15.5703125" style="1" customWidth="1"/>
    <col min="6680" max="6680" width="1.85546875" style="1" customWidth="1"/>
    <col min="6681" max="6681" width="15.5703125" style="1" customWidth="1"/>
    <col min="6682" max="6682" width="3.140625" style="1" customWidth="1"/>
    <col min="6683" max="6683" width="15.5703125" style="1" customWidth="1"/>
    <col min="6684" max="6684" width="14.28515625" style="1" customWidth="1"/>
    <col min="6685" max="6685" width="15.5703125" style="1" customWidth="1"/>
    <col min="6686" max="6686" width="1.85546875" style="1" customWidth="1"/>
    <col min="6687" max="6687" width="15.5703125" style="1" customWidth="1"/>
    <col min="6688" max="6688" width="2.85546875" style="1" customWidth="1"/>
    <col min="6689" max="6921" width="13.85546875" style="1"/>
    <col min="6922" max="6922" width="7" style="1" customWidth="1"/>
    <col min="6923" max="6923" width="16.5703125" style="1" customWidth="1"/>
    <col min="6924" max="6924" width="4.28515625" style="1" customWidth="1"/>
    <col min="6925" max="6925" width="6.85546875" style="1" customWidth="1"/>
    <col min="6926" max="6927" width="2.28515625" style="1" customWidth="1"/>
    <col min="6928" max="6928" width="10.85546875" style="1" customWidth="1"/>
    <col min="6929" max="6929" width="3.85546875" style="1" customWidth="1"/>
    <col min="6930" max="6930" width="2" style="1" customWidth="1"/>
    <col min="6931" max="6931" width="15.5703125" style="1" customWidth="1"/>
    <col min="6932" max="6932" width="1.85546875" style="1" customWidth="1"/>
    <col min="6933" max="6933" width="15.5703125" style="1" customWidth="1"/>
    <col min="6934" max="6934" width="1.85546875" style="1" customWidth="1"/>
    <col min="6935" max="6935" width="15.5703125" style="1" customWidth="1"/>
    <col min="6936" max="6936" width="1.85546875" style="1" customWidth="1"/>
    <col min="6937" max="6937" width="15.5703125" style="1" customWidth="1"/>
    <col min="6938" max="6938" width="3.140625" style="1" customWidth="1"/>
    <col min="6939" max="6939" width="15.5703125" style="1" customWidth="1"/>
    <col min="6940" max="6940" width="14.28515625" style="1" customWidth="1"/>
    <col min="6941" max="6941" width="15.5703125" style="1" customWidth="1"/>
    <col min="6942" max="6942" width="1.85546875" style="1" customWidth="1"/>
    <col min="6943" max="6943" width="15.5703125" style="1" customWidth="1"/>
    <col min="6944" max="6944" width="2.85546875" style="1" customWidth="1"/>
    <col min="6945" max="7177" width="13.85546875" style="1"/>
    <col min="7178" max="7178" width="7" style="1" customWidth="1"/>
    <col min="7179" max="7179" width="16.5703125" style="1" customWidth="1"/>
    <col min="7180" max="7180" width="4.28515625" style="1" customWidth="1"/>
    <col min="7181" max="7181" width="6.85546875" style="1" customWidth="1"/>
    <col min="7182" max="7183" width="2.28515625" style="1" customWidth="1"/>
    <col min="7184" max="7184" width="10.85546875" style="1" customWidth="1"/>
    <col min="7185" max="7185" width="3.85546875" style="1" customWidth="1"/>
    <col min="7186" max="7186" width="2" style="1" customWidth="1"/>
    <col min="7187" max="7187" width="15.5703125" style="1" customWidth="1"/>
    <col min="7188" max="7188" width="1.85546875" style="1" customWidth="1"/>
    <col min="7189" max="7189" width="15.5703125" style="1" customWidth="1"/>
    <col min="7190" max="7190" width="1.85546875" style="1" customWidth="1"/>
    <col min="7191" max="7191" width="15.5703125" style="1" customWidth="1"/>
    <col min="7192" max="7192" width="1.85546875" style="1" customWidth="1"/>
    <col min="7193" max="7193" width="15.5703125" style="1" customWidth="1"/>
    <col min="7194" max="7194" width="3.140625" style="1" customWidth="1"/>
    <col min="7195" max="7195" width="15.5703125" style="1" customWidth="1"/>
    <col min="7196" max="7196" width="14.28515625" style="1" customWidth="1"/>
    <col min="7197" max="7197" width="15.5703125" style="1" customWidth="1"/>
    <col min="7198" max="7198" width="1.85546875" style="1" customWidth="1"/>
    <col min="7199" max="7199" width="15.5703125" style="1" customWidth="1"/>
    <col min="7200" max="7200" width="2.85546875" style="1" customWidth="1"/>
    <col min="7201" max="7433" width="13.85546875" style="1"/>
    <col min="7434" max="7434" width="7" style="1" customWidth="1"/>
    <col min="7435" max="7435" width="16.5703125" style="1" customWidth="1"/>
    <col min="7436" max="7436" width="4.28515625" style="1" customWidth="1"/>
    <col min="7437" max="7437" width="6.85546875" style="1" customWidth="1"/>
    <col min="7438" max="7439" width="2.28515625" style="1" customWidth="1"/>
    <col min="7440" max="7440" width="10.85546875" style="1" customWidth="1"/>
    <col min="7441" max="7441" width="3.85546875" style="1" customWidth="1"/>
    <col min="7442" max="7442" width="2" style="1" customWidth="1"/>
    <col min="7443" max="7443" width="15.5703125" style="1" customWidth="1"/>
    <col min="7444" max="7444" width="1.85546875" style="1" customWidth="1"/>
    <col min="7445" max="7445" width="15.5703125" style="1" customWidth="1"/>
    <col min="7446" max="7446" width="1.85546875" style="1" customWidth="1"/>
    <col min="7447" max="7447" width="15.5703125" style="1" customWidth="1"/>
    <col min="7448" max="7448" width="1.85546875" style="1" customWidth="1"/>
    <col min="7449" max="7449" width="15.5703125" style="1" customWidth="1"/>
    <col min="7450" max="7450" width="3.140625" style="1" customWidth="1"/>
    <col min="7451" max="7451" width="15.5703125" style="1" customWidth="1"/>
    <col min="7452" max="7452" width="14.28515625" style="1" customWidth="1"/>
    <col min="7453" max="7453" width="15.5703125" style="1" customWidth="1"/>
    <col min="7454" max="7454" width="1.85546875" style="1" customWidth="1"/>
    <col min="7455" max="7455" width="15.5703125" style="1" customWidth="1"/>
    <col min="7456" max="7456" width="2.85546875" style="1" customWidth="1"/>
    <col min="7457" max="7689" width="13.85546875" style="1"/>
    <col min="7690" max="7690" width="7" style="1" customWidth="1"/>
    <col min="7691" max="7691" width="16.5703125" style="1" customWidth="1"/>
    <col min="7692" max="7692" width="4.28515625" style="1" customWidth="1"/>
    <col min="7693" max="7693" width="6.85546875" style="1" customWidth="1"/>
    <col min="7694" max="7695" width="2.28515625" style="1" customWidth="1"/>
    <col min="7696" max="7696" width="10.85546875" style="1" customWidth="1"/>
    <col min="7697" max="7697" width="3.85546875" style="1" customWidth="1"/>
    <col min="7698" max="7698" width="2" style="1" customWidth="1"/>
    <col min="7699" max="7699" width="15.5703125" style="1" customWidth="1"/>
    <col min="7700" max="7700" width="1.85546875" style="1" customWidth="1"/>
    <col min="7701" max="7701" width="15.5703125" style="1" customWidth="1"/>
    <col min="7702" max="7702" width="1.85546875" style="1" customWidth="1"/>
    <col min="7703" max="7703" width="15.5703125" style="1" customWidth="1"/>
    <col min="7704" max="7704" width="1.85546875" style="1" customWidth="1"/>
    <col min="7705" max="7705" width="15.5703125" style="1" customWidth="1"/>
    <col min="7706" max="7706" width="3.140625" style="1" customWidth="1"/>
    <col min="7707" max="7707" width="15.5703125" style="1" customWidth="1"/>
    <col min="7708" max="7708" width="14.28515625" style="1" customWidth="1"/>
    <col min="7709" max="7709" width="15.5703125" style="1" customWidth="1"/>
    <col min="7710" max="7710" width="1.85546875" style="1" customWidth="1"/>
    <col min="7711" max="7711" width="15.5703125" style="1" customWidth="1"/>
    <col min="7712" max="7712" width="2.85546875" style="1" customWidth="1"/>
    <col min="7713" max="7945" width="13.85546875" style="1"/>
    <col min="7946" max="7946" width="7" style="1" customWidth="1"/>
    <col min="7947" max="7947" width="16.5703125" style="1" customWidth="1"/>
    <col min="7948" max="7948" width="4.28515625" style="1" customWidth="1"/>
    <col min="7949" max="7949" width="6.85546875" style="1" customWidth="1"/>
    <col min="7950" max="7951" width="2.28515625" style="1" customWidth="1"/>
    <col min="7952" max="7952" width="10.85546875" style="1" customWidth="1"/>
    <col min="7953" max="7953" width="3.85546875" style="1" customWidth="1"/>
    <col min="7954" max="7954" width="2" style="1" customWidth="1"/>
    <col min="7955" max="7955" width="15.5703125" style="1" customWidth="1"/>
    <col min="7956" max="7956" width="1.85546875" style="1" customWidth="1"/>
    <col min="7957" max="7957" width="15.5703125" style="1" customWidth="1"/>
    <col min="7958" max="7958" width="1.85546875" style="1" customWidth="1"/>
    <col min="7959" max="7959" width="15.5703125" style="1" customWidth="1"/>
    <col min="7960" max="7960" width="1.85546875" style="1" customWidth="1"/>
    <col min="7961" max="7961" width="15.5703125" style="1" customWidth="1"/>
    <col min="7962" max="7962" width="3.140625" style="1" customWidth="1"/>
    <col min="7963" max="7963" width="15.5703125" style="1" customWidth="1"/>
    <col min="7964" max="7964" width="14.28515625" style="1" customWidth="1"/>
    <col min="7965" max="7965" width="15.5703125" style="1" customWidth="1"/>
    <col min="7966" max="7966" width="1.85546875" style="1" customWidth="1"/>
    <col min="7967" max="7967" width="15.5703125" style="1" customWidth="1"/>
    <col min="7968" max="7968" width="2.85546875" style="1" customWidth="1"/>
    <col min="7969" max="8201" width="13.85546875" style="1"/>
    <col min="8202" max="8202" width="7" style="1" customWidth="1"/>
    <col min="8203" max="8203" width="16.5703125" style="1" customWidth="1"/>
    <col min="8204" max="8204" width="4.28515625" style="1" customWidth="1"/>
    <col min="8205" max="8205" width="6.85546875" style="1" customWidth="1"/>
    <col min="8206" max="8207" width="2.28515625" style="1" customWidth="1"/>
    <col min="8208" max="8208" width="10.85546875" style="1" customWidth="1"/>
    <col min="8209" max="8209" width="3.85546875" style="1" customWidth="1"/>
    <col min="8210" max="8210" width="2" style="1" customWidth="1"/>
    <col min="8211" max="8211" width="15.5703125" style="1" customWidth="1"/>
    <col min="8212" max="8212" width="1.85546875" style="1" customWidth="1"/>
    <col min="8213" max="8213" width="15.5703125" style="1" customWidth="1"/>
    <col min="8214" max="8214" width="1.85546875" style="1" customWidth="1"/>
    <col min="8215" max="8215" width="15.5703125" style="1" customWidth="1"/>
    <col min="8216" max="8216" width="1.85546875" style="1" customWidth="1"/>
    <col min="8217" max="8217" width="15.5703125" style="1" customWidth="1"/>
    <col min="8218" max="8218" width="3.140625" style="1" customWidth="1"/>
    <col min="8219" max="8219" width="15.5703125" style="1" customWidth="1"/>
    <col min="8220" max="8220" width="14.28515625" style="1" customWidth="1"/>
    <col min="8221" max="8221" width="15.5703125" style="1" customWidth="1"/>
    <col min="8222" max="8222" width="1.85546875" style="1" customWidth="1"/>
    <col min="8223" max="8223" width="15.5703125" style="1" customWidth="1"/>
    <col min="8224" max="8224" width="2.85546875" style="1" customWidth="1"/>
    <col min="8225" max="8457" width="13.85546875" style="1"/>
    <col min="8458" max="8458" width="7" style="1" customWidth="1"/>
    <col min="8459" max="8459" width="16.5703125" style="1" customWidth="1"/>
    <col min="8460" max="8460" width="4.28515625" style="1" customWidth="1"/>
    <col min="8461" max="8461" width="6.85546875" style="1" customWidth="1"/>
    <col min="8462" max="8463" width="2.28515625" style="1" customWidth="1"/>
    <col min="8464" max="8464" width="10.85546875" style="1" customWidth="1"/>
    <col min="8465" max="8465" width="3.85546875" style="1" customWidth="1"/>
    <col min="8466" max="8466" width="2" style="1" customWidth="1"/>
    <col min="8467" max="8467" width="15.5703125" style="1" customWidth="1"/>
    <col min="8468" max="8468" width="1.85546875" style="1" customWidth="1"/>
    <col min="8469" max="8469" width="15.5703125" style="1" customWidth="1"/>
    <col min="8470" max="8470" width="1.85546875" style="1" customWidth="1"/>
    <col min="8471" max="8471" width="15.5703125" style="1" customWidth="1"/>
    <col min="8472" max="8472" width="1.85546875" style="1" customWidth="1"/>
    <col min="8473" max="8473" width="15.5703125" style="1" customWidth="1"/>
    <col min="8474" max="8474" width="3.140625" style="1" customWidth="1"/>
    <col min="8475" max="8475" width="15.5703125" style="1" customWidth="1"/>
    <col min="8476" max="8476" width="14.28515625" style="1" customWidth="1"/>
    <col min="8477" max="8477" width="15.5703125" style="1" customWidth="1"/>
    <col min="8478" max="8478" width="1.85546875" style="1" customWidth="1"/>
    <col min="8479" max="8479" width="15.5703125" style="1" customWidth="1"/>
    <col min="8480" max="8480" width="2.85546875" style="1" customWidth="1"/>
    <col min="8481" max="8713" width="13.85546875" style="1"/>
    <col min="8714" max="8714" width="7" style="1" customWidth="1"/>
    <col min="8715" max="8715" width="16.5703125" style="1" customWidth="1"/>
    <col min="8716" max="8716" width="4.28515625" style="1" customWidth="1"/>
    <col min="8717" max="8717" width="6.85546875" style="1" customWidth="1"/>
    <col min="8718" max="8719" width="2.28515625" style="1" customWidth="1"/>
    <col min="8720" max="8720" width="10.85546875" style="1" customWidth="1"/>
    <col min="8721" max="8721" width="3.85546875" style="1" customWidth="1"/>
    <col min="8722" max="8722" width="2" style="1" customWidth="1"/>
    <col min="8723" max="8723" width="15.5703125" style="1" customWidth="1"/>
    <col min="8724" max="8724" width="1.85546875" style="1" customWidth="1"/>
    <col min="8725" max="8725" width="15.5703125" style="1" customWidth="1"/>
    <col min="8726" max="8726" width="1.85546875" style="1" customWidth="1"/>
    <col min="8727" max="8727" width="15.5703125" style="1" customWidth="1"/>
    <col min="8728" max="8728" width="1.85546875" style="1" customWidth="1"/>
    <col min="8729" max="8729" width="15.5703125" style="1" customWidth="1"/>
    <col min="8730" max="8730" width="3.140625" style="1" customWidth="1"/>
    <col min="8731" max="8731" width="15.5703125" style="1" customWidth="1"/>
    <col min="8732" max="8732" width="14.28515625" style="1" customWidth="1"/>
    <col min="8733" max="8733" width="15.5703125" style="1" customWidth="1"/>
    <col min="8734" max="8734" width="1.85546875" style="1" customWidth="1"/>
    <col min="8735" max="8735" width="15.5703125" style="1" customWidth="1"/>
    <col min="8736" max="8736" width="2.85546875" style="1" customWidth="1"/>
    <col min="8737" max="8969" width="13.85546875" style="1"/>
    <col min="8970" max="8970" width="7" style="1" customWidth="1"/>
    <col min="8971" max="8971" width="16.5703125" style="1" customWidth="1"/>
    <col min="8972" max="8972" width="4.28515625" style="1" customWidth="1"/>
    <col min="8973" max="8973" width="6.85546875" style="1" customWidth="1"/>
    <col min="8974" max="8975" width="2.28515625" style="1" customWidth="1"/>
    <col min="8976" max="8976" width="10.85546875" style="1" customWidth="1"/>
    <col min="8977" max="8977" width="3.85546875" style="1" customWidth="1"/>
    <col min="8978" max="8978" width="2" style="1" customWidth="1"/>
    <col min="8979" max="8979" width="15.5703125" style="1" customWidth="1"/>
    <col min="8980" max="8980" width="1.85546875" style="1" customWidth="1"/>
    <col min="8981" max="8981" width="15.5703125" style="1" customWidth="1"/>
    <col min="8982" max="8982" width="1.85546875" style="1" customWidth="1"/>
    <col min="8983" max="8983" width="15.5703125" style="1" customWidth="1"/>
    <col min="8984" max="8984" width="1.85546875" style="1" customWidth="1"/>
    <col min="8985" max="8985" width="15.5703125" style="1" customWidth="1"/>
    <col min="8986" max="8986" width="3.140625" style="1" customWidth="1"/>
    <col min="8987" max="8987" width="15.5703125" style="1" customWidth="1"/>
    <col min="8988" max="8988" width="14.28515625" style="1" customWidth="1"/>
    <col min="8989" max="8989" width="15.5703125" style="1" customWidth="1"/>
    <col min="8990" max="8990" width="1.85546875" style="1" customWidth="1"/>
    <col min="8991" max="8991" width="15.5703125" style="1" customWidth="1"/>
    <col min="8992" max="8992" width="2.85546875" style="1" customWidth="1"/>
    <col min="8993" max="9225" width="13.85546875" style="1"/>
    <col min="9226" max="9226" width="7" style="1" customWidth="1"/>
    <col min="9227" max="9227" width="16.5703125" style="1" customWidth="1"/>
    <col min="9228" max="9228" width="4.28515625" style="1" customWidth="1"/>
    <col min="9229" max="9229" width="6.85546875" style="1" customWidth="1"/>
    <col min="9230" max="9231" width="2.28515625" style="1" customWidth="1"/>
    <col min="9232" max="9232" width="10.85546875" style="1" customWidth="1"/>
    <col min="9233" max="9233" width="3.85546875" style="1" customWidth="1"/>
    <col min="9234" max="9234" width="2" style="1" customWidth="1"/>
    <col min="9235" max="9235" width="15.5703125" style="1" customWidth="1"/>
    <col min="9236" max="9236" width="1.85546875" style="1" customWidth="1"/>
    <col min="9237" max="9237" width="15.5703125" style="1" customWidth="1"/>
    <col min="9238" max="9238" width="1.85546875" style="1" customWidth="1"/>
    <col min="9239" max="9239" width="15.5703125" style="1" customWidth="1"/>
    <col min="9240" max="9240" width="1.85546875" style="1" customWidth="1"/>
    <col min="9241" max="9241" width="15.5703125" style="1" customWidth="1"/>
    <col min="9242" max="9242" width="3.140625" style="1" customWidth="1"/>
    <col min="9243" max="9243" width="15.5703125" style="1" customWidth="1"/>
    <col min="9244" max="9244" width="14.28515625" style="1" customWidth="1"/>
    <col min="9245" max="9245" width="15.5703125" style="1" customWidth="1"/>
    <col min="9246" max="9246" width="1.85546875" style="1" customWidth="1"/>
    <col min="9247" max="9247" width="15.5703125" style="1" customWidth="1"/>
    <col min="9248" max="9248" width="2.85546875" style="1" customWidth="1"/>
    <col min="9249" max="9481" width="13.85546875" style="1"/>
    <col min="9482" max="9482" width="7" style="1" customWidth="1"/>
    <col min="9483" max="9483" width="16.5703125" style="1" customWidth="1"/>
    <col min="9484" max="9484" width="4.28515625" style="1" customWidth="1"/>
    <col min="9485" max="9485" width="6.85546875" style="1" customWidth="1"/>
    <col min="9486" max="9487" width="2.28515625" style="1" customWidth="1"/>
    <col min="9488" max="9488" width="10.85546875" style="1" customWidth="1"/>
    <col min="9489" max="9489" width="3.85546875" style="1" customWidth="1"/>
    <col min="9490" max="9490" width="2" style="1" customWidth="1"/>
    <col min="9491" max="9491" width="15.5703125" style="1" customWidth="1"/>
    <col min="9492" max="9492" width="1.85546875" style="1" customWidth="1"/>
    <col min="9493" max="9493" width="15.5703125" style="1" customWidth="1"/>
    <col min="9494" max="9494" width="1.85546875" style="1" customWidth="1"/>
    <col min="9495" max="9495" width="15.5703125" style="1" customWidth="1"/>
    <col min="9496" max="9496" width="1.85546875" style="1" customWidth="1"/>
    <col min="9497" max="9497" width="15.5703125" style="1" customWidth="1"/>
    <col min="9498" max="9498" width="3.140625" style="1" customWidth="1"/>
    <col min="9499" max="9499" width="15.5703125" style="1" customWidth="1"/>
    <col min="9500" max="9500" width="14.28515625" style="1" customWidth="1"/>
    <col min="9501" max="9501" width="15.5703125" style="1" customWidth="1"/>
    <col min="9502" max="9502" width="1.85546875" style="1" customWidth="1"/>
    <col min="9503" max="9503" width="15.5703125" style="1" customWidth="1"/>
    <col min="9504" max="9504" width="2.85546875" style="1" customWidth="1"/>
    <col min="9505" max="9737" width="13.85546875" style="1"/>
    <col min="9738" max="9738" width="7" style="1" customWidth="1"/>
    <col min="9739" max="9739" width="16.5703125" style="1" customWidth="1"/>
    <col min="9740" max="9740" width="4.28515625" style="1" customWidth="1"/>
    <col min="9741" max="9741" width="6.85546875" style="1" customWidth="1"/>
    <col min="9742" max="9743" width="2.28515625" style="1" customWidth="1"/>
    <col min="9744" max="9744" width="10.85546875" style="1" customWidth="1"/>
    <col min="9745" max="9745" width="3.85546875" style="1" customWidth="1"/>
    <col min="9746" max="9746" width="2" style="1" customWidth="1"/>
    <col min="9747" max="9747" width="15.5703125" style="1" customWidth="1"/>
    <col min="9748" max="9748" width="1.85546875" style="1" customWidth="1"/>
    <col min="9749" max="9749" width="15.5703125" style="1" customWidth="1"/>
    <col min="9750" max="9750" width="1.85546875" style="1" customWidth="1"/>
    <col min="9751" max="9751" width="15.5703125" style="1" customWidth="1"/>
    <col min="9752" max="9752" width="1.85546875" style="1" customWidth="1"/>
    <col min="9753" max="9753" width="15.5703125" style="1" customWidth="1"/>
    <col min="9754" max="9754" width="3.140625" style="1" customWidth="1"/>
    <col min="9755" max="9755" width="15.5703125" style="1" customWidth="1"/>
    <col min="9756" max="9756" width="14.28515625" style="1" customWidth="1"/>
    <col min="9757" max="9757" width="15.5703125" style="1" customWidth="1"/>
    <col min="9758" max="9758" width="1.85546875" style="1" customWidth="1"/>
    <col min="9759" max="9759" width="15.5703125" style="1" customWidth="1"/>
    <col min="9760" max="9760" width="2.85546875" style="1" customWidth="1"/>
    <col min="9761" max="9993" width="13.85546875" style="1"/>
    <col min="9994" max="9994" width="7" style="1" customWidth="1"/>
    <col min="9995" max="9995" width="16.5703125" style="1" customWidth="1"/>
    <col min="9996" max="9996" width="4.28515625" style="1" customWidth="1"/>
    <col min="9997" max="9997" width="6.85546875" style="1" customWidth="1"/>
    <col min="9998" max="9999" width="2.28515625" style="1" customWidth="1"/>
    <col min="10000" max="10000" width="10.85546875" style="1" customWidth="1"/>
    <col min="10001" max="10001" width="3.85546875" style="1" customWidth="1"/>
    <col min="10002" max="10002" width="2" style="1" customWidth="1"/>
    <col min="10003" max="10003" width="15.5703125" style="1" customWidth="1"/>
    <col min="10004" max="10004" width="1.85546875" style="1" customWidth="1"/>
    <col min="10005" max="10005" width="15.5703125" style="1" customWidth="1"/>
    <col min="10006" max="10006" width="1.85546875" style="1" customWidth="1"/>
    <col min="10007" max="10007" width="15.5703125" style="1" customWidth="1"/>
    <col min="10008" max="10008" width="1.85546875" style="1" customWidth="1"/>
    <col min="10009" max="10009" width="15.5703125" style="1" customWidth="1"/>
    <col min="10010" max="10010" width="3.140625" style="1" customWidth="1"/>
    <col min="10011" max="10011" width="15.5703125" style="1" customWidth="1"/>
    <col min="10012" max="10012" width="14.28515625" style="1" customWidth="1"/>
    <col min="10013" max="10013" width="15.5703125" style="1" customWidth="1"/>
    <col min="10014" max="10014" width="1.85546875" style="1" customWidth="1"/>
    <col min="10015" max="10015" width="15.5703125" style="1" customWidth="1"/>
    <col min="10016" max="10016" width="2.85546875" style="1" customWidth="1"/>
    <col min="10017" max="10249" width="13.85546875" style="1"/>
    <col min="10250" max="10250" width="7" style="1" customWidth="1"/>
    <col min="10251" max="10251" width="16.5703125" style="1" customWidth="1"/>
    <col min="10252" max="10252" width="4.28515625" style="1" customWidth="1"/>
    <col min="10253" max="10253" width="6.85546875" style="1" customWidth="1"/>
    <col min="10254" max="10255" width="2.28515625" style="1" customWidth="1"/>
    <col min="10256" max="10256" width="10.85546875" style="1" customWidth="1"/>
    <col min="10257" max="10257" width="3.85546875" style="1" customWidth="1"/>
    <col min="10258" max="10258" width="2" style="1" customWidth="1"/>
    <col min="10259" max="10259" width="15.5703125" style="1" customWidth="1"/>
    <col min="10260" max="10260" width="1.85546875" style="1" customWidth="1"/>
    <col min="10261" max="10261" width="15.5703125" style="1" customWidth="1"/>
    <col min="10262" max="10262" width="1.85546875" style="1" customWidth="1"/>
    <col min="10263" max="10263" width="15.5703125" style="1" customWidth="1"/>
    <col min="10264" max="10264" width="1.85546875" style="1" customWidth="1"/>
    <col min="10265" max="10265" width="15.5703125" style="1" customWidth="1"/>
    <col min="10266" max="10266" width="3.140625" style="1" customWidth="1"/>
    <col min="10267" max="10267" width="15.5703125" style="1" customWidth="1"/>
    <col min="10268" max="10268" width="14.28515625" style="1" customWidth="1"/>
    <col min="10269" max="10269" width="15.5703125" style="1" customWidth="1"/>
    <col min="10270" max="10270" width="1.85546875" style="1" customWidth="1"/>
    <col min="10271" max="10271" width="15.5703125" style="1" customWidth="1"/>
    <col min="10272" max="10272" width="2.85546875" style="1" customWidth="1"/>
    <col min="10273" max="10505" width="13.85546875" style="1"/>
    <col min="10506" max="10506" width="7" style="1" customWidth="1"/>
    <col min="10507" max="10507" width="16.5703125" style="1" customWidth="1"/>
    <col min="10508" max="10508" width="4.28515625" style="1" customWidth="1"/>
    <col min="10509" max="10509" width="6.85546875" style="1" customWidth="1"/>
    <col min="10510" max="10511" width="2.28515625" style="1" customWidth="1"/>
    <col min="10512" max="10512" width="10.85546875" style="1" customWidth="1"/>
    <col min="10513" max="10513" width="3.85546875" style="1" customWidth="1"/>
    <col min="10514" max="10514" width="2" style="1" customWidth="1"/>
    <col min="10515" max="10515" width="15.5703125" style="1" customWidth="1"/>
    <col min="10516" max="10516" width="1.85546875" style="1" customWidth="1"/>
    <col min="10517" max="10517" width="15.5703125" style="1" customWidth="1"/>
    <col min="10518" max="10518" width="1.85546875" style="1" customWidth="1"/>
    <col min="10519" max="10519" width="15.5703125" style="1" customWidth="1"/>
    <col min="10520" max="10520" width="1.85546875" style="1" customWidth="1"/>
    <col min="10521" max="10521" width="15.5703125" style="1" customWidth="1"/>
    <col min="10522" max="10522" width="3.140625" style="1" customWidth="1"/>
    <col min="10523" max="10523" width="15.5703125" style="1" customWidth="1"/>
    <col min="10524" max="10524" width="14.28515625" style="1" customWidth="1"/>
    <col min="10525" max="10525" width="15.5703125" style="1" customWidth="1"/>
    <col min="10526" max="10526" width="1.85546875" style="1" customWidth="1"/>
    <col min="10527" max="10527" width="15.5703125" style="1" customWidth="1"/>
    <col min="10528" max="10528" width="2.85546875" style="1" customWidth="1"/>
    <col min="10529" max="10761" width="13.85546875" style="1"/>
    <col min="10762" max="10762" width="7" style="1" customWidth="1"/>
    <col min="10763" max="10763" width="16.5703125" style="1" customWidth="1"/>
    <col min="10764" max="10764" width="4.28515625" style="1" customWidth="1"/>
    <col min="10765" max="10765" width="6.85546875" style="1" customWidth="1"/>
    <col min="10766" max="10767" width="2.28515625" style="1" customWidth="1"/>
    <col min="10768" max="10768" width="10.85546875" style="1" customWidth="1"/>
    <col min="10769" max="10769" width="3.85546875" style="1" customWidth="1"/>
    <col min="10770" max="10770" width="2" style="1" customWidth="1"/>
    <col min="10771" max="10771" width="15.5703125" style="1" customWidth="1"/>
    <col min="10772" max="10772" width="1.85546875" style="1" customWidth="1"/>
    <col min="10773" max="10773" width="15.5703125" style="1" customWidth="1"/>
    <col min="10774" max="10774" width="1.85546875" style="1" customWidth="1"/>
    <col min="10775" max="10775" width="15.5703125" style="1" customWidth="1"/>
    <col min="10776" max="10776" width="1.85546875" style="1" customWidth="1"/>
    <col min="10777" max="10777" width="15.5703125" style="1" customWidth="1"/>
    <col min="10778" max="10778" width="3.140625" style="1" customWidth="1"/>
    <col min="10779" max="10779" width="15.5703125" style="1" customWidth="1"/>
    <col min="10780" max="10780" width="14.28515625" style="1" customWidth="1"/>
    <col min="10781" max="10781" width="15.5703125" style="1" customWidth="1"/>
    <col min="10782" max="10782" width="1.85546875" style="1" customWidth="1"/>
    <col min="10783" max="10783" width="15.5703125" style="1" customWidth="1"/>
    <col min="10784" max="10784" width="2.85546875" style="1" customWidth="1"/>
    <col min="10785" max="11017" width="13.85546875" style="1"/>
    <col min="11018" max="11018" width="7" style="1" customWidth="1"/>
    <col min="11019" max="11019" width="16.5703125" style="1" customWidth="1"/>
    <col min="11020" max="11020" width="4.28515625" style="1" customWidth="1"/>
    <col min="11021" max="11021" width="6.85546875" style="1" customWidth="1"/>
    <col min="11022" max="11023" width="2.28515625" style="1" customWidth="1"/>
    <col min="11024" max="11024" width="10.85546875" style="1" customWidth="1"/>
    <col min="11025" max="11025" width="3.85546875" style="1" customWidth="1"/>
    <col min="11026" max="11026" width="2" style="1" customWidth="1"/>
    <col min="11027" max="11027" width="15.5703125" style="1" customWidth="1"/>
    <col min="11028" max="11028" width="1.85546875" style="1" customWidth="1"/>
    <col min="11029" max="11029" width="15.5703125" style="1" customWidth="1"/>
    <col min="11030" max="11030" width="1.85546875" style="1" customWidth="1"/>
    <col min="11031" max="11031" width="15.5703125" style="1" customWidth="1"/>
    <col min="11032" max="11032" width="1.85546875" style="1" customWidth="1"/>
    <col min="11033" max="11033" width="15.5703125" style="1" customWidth="1"/>
    <col min="11034" max="11034" width="3.140625" style="1" customWidth="1"/>
    <col min="11035" max="11035" width="15.5703125" style="1" customWidth="1"/>
    <col min="11036" max="11036" width="14.28515625" style="1" customWidth="1"/>
    <col min="11037" max="11037" width="15.5703125" style="1" customWidth="1"/>
    <col min="11038" max="11038" width="1.85546875" style="1" customWidth="1"/>
    <col min="11039" max="11039" width="15.5703125" style="1" customWidth="1"/>
    <col min="11040" max="11040" width="2.85546875" style="1" customWidth="1"/>
    <col min="11041" max="11273" width="13.85546875" style="1"/>
    <col min="11274" max="11274" width="7" style="1" customWidth="1"/>
    <col min="11275" max="11275" width="16.5703125" style="1" customWidth="1"/>
    <col min="11276" max="11276" width="4.28515625" style="1" customWidth="1"/>
    <col min="11277" max="11277" width="6.85546875" style="1" customWidth="1"/>
    <col min="11278" max="11279" width="2.28515625" style="1" customWidth="1"/>
    <col min="11280" max="11280" width="10.85546875" style="1" customWidth="1"/>
    <col min="11281" max="11281" width="3.85546875" style="1" customWidth="1"/>
    <col min="11282" max="11282" width="2" style="1" customWidth="1"/>
    <col min="11283" max="11283" width="15.5703125" style="1" customWidth="1"/>
    <col min="11284" max="11284" width="1.85546875" style="1" customWidth="1"/>
    <col min="11285" max="11285" width="15.5703125" style="1" customWidth="1"/>
    <col min="11286" max="11286" width="1.85546875" style="1" customWidth="1"/>
    <col min="11287" max="11287" width="15.5703125" style="1" customWidth="1"/>
    <col min="11288" max="11288" width="1.85546875" style="1" customWidth="1"/>
    <col min="11289" max="11289" width="15.5703125" style="1" customWidth="1"/>
    <col min="11290" max="11290" width="3.140625" style="1" customWidth="1"/>
    <col min="11291" max="11291" width="15.5703125" style="1" customWidth="1"/>
    <col min="11292" max="11292" width="14.28515625" style="1" customWidth="1"/>
    <col min="11293" max="11293" width="15.5703125" style="1" customWidth="1"/>
    <col min="11294" max="11294" width="1.85546875" style="1" customWidth="1"/>
    <col min="11295" max="11295" width="15.5703125" style="1" customWidth="1"/>
    <col min="11296" max="11296" width="2.85546875" style="1" customWidth="1"/>
    <col min="11297" max="11529" width="13.85546875" style="1"/>
    <col min="11530" max="11530" width="7" style="1" customWidth="1"/>
    <col min="11531" max="11531" width="16.5703125" style="1" customWidth="1"/>
    <col min="11532" max="11532" width="4.28515625" style="1" customWidth="1"/>
    <col min="11533" max="11533" width="6.85546875" style="1" customWidth="1"/>
    <col min="11534" max="11535" width="2.28515625" style="1" customWidth="1"/>
    <col min="11536" max="11536" width="10.85546875" style="1" customWidth="1"/>
    <col min="11537" max="11537" width="3.85546875" style="1" customWidth="1"/>
    <col min="11538" max="11538" width="2" style="1" customWidth="1"/>
    <col min="11539" max="11539" width="15.5703125" style="1" customWidth="1"/>
    <col min="11540" max="11540" width="1.85546875" style="1" customWidth="1"/>
    <col min="11541" max="11541" width="15.5703125" style="1" customWidth="1"/>
    <col min="11542" max="11542" width="1.85546875" style="1" customWidth="1"/>
    <col min="11543" max="11543" width="15.5703125" style="1" customWidth="1"/>
    <col min="11544" max="11544" width="1.85546875" style="1" customWidth="1"/>
    <col min="11545" max="11545" width="15.5703125" style="1" customWidth="1"/>
    <col min="11546" max="11546" width="3.140625" style="1" customWidth="1"/>
    <col min="11547" max="11547" width="15.5703125" style="1" customWidth="1"/>
    <col min="11548" max="11548" width="14.28515625" style="1" customWidth="1"/>
    <col min="11549" max="11549" width="15.5703125" style="1" customWidth="1"/>
    <col min="11550" max="11550" width="1.85546875" style="1" customWidth="1"/>
    <col min="11551" max="11551" width="15.5703125" style="1" customWidth="1"/>
    <col min="11552" max="11552" width="2.85546875" style="1" customWidth="1"/>
    <col min="11553" max="11785" width="13.85546875" style="1"/>
    <col min="11786" max="11786" width="7" style="1" customWidth="1"/>
    <col min="11787" max="11787" width="16.5703125" style="1" customWidth="1"/>
    <col min="11788" max="11788" width="4.28515625" style="1" customWidth="1"/>
    <col min="11789" max="11789" width="6.85546875" style="1" customWidth="1"/>
    <col min="11790" max="11791" width="2.28515625" style="1" customWidth="1"/>
    <col min="11792" max="11792" width="10.85546875" style="1" customWidth="1"/>
    <col min="11793" max="11793" width="3.85546875" style="1" customWidth="1"/>
    <col min="11794" max="11794" width="2" style="1" customWidth="1"/>
    <col min="11795" max="11795" width="15.5703125" style="1" customWidth="1"/>
    <col min="11796" max="11796" width="1.85546875" style="1" customWidth="1"/>
    <col min="11797" max="11797" width="15.5703125" style="1" customWidth="1"/>
    <col min="11798" max="11798" width="1.85546875" style="1" customWidth="1"/>
    <col min="11799" max="11799" width="15.5703125" style="1" customWidth="1"/>
    <col min="11800" max="11800" width="1.85546875" style="1" customWidth="1"/>
    <col min="11801" max="11801" width="15.5703125" style="1" customWidth="1"/>
    <col min="11802" max="11802" width="3.140625" style="1" customWidth="1"/>
    <col min="11803" max="11803" width="15.5703125" style="1" customWidth="1"/>
    <col min="11804" max="11804" width="14.28515625" style="1" customWidth="1"/>
    <col min="11805" max="11805" width="15.5703125" style="1" customWidth="1"/>
    <col min="11806" max="11806" width="1.85546875" style="1" customWidth="1"/>
    <col min="11807" max="11807" width="15.5703125" style="1" customWidth="1"/>
    <col min="11808" max="11808" width="2.85546875" style="1" customWidth="1"/>
    <col min="11809" max="12041" width="13.85546875" style="1"/>
    <col min="12042" max="12042" width="7" style="1" customWidth="1"/>
    <col min="12043" max="12043" width="16.5703125" style="1" customWidth="1"/>
    <col min="12044" max="12044" width="4.28515625" style="1" customWidth="1"/>
    <col min="12045" max="12045" width="6.85546875" style="1" customWidth="1"/>
    <col min="12046" max="12047" width="2.28515625" style="1" customWidth="1"/>
    <col min="12048" max="12048" width="10.85546875" style="1" customWidth="1"/>
    <col min="12049" max="12049" width="3.85546875" style="1" customWidth="1"/>
    <col min="12050" max="12050" width="2" style="1" customWidth="1"/>
    <col min="12051" max="12051" width="15.5703125" style="1" customWidth="1"/>
    <col min="12052" max="12052" width="1.85546875" style="1" customWidth="1"/>
    <col min="12053" max="12053" width="15.5703125" style="1" customWidth="1"/>
    <col min="12054" max="12054" width="1.85546875" style="1" customWidth="1"/>
    <col min="12055" max="12055" width="15.5703125" style="1" customWidth="1"/>
    <col min="12056" max="12056" width="1.85546875" style="1" customWidth="1"/>
    <col min="12057" max="12057" width="15.5703125" style="1" customWidth="1"/>
    <col min="12058" max="12058" width="3.140625" style="1" customWidth="1"/>
    <col min="12059" max="12059" width="15.5703125" style="1" customWidth="1"/>
    <col min="12060" max="12060" width="14.28515625" style="1" customWidth="1"/>
    <col min="12061" max="12061" width="15.5703125" style="1" customWidth="1"/>
    <col min="12062" max="12062" width="1.85546875" style="1" customWidth="1"/>
    <col min="12063" max="12063" width="15.5703125" style="1" customWidth="1"/>
    <col min="12064" max="12064" width="2.85546875" style="1" customWidth="1"/>
    <col min="12065" max="12297" width="13.85546875" style="1"/>
    <col min="12298" max="12298" width="7" style="1" customWidth="1"/>
    <col min="12299" max="12299" width="16.5703125" style="1" customWidth="1"/>
    <col min="12300" max="12300" width="4.28515625" style="1" customWidth="1"/>
    <col min="12301" max="12301" width="6.85546875" style="1" customWidth="1"/>
    <col min="12302" max="12303" width="2.28515625" style="1" customWidth="1"/>
    <col min="12304" max="12304" width="10.85546875" style="1" customWidth="1"/>
    <col min="12305" max="12305" width="3.85546875" style="1" customWidth="1"/>
    <col min="12306" max="12306" width="2" style="1" customWidth="1"/>
    <col min="12307" max="12307" width="15.5703125" style="1" customWidth="1"/>
    <col min="12308" max="12308" width="1.85546875" style="1" customWidth="1"/>
    <col min="12309" max="12309" width="15.5703125" style="1" customWidth="1"/>
    <col min="12310" max="12310" width="1.85546875" style="1" customWidth="1"/>
    <col min="12311" max="12311" width="15.5703125" style="1" customWidth="1"/>
    <col min="12312" max="12312" width="1.85546875" style="1" customWidth="1"/>
    <col min="12313" max="12313" width="15.5703125" style="1" customWidth="1"/>
    <col min="12314" max="12314" width="3.140625" style="1" customWidth="1"/>
    <col min="12315" max="12315" width="15.5703125" style="1" customWidth="1"/>
    <col min="12316" max="12316" width="14.28515625" style="1" customWidth="1"/>
    <col min="12317" max="12317" width="15.5703125" style="1" customWidth="1"/>
    <col min="12318" max="12318" width="1.85546875" style="1" customWidth="1"/>
    <col min="12319" max="12319" width="15.5703125" style="1" customWidth="1"/>
    <col min="12320" max="12320" width="2.85546875" style="1" customWidth="1"/>
    <col min="12321" max="12553" width="13.85546875" style="1"/>
    <col min="12554" max="12554" width="7" style="1" customWidth="1"/>
    <col min="12555" max="12555" width="16.5703125" style="1" customWidth="1"/>
    <col min="12556" max="12556" width="4.28515625" style="1" customWidth="1"/>
    <col min="12557" max="12557" width="6.85546875" style="1" customWidth="1"/>
    <col min="12558" max="12559" width="2.28515625" style="1" customWidth="1"/>
    <col min="12560" max="12560" width="10.85546875" style="1" customWidth="1"/>
    <col min="12561" max="12561" width="3.85546875" style="1" customWidth="1"/>
    <col min="12562" max="12562" width="2" style="1" customWidth="1"/>
    <col min="12563" max="12563" width="15.5703125" style="1" customWidth="1"/>
    <col min="12564" max="12564" width="1.85546875" style="1" customWidth="1"/>
    <col min="12565" max="12565" width="15.5703125" style="1" customWidth="1"/>
    <col min="12566" max="12566" width="1.85546875" style="1" customWidth="1"/>
    <col min="12567" max="12567" width="15.5703125" style="1" customWidth="1"/>
    <col min="12568" max="12568" width="1.85546875" style="1" customWidth="1"/>
    <col min="12569" max="12569" width="15.5703125" style="1" customWidth="1"/>
    <col min="12570" max="12570" width="3.140625" style="1" customWidth="1"/>
    <col min="12571" max="12571" width="15.5703125" style="1" customWidth="1"/>
    <col min="12572" max="12572" width="14.28515625" style="1" customWidth="1"/>
    <col min="12573" max="12573" width="15.5703125" style="1" customWidth="1"/>
    <col min="12574" max="12574" width="1.85546875" style="1" customWidth="1"/>
    <col min="12575" max="12575" width="15.5703125" style="1" customWidth="1"/>
    <col min="12576" max="12576" width="2.85546875" style="1" customWidth="1"/>
    <col min="12577" max="12809" width="13.85546875" style="1"/>
    <col min="12810" max="12810" width="7" style="1" customWidth="1"/>
    <col min="12811" max="12811" width="16.5703125" style="1" customWidth="1"/>
    <col min="12812" max="12812" width="4.28515625" style="1" customWidth="1"/>
    <col min="12813" max="12813" width="6.85546875" style="1" customWidth="1"/>
    <col min="12814" max="12815" width="2.28515625" style="1" customWidth="1"/>
    <col min="12816" max="12816" width="10.85546875" style="1" customWidth="1"/>
    <col min="12817" max="12817" width="3.85546875" style="1" customWidth="1"/>
    <col min="12818" max="12818" width="2" style="1" customWidth="1"/>
    <col min="12819" max="12819" width="15.5703125" style="1" customWidth="1"/>
    <col min="12820" max="12820" width="1.85546875" style="1" customWidth="1"/>
    <col min="12821" max="12821" width="15.5703125" style="1" customWidth="1"/>
    <col min="12822" max="12822" width="1.85546875" style="1" customWidth="1"/>
    <col min="12823" max="12823" width="15.5703125" style="1" customWidth="1"/>
    <col min="12824" max="12824" width="1.85546875" style="1" customWidth="1"/>
    <col min="12825" max="12825" width="15.5703125" style="1" customWidth="1"/>
    <col min="12826" max="12826" width="3.140625" style="1" customWidth="1"/>
    <col min="12827" max="12827" width="15.5703125" style="1" customWidth="1"/>
    <col min="12828" max="12828" width="14.28515625" style="1" customWidth="1"/>
    <col min="12829" max="12829" width="15.5703125" style="1" customWidth="1"/>
    <col min="12830" max="12830" width="1.85546875" style="1" customWidth="1"/>
    <col min="12831" max="12831" width="15.5703125" style="1" customWidth="1"/>
    <col min="12832" max="12832" width="2.85546875" style="1" customWidth="1"/>
    <col min="12833" max="13065" width="13.85546875" style="1"/>
    <col min="13066" max="13066" width="7" style="1" customWidth="1"/>
    <col min="13067" max="13067" width="16.5703125" style="1" customWidth="1"/>
    <col min="13068" max="13068" width="4.28515625" style="1" customWidth="1"/>
    <col min="13069" max="13069" width="6.85546875" style="1" customWidth="1"/>
    <col min="13070" max="13071" width="2.28515625" style="1" customWidth="1"/>
    <col min="13072" max="13072" width="10.85546875" style="1" customWidth="1"/>
    <col min="13073" max="13073" width="3.85546875" style="1" customWidth="1"/>
    <col min="13074" max="13074" width="2" style="1" customWidth="1"/>
    <col min="13075" max="13075" width="15.5703125" style="1" customWidth="1"/>
    <col min="13076" max="13076" width="1.85546875" style="1" customWidth="1"/>
    <col min="13077" max="13077" width="15.5703125" style="1" customWidth="1"/>
    <col min="13078" max="13078" width="1.85546875" style="1" customWidth="1"/>
    <col min="13079" max="13079" width="15.5703125" style="1" customWidth="1"/>
    <col min="13080" max="13080" width="1.85546875" style="1" customWidth="1"/>
    <col min="13081" max="13081" width="15.5703125" style="1" customWidth="1"/>
    <col min="13082" max="13082" width="3.140625" style="1" customWidth="1"/>
    <col min="13083" max="13083" width="15.5703125" style="1" customWidth="1"/>
    <col min="13084" max="13084" width="14.28515625" style="1" customWidth="1"/>
    <col min="13085" max="13085" width="15.5703125" style="1" customWidth="1"/>
    <col min="13086" max="13086" width="1.85546875" style="1" customWidth="1"/>
    <col min="13087" max="13087" width="15.5703125" style="1" customWidth="1"/>
    <col min="13088" max="13088" width="2.85546875" style="1" customWidth="1"/>
    <col min="13089" max="13321" width="13.85546875" style="1"/>
    <col min="13322" max="13322" width="7" style="1" customWidth="1"/>
    <col min="13323" max="13323" width="16.5703125" style="1" customWidth="1"/>
    <col min="13324" max="13324" width="4.28515625" style="1" customWidth="1"/>
    <col min="13325" max="13325" width="6.85546875" style="1" customWidth="1"/>
    <col min="13326" max="13327" width="2.28515625" style="1" customWidth="1"/>
    <col min="13328" max="13328" width="10.85546875" style="1" customWidth="1"/>
    <col min="13329" max="13329" width="3.85546875" style="1" customWidth="1"/>
    <col min="13330" max="13330" width="2" style="1" customWidth="1"/>
    <col min="13331" max="13331" width="15.5703125" style="1" customWidth="1"/>
    <col min="13332" max="13332" width="1.85546875" style="1" customWidth="1"/>
    <col min="13333" max="13333" width="15.5703125" style="1" customWidth="1"/>
    <col min="13334" max="13334" width="1.85546875" style="1" customWidth="1"/>
    <col min="13335" max="13335" width="15.5703125" style="1" customWidth="1"/>
    <col min="13336" max="13336" width="1.85546875" style="1" customWidth="1"/>
    <col min="13337" max="13337" width="15.5703125" style="1" customWidth="1"/>
    <col min="13338" max="13338" width="3.140625" style="1" customWidth="1"/>
    <col min="13339" max="13339" width="15.5703125" style="1" customWidth="1"/>
    <col min="13340" max="13340" width="14.28515625" style="1" customWidth="1"/>
    <col min="13341" max="13341" width="15.5703125" style="1" customWidth="1"/>
    <col min="13342" max="13342" width="1.85546875" style="1" customWidth="1"/>
    <col min="13343" max="13343" width="15.5703125" style="1" customWidth="1"/>
    <col min="13344" max="13344" width="2.85546875" style="1" customWidth="1"/>
    <col min="13345" max="13577" width="13.85546875" style="1"/>
    <col min="13578" max="13578" width="7" style="1" customWidth="1"/>
    <col min="13579" max="13579" width="16.5703125" style="1" customWidth="1"/>
    <col min="13580" max="13580" width="4.28515625" style="1" customWidth="1"/>
    <col min="13581" max="13581" width="6.85546875" style="1" customWidth="1"/>
    <col min="13582" max="13583" width="2.28515625" style="1" customWidth="1"/>
    <col min="13584" max="13584" width="10.85546875" style="1" customWidth="1"/>
    <col min="13585" max="13585" width="3.85546875" style="1" customWidth="1"/>
    <col min="13586" max="13586" width="2" style="1" customWidth="1"/>
    <col min="13587" max="13587" width="15.5703125" style="1" customWidth="1"/>
    <col min="13588" max="13588" width="1.85546875" style="1" customWidth="1"/>
    <col min="13589" max="13589" width="15.5703125" style="1" customWidth="1"/>
    <col min="13590" max="13590" width="1.85546875" style="1" customWidth="1"/>
    <col min="13591" max="13591" width="15.5703125" style="1" customWidth="1"/>
    <col min="13592" max="13592" width="1.85546875" style="1" customWidth="1"/>
    <col min="13593" max="13593" width="15.5703125" style="1" customWidth="1"/>
    <col min="13594" max="13594" width="3.140625" style="1" customWidth="1"/>
    <col min="13595" max="13595" width="15.5703125" style="1" customWidth="1"/>
    <col min="13596" max="13596" width="14.28515625" style="1" customWidth="1"/>
    <col min="13597" max="13597" width="15.5703125" style="1" customWidth="1"/>
    <col min="13598" max="13598" width="1.85546875" style="1" customWidth="1"/>
    <col min="13599" max="13599" width="15.5703125" style="1" customWidth="1"/>
    <col min="13600" max="13600" width="2.85546875" style="1" customWidth="1"/>
    <col min="13601" max="13833" width="13.85546875" style="1"/>
    <col min="13834" max="13834" width="7" style="1" customWidth="1"/>
    <col min="13835" max="13835" width="16.5703125" style="1" customWidth="1"/>
    <col min="13836" max="13836" width="4.28515625" style="1" customWidth="1"/>
    <col min="13837" max="13837" width="6.85546875" style="1" customWidth="1"/>
    <col min="13838" max="13839" width="2.28515625" style="1" customWidth="1"/>
    <col min="13840" max="13840" width="10.85546875" style="1" customWidth="1"/>
    <col min="13841" max="13841" width="3.85546875" style="1" customWidth="1"/>
    <col min="13842" max="13842" width="2" style="1" customWidth="1"/>
    <col min="13843" max="13843" width="15.5703125" style="1" customWidth="1"/>
    <col min="13844" max="13844" width="1.85546875" style="1" customWidth="1"/>
    <col min="13845" max="13845" width="15.5703125" style="1" customWidth="1"/>
    <col min="13846" max="13846" width="1.85546875" style="1" customWidth="1"/>
    <col min="13847" max="13847" width="15.5703125" style="1" customWidth="1"/>
    <col min="13848" max="13848" width="1.85546875" style="1" customWidth="1"/>
    <col min="13849" max="13849" width="15.5703125" style="1" customWidth="1"/>
    <col min="13850" max="13850" width="3.140625" style="1" customWidth="1"/>
    <col min="13851" max="13851" width="15.5703125" style="1" customWidth="1"/>
    <col min="13852" max="13852" width="14.28515625" style="1" customWidth="1"/>
    <col min="13853" max="13853" width="15.5703125" style="1" customWidth="1"/>
    <col min="13854" max="13854" width="1.85546875" style="1" customWidth="1"/>
    <col min="13855" max="13855" width="15.5703125" style="1" customWidth="1"/>
    <col min="13856" max="13856" width="2.85546875" style="1" customWidth="1"/>
    <col min="13857" max="14089" width="13.85546875" style="1"/>
    <col min="14090" max="14090" width="7" style="1" customWidth="1"/>
    <col min="14091" max="14091" width="16.5703125" style="1" customWidth="1"/>
    <col min="14092" max="14092" width="4.28515625" style="1" customWidth="1"/>
    <col min="14093" max="14093" width="6.85546875" style="1" customWidth="1"/>
    <col min="14094" max="14095" width="2.28515625" style="1" customWidth="1"/>
    <col min="14096" max="14096" width="10.85546875" style="1" customWidth="1"/>
    <col min="14097" max="14097" width="3.85546875" style="1" customWidth="1"/>
    <col min="14098" max="14098" width="2" style="1" customWidth="1"/>
    <col min="14099" max="14099" width="15.5703125" style="1" customWidth="1"/>
    <col min="14100" max="14100" width="1.85546875" style="1" customWidth="1"/>
    <col min="14101" max="14101" width="15.5703125" style="1" customWidth="1"/>
    <col min="14102" max="14102" width="1.85546875" style="1" customWidth="1"/>
    <col min="14103" max="14103" width="15.5703125" style="1" customWidth="1"/>
    <col min="14104" max="14104" width="1.85546875" style="1" customWidth="1"/>
    <col min="14105" max="14105" width="15.5703125" style="1" customWidth="1"/>
    <col min="14106" max="14106" width="3.140625" style="1" customWidth="1"/>
    <col min="14107" max="14107" width="15.5703125" style="1" customWidth="1"/>
    <col min="14108" max="14108" width="14.28515625" style="1" customWidth="1"/>
    <col min="14109" max="14109" width="15.5703125" style="1" customWidth="1"/>
    <col min="14110" max="14110" width="1.85546875" style="1" customWidth="1"/>
    <col min="14111" max="14111" width="15.5703125" style="1" customWidth="1"/>
    <col min="14112" max="14112" width="2.85546875" style="1" customWidth="1"/>
    <col min="14113" max="14345" width="13.85546875" style="1"/>
    <col min="14346" max="14346" width="7" style="1" customWidth="1"/>
    <col min="14347" max="14347" width="16.5703125" style="1" customWidth="1"/>
    <col min="14348" max="14348" width="4.28515625" style="1" customWidth="1"/>
    <col min="14349" max="14349" width="6.85546875" style="1" customWidth="1"/>
    <col min="14350" max="14351" width="2.28515625" style="1" customWidth="1"/>
    <col min="14352" max="14352" width="10.85546875" style="1" customWidth="1"/>
    <col min="14353" max="14353" width="3.85546875" style="1" customWidth="1"/>
    <col min="14354" max="14354" width="2" style="1" customWidth="1"/>
    <col min="14355" max="14355" width="15.5703125" style="1" customWidth="1"/>
    <col min="14356" max="14356" width="1.85546875" style="1" customWidth="1"/>
    <col min="14357" max="14357" width="15.5703125" style="1" customWidth="1"/>
    <col min="14358" max="14358" width="1.85546875" style="1" customWidth="1"/>
    <col min="14359" max="14359" width="15.5703125" style="1" customWidth="1"/>
    <col min="14360" max="14360" width="1.85546875" style="1" customWidth="1"/>
    <col min="14361" max="14361" width="15.5703125" style="1" customWidth="1"/>
    <col min="14362" max="14362" width="3.140625" style="1" customWidth="1"/>
    <col min="14363" max="14363" width="15.5703125" style="1" customWidth="1"/>
    <col min="14364" max="14364" width="14.28515625" style="1" customWidth="1"/>
    <col min="14365" max="14365" width="15.5703125" style="1" customWidth="1"/>
    <col min="14366" max="14366" width="1.85546875" style="1" customWidth="1"/>
    <col min="14367" max="14367" width="15.5703125" style="1" customWidth="1"/>
    <col min="14368" max="14368" width="2.85546875" style="1" customWidth="1"/>
    <col min="14369" max="14601" width="13.85546875" style="1"/>
    <col min="14602" max="14602" width="7" style="1" customWidth="1"/>
    <col min="14603" max="14603" width="16.5703125" style="1" customWidth="1"/>
    <col min="14604" max="14604" width="4.28515625" style="1" customWidth="1"/>
    <col min="14605" max="14605" width="6.85546875" style="1" customWidth="1"/>
    <col min="14606" max="14607" width="2.28515625" style="1" customWidth="1"/>
    <col min="14608" max="14608" width="10.85546875" style="1" customWidth="1"/>
    <col min="14609" max="14609" width="3.85546875" style="1" customWidth="1"/>
    <col min="14610" max="14610" width="2" style="1" customWidth="1"/>
    <col min="14611" max="14611" width="15.5703125" style="1" customWidth="1"/>
    <col min="14612" max="14612" width="1.85546875" style="1" customWidth="1"/>
    <col min="14613" max="14613" width="15.5703125" style="1" customWidth="1"/>
    <col min="14614" max="14614" width="1.85546875" style="1" customWidth="1"/>
    <col min="14615" max="14615" width="15.5703125" style="1" customWidth="1"/>
    <col min="14616" max="14616" width="1.85546875" style="1" customWidth="1"/>
    <col min="14617" max="14617" width="15.5703125" style="1" customWidth="1"/>
    <col min="14618" max="14618" width="3.140625" style="1" customWidth="1"/>
    <col min="14619" max="14619" width="15.5703125" style="1" customWidth="1"/>
    <col min="14620" max="14620" width="14.28515625" style="1" customWidth="1"/>
    <col min="14621" max="14621" width="15.5703125" style="1" customWidth="1"/>
    <col min="14622" max="14622" width="1.85546875" style="1" customWidth="1"/>
    <col min="14623" max="14623" width="15.5703125" style="1" customWidth="1"/>
    <col min="14624" max="14624" width="2.85546875" style="1" customWidth="1"/>
    <col min="14625" max="14857" width="13.85546875" style="1"/>
    <col min="14858" max="14858" width="7" style="1" customWidth="1"/>
    <col min="14859" max="14859" width="16.5703125" style="1" customWidth="1"/>
    <col min="14860" max="14860" width="4.28515625" style="1" customWidth="1"/>
    <col min="14861" max="14861" width="6.85546875" style="1" customWidth="1"/>
    <col min="14862" max="14863" width="2.28515625" style="1" customWidth="1"/>
    <col min="14864" max="14864" width="10.85546875" style="1" customWidth="1"/>
    <col min="14865" max="14865" width="3.85546875" style="1" customWidth="1"/>
    <col min="14866" max="14866" width="2" style="1" customWidth="1"/>
    <col min="14867" max="14867" width="15.5703125" style="1" customWidth="1"/>
    <col min="14868" max="14868" width="1.85546875" style="1" customWidth="1"/>
    <col min="14869" max="14869" width="15.5703125" style="1" customWidth="1"/>
    <col min="14870" max="14870" width="1.85546875" style="1" customWidth="1"/>
    <col min="14871" max="14871" width="15.5703125" style="1" customWidth="1"/>
    <col min="14872" max="14872" width="1.85546875" style="1" customWidth="1"/>
    <col min="14873" max="14873" width="15.5703125" style="1" customWidth="1"/>
    <col min="14874" max="14874" width="3.140625" style="1" customWidth="1"/>
    <col min="14875" max="14875" width="15.5703125" style="1" customWidth="1"/>
    <col min="14876" max="14876" width="14.28515625" style="1" customWidth="1"/>
    <col min="14877" max="14877" width="15.5703125" style="1" customWidth="1"/>
    <col min="14878" max="14878" width="1.85546875" style="1" customWidth="1"/>
    <col min="14879" max="14879" width="15.5703125" style="1" customWidth="1"/>
    <col min="14880" max="14880" width="2.85546875" style="1" customWidth="1"/>
    <col min="14881" max="15113" width="13.85546875" style="1"/>
    <col min="15114" max="15114" width="7" style="1" customWidth="1"/>
    <col min="15115" max="15115" width="16.5703125" style="1" customWidth="1"/>
    <col min="15116" max="15116" width="4.28515625" style="1" customWidth="1"/>
    <col min="15117" max="15117" width="6.85546875" style="1" customWidth="1"/>
    <col min="15118" max="15119" width="2.28515625" style="1" customWidth="1"/>
    <col min="15120" max="15120" width="10.85546875" style="1" customWidth="1"/>
    <col min="15121" max="15121" width="3.85546875" style="1" customWidth="1"/>
    <col min="15122" max="15122" width="2" style="1" customWidth="1"/>
    <col min="15123" max="15123" width="15.5703125" style="1" customWidth="1"/>
    <col min="15124" max="15124" width="1.85546875" style="1" customWidth="1"/>
    <col min="15125" max="15125" width="15.5703125" style="1" customWidth="1"/>
    <col min="15126" max="15126" width="1.85546875" style="1" customWidth="1"/>
    <col min="15127" max="15127" width="15.5703125" style="1" customWidth="1"/>
    <col min="15128" max="15128" width="1.85546875" style="1" customWidth="1"/>
    <col min="15129" max="15129" width="15.5703125" style="1" customWidth="1"/>
    <col min="15130" max="15130" width="3.140625" style="1" customWidth="1"/>
    <col min="15131" max="15131" width="15.5703125" style="1" customWidth="1"/>
    <col min="15132" max="15132" width="14.28515625" style="1" customWidth="1"/>
    <col min="15133" max="15133" width="15.5703125" style="1" customWidth="1"/>
    <col min="15134" max="15134" width="1.85546875" style="1" customWidth="1"/>
    <col min="15135" max="15135" width="15.5703125" style="1" customWidth="1"/>
    <col min="15136" max="15136" width="2.85546875" style="1" customWidth="1"/>
    <col min="15137" max="15369" width="13.85546875" style="1"/>
    <col min="15370" max="15370" width="7" style="1" customWidth="1"/>
    <col min="15371" max="15371" width="16.5703125" style="1" customWidth="1"/>
    <col min="15372" max="15372" width="4.28515625" style="1" customWidth="1"/>
    <col min="15373" max="15373" width="6.85546875" style="1" customWidth="1"/>
    <col min="15374" max="15375" width="2.28515625" style="1" customWidth="1"/>
    <col min="15376" max="15376" width="10.85546875" style="1" customWidth="1"/>
    <col min="15377" max="15377" width="3.85546875" style="1" customWidth="1"/>
    <col min="15378" max="15378" width="2" style="1" customWidth="1"/>
    <col min="15379" max="15379" width="15.5703125" style="1" customWidth="1"/>
    <col min="15380" max="15380" width="1.85546875" style="1" customWidth="1"/>
    <col min="15381" max="15381" width="15.5703125" style="1" customWidth="1"/>
    <col min="15382" max="15382" width="1.85546875" style="1" customWidth="1"/>
    <col min="15383" max="15383" width="15.5703125" style="1" customWidth="1"/>
    <col min="15384" max="15384" width="1.85546875" style="1" customWidth="1"/>
    <col min="15385" max="15385" width="15.5703125" style="1" customWidth="1"/>
    <col min="15386" max="15386" width="3.140625" style="1" customWidth="1"/>
    <col min="15387" max="15387" width="15.5703125" style="1" customWidth="1"/>
    <col min="15388" max="15388" width="14.28515625" style="1" customWidth="1"/>
    <col min="15389" max="15389" width="15.5703125" style="1" customWidth="1"/>
    <col min="15390" max="15390" width="1.85546875" style="1" customWidth="1"/>
    <col min="15391" max="15391" width="15.5703125" style="1" customWidth="1"/>
    <col min="15392" max="15392" width="2.85546875" style="1" customWidth="1"/>
    <col min="15393" max="15625" width="13.85546875" style="1"/>
    <col min="15626" max="15626" width="7" style="1" customWidth="1"/>
    <col min="15627" max="15627" width="16.5703125" style="1" customWidth="1"/>
    <col min="15628" max="15628" width="4.28515625" style="1" customWidth="1"/>
    <col min="15629" max="15629" width="6.85546875" style="1" customWidth="1"/>
    <col min="15630" max="15631" width="2.28515625" style="1" customWidth="1"/>
    <col min="15632" max="15632" width="10.85546875" style="1" customWidth="1"/>
    <col min="15633" max="15633" width="3.85546875" style="1" customWidth="1"/>
    <col min="15634" max="15634" width="2" style="1" customWidth="1"/>
    <col min="15635" max="15635" width="15.5703125" style="1" customWidth="1"/>
    <col min="15636" max="15636" width="1.85546875" style="1" customWidth="1"/>
    <col min="15637" max="15637" width="15.5703125" style="1" customWidth="1"/>
    <col min="15638" max="15638" width="1.85546875" style="1" customWidth="1"/>
    <col min="15639" max="15639" width="15.5703125" style="1" customWidth="1"/>
    <col min="15640" max="15640" width="1.85546875" style="1" customWidth="1"/>
    <col min="15641" max="15641" width="15.5703125" style="1" customWidth="1"/>
    <col min="15642" max="15642" width="3.140625" style="1" customWidth="1"/>
    <col min="15643" max="15643" width="15.5703125" style="1" customWidth="1"/>
    <col min="15644" max="15644" width="14.28515625" style="1" customWidth="1"/>
    <col min="15645" max="15645" width="15.5703125" style="1" customWidth="1"/>
    <col min="15646" max="15646" width="1.85546875" style="1" customWidth="1"/>
    <col min="15647" max="15647" width="15.5703125" style="1" customWidth="1"/>
    <col min="15648" max="15648" width="2.85546875" style="1" customWidth="1"/>
    <col min="15649" max="15881" width="13.85546875" style="1"/>
    <col min="15882" max="15882" width="7" style="1" customWidth="1"/>
    <col min="15883" max="15883" width="16.5703125" style="1" customWidth="1"/>
    <col min="15884" max="15884" width="4.28515625" style="1" customWidth="1"/>
    <col min="15885" max="15885" width="6.85546875" style="1" customWidth="1"/>
    <col min="15886" max="15887" width="2.28515625" style="1" customWidth="1"/>
    <col min="15888" max="15888" width="10.85546875" style="1" customWidth="1"/>
    <col min="15889" max="15889" width="3.85546875" style="1" customWidth="1"/>
    <col min="15890" max="15890" width="2" style="1" customWidth="1"/>
    <col min="15891" max="15891" width="15.5703125" style="1" customWidth="1"/>
    <col min="15892" max="15892" width="1.85546875" style="1" customWidth="1"/>
    <col min="15893" max="15893" width="15.5703125" style="1" customWidth="1"/>
    <col min="15894" max="15894" width="1.85546875" style="1" customWidth="1"/>
    <col min="15895" max="15895" width="15.5703125" style="1" customWidth="1"/>
    <col min="15896" max="15896" width="1.85546875" style="1" customWidth="1"/>
    <col min="15897" max="15897" width="15.5703125" style="1" customWidth="1"/>
    <col min="15898" max="15898" width="3.140625" style="1" customWidth="1"/>
    <col min="15899" max="15899" width="15.5703125" style="1" customWidth="1"/>
    <col min="15900" max="15900" width="14.28515625" style="1" customWidth="1"/>
    <col min="15901" max="15901" width="15.5703125" style="1" customWidth="1"/>
    <col min="15902" max="15902" width="1.85546875" style="1" customWidth="1"/>
    <col min="15903" max="15903" width="15.5703125" style="1" customWidth="1"/>
    <col min="15904" max="15904" width="2.85546875" style="1" customWidth="1"/>
    <col min="15905" max="16137" width="13.85546875" style="1"/>
    <col min="16138" max="16138" width="7" style="1" customWidth="1"/>
    <col min="16139" max="16139" width="16.5703125" style="1" customWidth="1"/>
    <col min="16140" max="16140" width="4.28515625" style="1" customWidth="1"/>
    <col min="16141" max="16141" width="6.85546875" style="1" customWidth="1"/>
    <col min="16142" max="16143" width="2.28515625" style="1" customWidth="1"/>
    <col min="16144" max="16144" width="10.85546875" style="1" customWidth="1"/>
    <col min="16145" max="16145" width="3.85546875" style="1" customWidth="1"/>
    <col min="16146" max="16146" width="2" style="1" customWidth="1"/>
    <col min="16147" max="16147" width="15.5703125" style="1" customWidth="1"/>
    <col min="16148" max="16148" width="1.85546875" style="1" customWidth="1"/>
    <col min="16149" max="16149" width="15.5703125" style="1" customWidth="1"/>
    <col min="16150" max="16150" width="1.85546875" style="1" customWidth="1"/>
    <col min="16151" max="16151" width="15.5703125" style="1" customWidth="1"/>
    <col min="16152" max="16152" width="1.85546875" style="1" customWidth="1"/>
    <col min="16153" max="16153" width="15.5703125" style="1" customWidth="1"/>
    <col min="16154" max="16154" width="3.140625" style="1" customWidth="1"/>
    <col min="16155" max="16155" width="15.5703125" style="1" customWidth="1"/>
    <col min="16156" max="16156" width="14.28515625" style="1" customWidth="1"/>
    <col min="16157" max="16157" width="15.5703125" style="1" customWidth="1"/>
    <col min="16158" max="16158" width="1.85546875" style="1" customWidth="1"/>
    <col min="16159" max="16159" width="15.5703125" style="1" customWidth="1"/>
    <col min="16160" max="16160" width="2.85546875" style="1" customWidth="1"/>
    <col min="16161" max="16384" width="13.85546875" style="1"/>
  </cols>
  <sheetData>
    <row r="3" spans="1:32" s="13" customFormat="1" ht="15.75">
      <c r="A3" s="12" t="s">
        <v>1350</v>
      </c>
      <c r="I3" s="14" t="s">
        <v>1351</v>
      </c>
      <c r="K3" s="18" t="s">
        <v>1012</v>
      </c>
      <c r="M3" s="14" t="s">
        <v>1352</v>
      </c>
      <c r="N3" s="595"/>
      <c r="O3" s="16"/>
    </row>
    <row r="4" spans="1:32" s="13" customFormat="1" ht="15.75">
      <c r="A4" s="12" t="s">
        <v>1353</v>
      </c>
      <c r="M4" s="14" t="s">
        <v>642</v>
      </c>
      <c r="O4" s="18" t="s">
        <v>0</v>
      </c>
    </row>
    <row r="5" spans="1:32" s="13" customFormat="1" ht="15.75">
      <c r="A5" s="596" t="s">
        <v>1354</v>
      </c>
    </row>
    <row r="6" spans="1:32" s="13" customFormat="1" ht="15">
      <c r="A6" s="19"/>
      <c r="G6" s="597"/>
      <c r="H6" s="597"/>
      <c r="I6" s="597"/>
      <c r="J6" s="597"/>
      <c r="K6" s="597"/>
      <c r="L6" s="597"/>
      <c r="M6" s="597"/>
      <c r="N6" s="597"/>
      <c r="O6" s="597"/>
      <c r="P6" s="597"/>
      <c r="Q6" s="597"/>
      <c r="R6" s="597"/>
      <c r="S6" s="597"/>
      <c r="T6" s="597"/>
      <c r="U6" s="597"/>
      <c r="V6" s="597"/>
      <c r="W6" s="597"/>
      <c r="X6" s="597"/>
      <c r="Y6" s="597"/>
      <c r="Z6" s="597"/>
      <c r="AA6" s="597"/>
      <c r="AB6" s="597"/>
      <c r="AC6" s="597"/>
      <c r="AD6" s="597"/>
    </row>
    <row r="7" spans="1:32" s="20" customFormat="1" ht="15">
      <c r="AE7" s="13"/>
      <c r="AF7" s="13"/>
    </row>
    <row r="8" spans="1:32" s="20" customFormat="1" ht="15">
      <c r="AE8" s="13"/>
      <c r="AF8" s="13"/>
    </row>
    <row r="9" spans="1:32" s="20" customFormat="1" ht="15.75" thickBot="1">
      <c r="G9" s="24">
        <v>41733</v>
      </c>
      <c r="I9" s="24">
        <v>41764</v>
      </c>
      <c r="K9" s="24">
        <v>41796</v>
      </c>
      <c r="M9" s="24">
        <v>41827</v>
      </c>
      <c r="O9" s="24">
        <v>41859</v>
      </c>
      <c r="Q9" s="24">
        <v>41891</v>
      </c>
      <c r="S9" s="24">
        <v>41922</v>
      </c>
      <c r="U9" s="24">
        <v>41954</v>
      </c>
      <c r="W9" s="24">
        <v>41985</v>
      </c>
      <c r="Y9" s="24">
        <v>42005</v>
      </c>
      <c r="AA9" s="24">
        <v>42037</v>
      </c>
      <c r="AC9" s="24">
        <v>42066</v>
      </c>
      <c r="AE9" s="13"/>
    </row>
    <row r="10" spans="1:32" s="20" customFormat="1" ht="5.25" customHeight="1">
      <c r="C10" s="160"/>
      <c r="G10" s="161"/>
      <c r="I10" s="161"/>
      <c r="K10" s="161"/>
      <c r="M10" s="161"/>
      <c r="O10" s="161"/>
      <c r="Q10" s="161"/>
      <c r="S10" s="161"/>
      <c r="U10" s="161"/>
      <c r="W10" s="161"/>
      <c r="Y10" s="161"/>
      <c r="AA10" s="161"/>
      <c r="AC10" s="161"/>
      <c r="AE10" s="13"/>
    </row>
    <row r="11" spans="1:32" s="6" customFormat="1" ht="4.5" customHeight="1">
      <c r="AE11" s="13"/>
    </row>
    <row r="12" spans="1:32" s="6" customFormat="1" outlineLevel="1">
      <c r="A12" s="4">
        <v>10050</v>
      </c>
      <c r="B12" s="4" t="s">
        <v>287</v>
      </c>
      <c r="C12" s="5"/>
      <c r="D12" s="5"/>
      <c r="G12" s="159">
        <v>0</v>
      </c>
      <c r="I12" s="159">
        <v>0</v>
      </c>
      <c r="K12" s="159">
        <v>0</v>
      </c>
      <c r="M12" s="159">
        <v>0</v>
      </c>
      <c r="O12" s="159">
        <v>0</v>
      </c>
      <c r="Q12" s="159">
        <v>0</v>
      </c>
      <c r="S12" s="159">
        <v>0</v>
      </c>
      <c r="U12" s="159">
        <v>0</v>
      </c>
      <c r="W12" s="159">
        <v>0</v>
      </c>
      <c r="Y12" s="159">
        <v>0</v>
      </c>
      <c r="AA12" s="159">
        <v>4655.41</v>
      </c>
      <c r="AC12" s="159">
        <v>-3326.6</v>
      </c>
    </row>
    <row r="13" spans="1:32" s="6" customFormat="1" outlineLevel="1">
      <c r="A13" s="4">
        <v>10070</v>
      </c>
      <c r="B13" s="4" t="s">
        <v>288</v>
      </c>
      <c r="C13" s="5"/>
      <c r="D13" s="5"/>
      <c r="G13" s="159">
        <v>0</v>
      </c>
      <c r="I13" s="159">
        <v>0</v>
      </c>
      <c r="K13" s="159">
        <v>0</v>
      </c>
      <c r="M13" s="159">
        <v>0</v>
      </c>
      <c r="O13" s="159">
        <v>0</v>
      </c>
      <c r="Q13" s="159">
        <v>0</v>
      </c>
      <c r="S13" s="159">
        <v>0</v>
      </c>
      <c r="U13" s="159">
        <v>0</v>
      </c>
      <c r="W13" s="159">
        <v>0</v>
      </c>
      <c r="Y13" s="159">
        <v>-883.2</v>
      </c>
      <c r="AA13" s="159">
        <v>-9474.4</v>
      </c>
      <c r="AC13" s="159">
        <v>-9474.4</v>
      </c>
    </row>
    <row r="14" spans="1:32" s="6" customFormat="1" outlineLevel="1">
      <c r="A14" s="4">
        <v>10071</v>
      </c>
      <c r="B14" s="4" t="s">
        <v>289</v>
      </c>
      <c r="C14" s="5"/>
      <c r="D14" s="5"/>
      <c r="G14" s="159">
        <v>0</v>
      </c>
      <c r="I14" s="159">
        <v>0</v>
      </c>
      <c r="K14" s="159">
        <v>0</v>
      </c>
      <c r="M14" s="159">
        <v>0</v>
      </c>
      <c r="O14" s="159">
        <v>0</v>
      </c>
      <c r="Q14" s="159">
        <v>0</v>
      </c>
      <c r="S14" s="159">
        <v>0</v>
      </c>
      <c r="U14" s="159">
        <v>0</v>
      </c>
      <c r="W14" s="159">
        <v>0</v>
      </c>
      <c r="Y14" s="159">
        <v>883.2</v>
      </c>
      <c r="AA14" s="159">
        <v>9474.4</v>
      </c>
      <c r="AC14" s="159">
        <v>9474.4</v>
      </c>
    </row>
    <row r="15" spans="1:32" s="6" customFormat="1" outlineLevel="1">
      <c r="A15" s="4">
        <v>10097</v>
      </c>
      <c r="B15" s="4" t="s">
        <v>377</v>
      </c>
      <c r="C15" s="5"/>
      <c r="D15" s="5"/>
      <c r="G15" s="159">
        <v>0</v>
      </c>
      <c r="I15" s="159">
        <v>0</v>
      </c>
      <c r="K15" s="159">
        <v>0</v>
      </c>
      <c r="M15" s="159">
        <v>0</v>
      </c>
      <c r="O15" s="159">
        <v>0</v>
      </c>
      <c r="Q15" s="159">
        <v>0</v>
      </c>
      <c r="S15" s="159">
        <v>0</v>
      </c>
      <c r="U15" s="159">
        <v>0</v>
      </c>
      <c r="W15" s="159">
        <v>0</v>
      </c>
      <c r="Y15" s="159">
        <v>0</v>
      </c>
      <c r="AA15" s="159">
        <v>-358.91</v>
      </c>
      <c r="AC15" s="159">
        <v>0</v>
      </c>
    </row>
    <row r="16" spans="1:32" s="6" customFormat="1" outlineLevel="1">
      <c r="A16" s="4">
        <v>10099</v>
      </c>
      <c r="B16" s="4" t="s">
        <v>292</v>
      </c>
      <c r="C16" s="5"/>
      <c r="D16" s="5"/>
      <c r="G16" s="159">
        <v>0</v>
      </c>
      <c r="I16" s="159">
        <v>0</v>
      </c>
      <c r="K16" s="159">
        <v>0</v>
      </c>
      <c r="M16" s="159">
        <v>0</v>
      </c>
      <c r="O16" s="159">
        <v>0</v>
      </c>
      <c r="Q16" s="159">
        <v>0</v>
      </c>
      <c r="S16" s="159">
        <v>0</v>
      </c>
      <c r="U16" s="159">
        <v>0</v>
      </c>
      <c r="W16" s="159">
        <v>0</v>
      </c>
      <c r="Y16" s="159">
        <v>0</v>
      </c>
      <c r="AA16" s="159">
        <v>0</v>
      </c>
      <c r="AC16" s="159">
        <v>29.9</v>
      </c>
    </row>
    <row r="17" spans="1:29" s="6" customFormat="1" ht="4.5" customHeight="1" outlineLevel="1">
      <c r="G17" s="162"/>
      <c r="I17" s="162"/>
      <c r="K17" s="162"/>
      <c r="M17" s="162"/>
      <c r="O17" s="162"/>
      <c r="Q17" s="162"/>
      <c r="S17" s="162"/>
      <c r="U17" s="162"/>
      <c r="W17" s="162"/>
      <c r="Y17" s="162"/>
      <c r="AA17" s="162"/>
      <c r="AC17" s="162"/>
    </row>
    <row r="18" spans="1:29" s="6" customFormat="1">
      <c r="C18" s="6" t="s">
        <v>293</v>
      </c>
      <c r="G18" s="33">
        <f>SUM(G12:G17)</f>
        <v>0</v>
      </c>
      <c r="I18" s="33">
        <f>SUM(I12:I17)</f>
        <v>0</v>
      </c>
      <c r="K18" s="33">
        <f>SUM(K12:K17)</f>
        <v>0</v>
      </c>
      <c r="M18" s="33">
        <f>SUM(M12:M17)</f>
        <v>0</v>
      </c>
      <c r="O18" s="33">
        <f>SUM(O12:O17)</f>
        <v>0</v>
      </c>
      <c r="Q18" s="33">
        <f>SUM(Q12:Q17)</f>
        <v>0</v>
      </c>
      <c r="S18" s="33">
        <f>SUM(S12:S17)</f>
        <v>0</v>
      </c>
      <c r="U18" s="33">
        <f>SUM(U12:U17)</f>
        <v>0</v>
      </c>
      <c r="W18" s="33">
        <f>SUM(W12:W17)</f>
        <v>0</v>
      </c>
      <c r="Y18" s="33">
        <f>SUM(Y12:Y17)</f>
        <v>0</v>
      </c>
      <c r="AA18" s="33">
        <f>SUM(AA12:AA17)</f>
        <v>4296.5</v>
      </c>
      <c r="AC18" s="33">
        <f>SUM(AC12:AC17)</f>
        <v>-3296.7000000000003</v>
      </c>
    </row>
    <row r="19" spans="1:29" s="6" customFormat="1" outlineLevel="1">
      <c r="A19" s="4">
        <v>11501</v>
      </c>
      <c r="B19" s="4" t="s">
        <v>294</v>
      </c>
      <c r="C19" s="5"/>
      <c r="D19" s="5"/>
      <c r="G19" s="159">
        <v>0</v>
      </c>
      <c r="I19" s="159">
        <v>0</v>
      </c>
      <c r="K19" s="159">
        <v>0</v>
      </c>
      <c r="M19" s="159">
        <v>0</v>
      </c>
      <c r="O19" s="159">
        <v>0</v>
      </c>
      <c r="Q19" s="159">
        <v>0</v>
      </c>
      <c r="S19" s="159">
        <v>0</v>
      </c>
      <c r="U19" s="159">
        <v>0</v>
      </c>
      <c r="W19" s="159">
        <v>0</v>
      </c>
      <c r="Y19" s="159">
        <v>64705</v>
      </c>
      <c r="AA19" s="159">
        <v>116773.65</v>
      </c>
      <c r="AC19" s="159">
        <v>93841.64</v>
      </c>
    </row>
    <row r="20" spans="1:29" s="6" customFormat="1" outlineLevel="1">
      <c r="A20" s="4">
        <v>11511</v>
      </c>
      <c r="B20" s="4" t="s">
        <v>1355</v>
      </c>
      <c r="C20" s="5"/>
      <c r="D20" s="5"/>
      <c r="G20" s="159">
        <v>0</v>
      </c>
      <c r="I20" s="159">
        <v>0</v>
      </c>
      <c r="K20" s="159">
        <v>0</v>
      </c>
      <c r="M20" s="159">
        <v>0</v>
      </c>
      <c r="O20" s="159">
        <v>0</v>
      </c>
      <c r="Q20" s="159">
        <v>0</v>
      </c>
      <c r="S20" s="159">
        <v>0</v>
      </c>
      <c r="U20" s="159">
        <v>0</v>
      </c>
      <c r="W20" s="159">
        <v>0</v>
      </c>
      <c r="Y20" s="159">
        <v>77136.84</v>
      </c>
      <c r="AA20" s="159">
        <v>0</v>
      </c>
      <c r="AC20" s="159">
        <v>0</v>
      </c>
    </row>
    <row r="21" spans="1:29" s="6" customFormat="1" outlineLevel="1">
      <c r="A21" s="4">
        <v>11800</v>
      </c>
      <c r="B21" s="4" t="s">
        <v>1356</v>
      </c>
      <c r="C21" s="5"/>
      <c r="D21" s="5"/>
      <c r="G21" s="159">
        <v>0</v>
      </c>
      <c r="I21" s="159">
        <v>0</v>
      </c>
      <c r="K21" s="159">
        <v>0</v>
      </c>
      <c r="M21" s="159">
        <v>0</v>
      </c>
      <c r="O21" s="159">
        <v>0</v>
      </c>
      <c r="Q21" s="159">
        <v>0</v>
      </c>
      <c r="S21" s="159">
        <v>0</v>
      </c>
      <c r="U21" s="159">
        <v>0</v>
      </c>
      <c r="W21" s="159">
        <v>0</v>
      </c>
      <c r="Y21" s="159">
        <v>6405.03</v>
      </c>
      <c r="AA21" s="159">
        <v>0</v>
      </c>
      <c r="AC21" s="159">
        <v>0</v>
      </c>
    </row>
    <row r="22" spans="1:29" s="6" customFormat="1" outlineLevel="1">
      <c r="A22" s="4">
        <v>11902</v>
      </c>
      <c r="B22" s="4" t="s">
        <v>296</v>
      </c>
      <c r="C22" s="5"/>
      <c r="D22" s="5"/>
      <c r="G22" s="159">
        <v>0</v>
      </c>
      <c r="I22" s="159">
        <v>0</v>
      </c>
      <c r="K22" s="159">
        <v>0</v>
      </c>
      <c r="M22" s="159">
        <v>0</v>
      </c>
      <c r="O22" s="159">
        <v>0</v>
      </c>
      <c r="Q22" s="159">
        <v>0</v>
      </c>
      <c r="S22" s="159">
        <v>0</v>
      </c>
      <c r="U22" s="159">
        <v>0</v>
      </c>
      <c r="W22" s="159">
        <v>0</v>
      </c>
      <c r="Y22" s="159">
        <v>0</v>
      </c>
      <c r="AA22" s="159">
        <v>37353.050000000003</v>
      </c>
      <c r="AC22" s="159">
        <v>3568.14</v>
      </c>
    </row>
    <row r="23" spans="1:29" s="6" customFormat="1" outlineLevel="1">
      <c r="A23" s="4">
        <v>11903</v>
      </c>
      <c r="B23" s="4" t="s">
        <v>297</v>
      </c>
      <c r="C23" s="5"/>
      <c r="D23" s="5"/>
      <c r="G23" s="159">
        <v>0</v>
      </c>
      <c r="I23" s="159">
        <v>0</v>
      </c>
      <c r="K23" s="159">
        <v>0</v>
      </c>
      <c r="M23" s="159">
        <v>0</v>
      </c>
      <c r="O23" s="159">
        <v>0</v>
      </c>
      <c r="Q23" s="159">
        <v>0</v>
      </c>
      <c r="S23" s="159">
        <v>0</v>
      </c>
      <c r="U23" s="159">
        <v>0</v>
      </c>
      <c r="W23" s="159">
        <v>0</v>
      </c>
      <c r="Y23" s="159">
        <v>0</v>
      </c>
      <c r="AA23" s="159">
        <v>0</v>
      </c>
      <c r="AC23" s="159">
        <v>-163.5</v>
      </c>
    </row>
    <row r="24" spans="1:29" s="6" customFormat="1" outlineLevel="1">
      <c r="A24" s="4">
        <v>11905</v>
      </c>
      <c r="B24" s="4" t="s">
        <v>298</v>
      </c>
      <c r="C24" s="5"/>
      <c r="D24" s="5"/>
      <c r="G24" s="159">
        <v>0</v>
      </c>
      <c r="I24" s="159">
        <v>0</v>
      </c>
      <c r="K24" s="159">
        <v>0</v>
      </c>
      <c r="M24" s="159">
        <v>0</v>
      </c>
      <c r="O24" s="159">
        <v>0</v>
      </c>
      <c r="Q24" s="159">
        <v>0</v>
      </c>
      <c r="S24" s="159">
        <v>0</v>
      </c>
      <c r="U24" s="159">
        <v>0</v>
      </c>
      <c r="W24" s="159">
        <v>0</v>
      </c>
      <c r="Y24" s="159">
        <v>0</v>
      </c>
      <c r="AA24" s="159">
        <v>-59192.45</v>
      </c>
      <c r="AC24" s="159">
        <v>-4097.67</v>
      </c>
    </row>
    <row r="25" spans="1:29" s="6" customFormat="1" ht="5.0999999999999996" customHeight="1" outlineLevel="1">
      <c r="A25" s="5"/>
      <c r="B25" s="5"/>
      <c r="C25" s="5"/>
      <c r="D25" s="5"/>
      <c r="G25" s="36"/>
      <c r="I25" s="36"/>
      <c r="K25" s="36"/>
      <c r="M25" s="36"/>
      <c r="O25" s="36"/>
      <c r="Q25" s="36"/>
      <c r="S25" s="36"/>
      <c r="U25" s="36"/>
      <c r="W25" s="36"/>
      <c r="Y25" s="36"/>
      <c r="AA25" s="36"/>
      <c r="AC25" s="36"/>
    </row>
    <row r="26" spans="1:29" s="6" customFormat="1">
      <c r="C26" s="4" t="s">
        <v>299</v>
      </c>
      <c r="G26" s="33">
        <f>SUM(G19:G25)</f>
        <v>0</v>
      </c>
      <c r="I26" s="33">
        <f>SUM(I19:I25)</f>
        <v>0</v>
      </c>
      <c r="K26" s="33">
        <f>SUM(K19:K25)</f>
        <v>0</v>
      </c>
      <c r="M26" s="33">
        <f>SUM(M19:M25)</f>
        <v>0</v>
      </c>
      <c r="O26" s="33">
        <f>SUM(O19:O25)</f>
        <v>0</v>
      </c>
      <c r="Q26" s="33">
        <f>SUM(Q19:Q25)</f>
        <v>0</v>
      </c>
      <c r="S26" s="33">
        <f>SUM(S19:S25)</f>
        <v>0</v>
      </c>
      <c r="U26" s="33">
        <f>SUM(U19:U25)</f>
        <v>0</v>
      </c>
      <c r="W26" s="33">
        <f>SUM(W19:W25)</f>
        <v>0</v>
      </c>
      <c r="Y26" s="33">
        <f>SUM(Y19:Y25)</f>
        <v>148246.87</v>
      </c>
      <c r="AA26" s="33">
        <f>SUM(AA19:AA25)</f>
        <v>94934.250000000015</v>
      </c>
      <c r="AC26" s="33">
        <f>SUM(AC19:AC25)</f>
        <v>93148.61</v>
      </c>
    </row>
    <row r="27" spans="1:29" s="6" customFormat="1" outlineLevel="1">
      <c r="A27" s="4"/>
      <c r="B27" s="4"/>
      <c r="C27" s="5"/>
      <c r="D27" s="5"/>
      <c r="G27" s="159"/>
      <c r="I27" s="159"/>
      <c r="K27" s="159"/>
      <c r="M27" s="159"/>
      <c r="O27" s="159"/>
      <c r="Q27" s="159"/>
      <c r="S27" s="159"/>
      <c r="U27" s="159"/>
      <c r="W27" s="159"/>
      <c r="Y27" s="159"/>
      <c r="AA27" s="159"/>
      <c r="AC27" s="159"/>
    </row>
    <row r="28" spans="1:29" s="6" customFormat="1" ht="5.0999999999999996" customHeight="1" outlineLevel="1">
      <c r="A28" s="5"/>
      <c r="B28" s="5"/>
      <c r="C28" s="5"/>
      <c r="D28" s="5"/>
      <c r="G28" s="36"/>
      <c r="I28" s="36"/>
      <c r="K28" s="36"/>
      <c r="M28" s="36"/>
      <c r="O28" s="36"/>
      <c r="Q28" s="36"/>
      <c r="S28" s="36"/>
      <c r="U28" s="36"/>
      <c r="W28" s="36"/>
      <c r="Y28" s="36"/>
      <c r="AA28" s="36"/>
      <c r="AC28" s="36"/>
    </row>
    <row r="29" spans="1:29" s="6" customFormat="1">
      <c r="C29" s="4" t="s">
        <v>301</v>
      </c>
      <c r="G29" s="33">
        <f>SUM(G27:G28)</f>
        <v>0</v>
      </c>
      <c r="I29" s="33">
        <f>SUM(I27:I28)</f>
        <v>0</v>
      </c>
      <c r="K29" s="33">
        <f>SUM(K27:K28)</f>
        <v>0</v>
      </c>
      <c r="M29" s="33">
        <f>SUM(M27:M28)</f>
        <v>0</v>
      </c>
      <c r="O29" s="33">
        <f>SUM(O27:O28)</f>
        <v>0</v>
      </c>
      <c r="Q29" s="33">
        <f>SUM(Q27:Q28)</f>
        <v>0</v>
      </c>
      <c r="S29" s="33">
        <f>SUM(S27:S28)</f>
        <v>0</v>
      </c>
      <c r="U29" s="33">
        <f>SUM(U27:U28)</f>
        <v>0</v>
      </c>
      <c r="W29" s="33">
        <f>SUM(W27:W28)</f>
        <v>0</v>
      </c>
      <c r="Y29" s="33">
        <f>SUM(Y27:Y28)</f>
        <v>0</v>
      </c>
      <c r="AA29" s="33">
        <f>SUM(AA27:AA28)</f>
        <v>0</v>
      </c>
      <c r="AC29" s="33">
        <f>SUM(AC27:AC28)</f>
        <v>0</v>
      </c>
    </row>
    <row r="30" spans="1:29" s="6" customFormat="1" outlineLevel="1">
      <c r="A30" s="4">
        <v>13001</v>
      </c>
      <c r="B30" s="4" t="s">
        <v>302</v>
      </c>
      <c r="C30" s="5"/>
      <c r="D30" s="5"/>
      <c r="G30" s="159">
        <v>0</v>
      </c>
      <c r="I30" s="159">
        <v>0</v>
      </c>
      <c r="K30" s="159">
        <v>0</v>
      </c>
      <c r="M30" s="159">
        <v>0</v>
      </c>
      <c r="O30" s="159">
        <v>0</v>
      </c>
      <c r="Q30" s="159">
        <v>0</v>
      </c>
      <c r="S30" s="159">
        <v>0</v>
      </c>
      <c r="U30" s="159">
        <v>0</v>
      </c>
      <c r="W30" s="159">
        <v>0</v>
      </c>
      <c r="Y30" s="159">
        <v>8664.33</v>
      </c>
      <c r="AA30" s="159">
        <v>9432.25</v>
      </c>
      <c r="AC30" s="159">
        <v>8489.0300000000007</v>
      </c>
    </row>
    <row r="31" spans="1:29" s="6" customFormat="1" outlineLevel="1">
      <c r="A31" s="4">
        <v>13007</v>
      </c>
      <c r="B31" s="4" t="s">
        <v>303</v>
      </c>
      <c r="C31" s="5"/>
      <c r="D31" s="5"/>
      <c r="G31" s="159">
        <v>0</v>
      </c>
      <c r="I31" s="159">
        <v>0</v>
      </c>
      <c r="K31" s="159">
        <v>0</v>
      </c>
      <c r="M31" s="159">
        <v>0</v>
      </c>
      <c r="O31" s="159">
        <v>0</v>
      </c>
      <c r="Q31" s="159">
        <v>0</v>
      </c>
      <c r="S31" s="159">
        <v>0</v>
      </c>
      <c r="U31" s="159">
        <v>0</v>
      </c>
      <c r="W31" s="159">
        <v>0</v>
      </c>
      <c r="Y31" s="159">
        <v>750</v>
      </c>
      <c r="AA31" s="159">
        <v>750</v>
      </c>
      <c r="AC31" s="159">
        <v>750</v>
      </c>
    </row>
    <row r="32" spans="1:29" s="6" customFormat="1" outlineLevel="1">
      <c r="A32" s="4">
        <v>13008</v>
      </c>
      <c r="B32" s="4" t="s">
        <v>304</v>
      </c>
      <c r="C32" s="5"/>
      <c r="D32" s="5"/>
      <c r="G32" s="159">
        <v>0</v>
      </c>
      <c r="I32" s="159">
        <v>0</v>
      </c>
      <c r="K32" s="159">
        <v>0</v>
      </c>
      <c r="M32" s="159">
        <v>0</v>
      </c>
      <c r="O32" s="159">
        <v>0</v>
      </c>
      <c r="Q32" s="159">
        <v>0</v>
      </c>
      <c r="S32" s="159">
        <v>0</v>
      </c>
      <c r="U32" s="159">
        <v>0</v>
      </c>
      <c r="W32" s="159">
        <v>0</v>
      </c>
      <c r="Y32" s="159">
        <v>12463.1</v>
      </c>
      <c r="AA32" s="159">
        <v>51386.92</v>
      </c>
      <c r="AC32" s="159">
        <v>0</v>
      </c>
    </row>
    <row r="33" spans="1:29" s="6" customFormat="1" ht="3.75" customHeight="1" outlineLevel="1">
      <c r="A33" s="5"/>
      <c r="B33" s="5"/>
      <c r="C33" s="5"/>
      <c r="D33" s="5"/>
      <c r="G33" s="36"/>
      <c r="I33" s="36"/>
      <c r="K33" s="36"/>
      <c r="M33" s="36"/>
      <c r="O33" s="36"/>
      <c r="Q33" s="36"/>
      <c r="S33" s="36"/>
      <c r="U33" s="36"/>
      <c r="W33" s="36"/>
      <c r="Y33" s="36"/>
      <c r="AA33" s="36"/>
      <c r="AC33" s="36"/>
    </row>
    <row r="34" spans="1:29" s="6" customFormat="1">
      <c r="C34" s="4" t="s">
        <v>305</v>
      </c>
      <c r="G34" s="33">
        <f>SUM(G30:G33)</f>
        <v>0</v>
      </c>
      <c r="I34" s="33">
        <f>SUM(I30:I33)</f>
        <v>0</v>
      </c>
      <c r="K34" s="33">
        <f>SUM(K30:K33)</f>
        <v>0</v>
      </c>
      <c r="M34" s="33">
        <f>SUM(M30:M33)</f>
        <v>0</v>
      </c>
      <c r="O34" s="33">
        <f>SUM(O30:O33)</f>
        <v>0</v>
      </c>
      <c r="Q34" s="33">
        <f>SUM(Q30:Q33)</f>
        <v>0</v>
      </c>
      <c r="S34" s="33">
        <f>SUM(S30:S33)</f>
        <v>0</v>
      </c>
      <c r="U34" s="33">
        <f>SUM(U30:U33)</f>
        <v>0</v>
      </c>
      <c r="W34" s="33">
        <f>SUM(W30:W33)</f>
        <v>0</v>
      </c>
      <c r="Y34" s="33">
        <f>SUM(Y30:Y33)</f>
        <v>21877.43</v>
      </c>
      <c r="AA34" s="33">
        <f>SUM(AA30:AA33)</f>
        <v>61569.17</v>
      </c>
      <c r="AC34" s="33">
        <f>SUM(AC30:AC33)</f>
        <v>9239.0300000000007</v>
      </c>
    </row>
    <row r="35" spans="1:29" s="150" customFormat="1" outlineLevel="1"/>
    <row r="36" spans="1:29" s="6" customFormat="1" ht="3.75" customHeight="1" outlineLevel="1">
      <c r="A36" s="5"/>
      <c r="B36" s="5"/>
      <c r="C36" s="5"/>
      <c r="D36" s="5"/>
      <c r="G36" s="36"/>
      <c r="I36" s="36"/>
      <c r="K36" s="36"/>
      <c r="M36" s="36"/>
      <c r="O36" s="36"/>
      <c r="Q36" s="36"/>
      <c r="S36" s="36"/>
      <c r="U36" s="36"/>
      <c r="W36" s="36"/>
      <c r="Y36" s="36"/>
      <c r="AA36" s="36"/>
      <c r="AC36" s="36"/>
    </row>
    <row r="37" spans="1:29" s="6" customFormat="1">
      <c r="C37" s="4" t="s">
        <v>306</v>
      </c>
      <c r="G37" s="33">
        <f>SUM(G35:G36)</f>
        <v>0</v>
      </c>
      <c r="I37" s="33">
        <f>SUM(I35:I36)</f>
        <v>0</v>
      </c>
      <c r="K37" s="33">
        <f>SUM(K35:K36)</f>
        <v>0</v>
      </c>
      <c r="M37" s="33">
        <f>SUM(M35:M36)</f>
        <v>0</v>
      </c>
      <c r="O37" s="33">
        <f>SUM(O35:O36)</f>
        <v>0</v>
      </c>
      <c r="Q37" s="33">
        <f>SUM(Q35:Q36)</f>
        <v>0</v>
      </c>
      <c r="S37" s="33">
        <f>SUM(S35:S36)</f>
        <v>0</v>
      </c>
      <c r="U37" s="33">
        <f>SUM(U35:U36)</f>
        <v>0</v>
      </c>
      <c r="W37" s="33">
        <f>SUM(W35:W36)</f>
        <v>0</v>
      </c>
      <c r="Y37" s="33">
        <f>SUM(Y35:Y36)</f>
        <v>0</v>
      </c>
      <c r="AA37" s="33">
        <f>SUM(AA35:AA36)</f>
        <v>0</v>
      </c>
      <c r="AC37" s="33">
        <f>SUM(AC35:AC36)</f>
        <v>0</v>
      </c>
    </row>
    <row r="38" spans="1:29" s="6" customFormat="1" ht="7.5" customHeight="1">
      <c r="G38" s="35"/>
      <c r="I38" s="35"/>
      <c r="K38" s="35"/>
      <c r="M38" s="35"/>
      <c r="O38" s="35"/>
      <c r="Q38" s="35"/>
      <c r="S38" s="35"/>
      <c r="U38" s="35"/>
      <c r="W38" s="35"/>
      <c r="Y38" s="35"/>
      <c r="AA38" s="35"/>
      <c r="AC38" s="35"/>
    </row>
    <row r="39" spans="1:29" s="6" customFormat="1">
      <c r="B39" s="38" t="s">
        <v>307</v>
      </c>
      <c r="G39" s="39">
        <f>SUM(G18,G26,G29,G34,G37)</f>
        <v>0</v>
      </c>
      <c r="I39" s="39">
        <f>SUM(I18,I26,I29,I34,I37)</f>
        <v>0</v>
      </c>
      <c r="K39" s="39">
        <f>SUM(K18,K26,K29,K34,K37)</f>
        <v>0</v>
      </c>
      <c r="M39" s="39">
        <f>SUM(M18,M26,M29,M34,M37)</f>
        <v>0</v>
      </c>
      <c r="O39" s="39">
        <f>SUM(O18,O26,O29,O34,O37)</f>
        <v>0</v>
      </c>
      <c r="Q39" s="39">
        <f>SUM(Q18,Q26,Q29,Q34,Q37)</f>
        <v>0</v>
      </c>
      <c r="S39" s="39">
        <f>SUM(S18,S26,S29,S34,S37)</f>
        <v>0</v>
      </c>
      <c r="U39" s="39">
        <f>SUM(U18,U26,U29,U34,U37)</f>
        <v>0</v>
      </c>
      <c r="W39" s="39">
        <f>SUM(W18,W26,W29,W34,W37)</f>
        <v>0</v>
      </c>
      <c r="Y39" s="39">
        <f>SUM(Y18,Y26,Y29,Y34,Y37)</f>
        <v>170124.3</v>
      </c>
      <c r="AA39" s="39">
        <f>SUM(AA18,AA26,AA29,AA34,AA37)</f>
        <v>160799.92000000001</v>
      </c>
      <c r="AC39" s="39">
        <f>SUM(AC18,AC26,AC29,AC34,AC37)</f>
        <v>99090.94</v>
      </c>
    </row>
    <row r="40" spans="1:29" s="6" customFormat="1" ht="7.5" customHeight="1">
      <c r="G40" s="35"/>
      <c r="I40" s="35"/>
      <c r="K40" s="35"/>
      <c r="M40" s="35"/>
      <c r="O40" s="35"/>
      <c r="Q40" s="35"/>
      <c r="S40" s="35"/>
      <c r="U40" s="35"/>
      <c r="W40" s="35"/>
      <c r="Y40" s="35"/>
      <c r="AA40" s="35"/>
      <c r="AC40" s="35"/>
    </row>
    <row r="41" spans="1:29" s="6" customFormat="1" outlineLevel="1">
      <c r="G41" s="35"/>
      <c r="I41" s="35"/>
      <c r="K41" s="35"/>
      <c r="M41" s="35"/>
      <c r="O41" s="35"/>
      <c r="Q41" s="35"/>
      <c r="S41" s="35"/>
      <c r="U41" s="35"/>
      <c r="W41" s="35"/>
      <c r="Y41" s="35"/>
      <c r="AA41" s="35"/>
      <c r="AC41" s="35"/>
    </row>
    <row r="42" spans="1:29" s="6" customFormat="1" outlineLevel="1">
      <c r="A42" s="4">
        <v>14032</v>
      </c>
      <c r="B42" s="4" t="s">
        <v>308</v>
      </c>
      <c r="C42" s="5"/>
      <c r="D42" s="5"/>
      <c r="G42" s="159">
        <v>0</v>
      </c>
      <c r="I42" s="159">
        <v>0</v>
      </c>
      <c r="K42" s="159">
        <v>0</v>
      </c>
      <c r="M42" s="159">
        <v>0</v>
      </c>
      <c r="O42" s="159">
        <v>0</v>
      </c>
      <c r="Q42" s="159">
        <v>0</v>
      </c>
      <c r="S42" s="159">
        <v>0</v>
      </c>
      <c r="U42" s="159">
        <v>0</v>
      </c>
      <c r="W42" s="159">
        <v>0</v>
      </c>
      <c r="Y42" s="159">
        <v>0</v>
      </c>
      <c r="AA42" s="159">
        <v>4500</v>
      </c>
      <c r="AC42" s="159">
        <v>4500</v>
      </c>
    </row>
    <row r="43" spans="1:29" s="6" customFormat="1" outlineLevel="1">
      <c r="A43" s="4">
        <v>14034</v>
      </c>
      <c r="B43" s="4" t="s">
        <v>309</v>
      </c>
      <c r="C43" s="5"/>
      <c r="D43" s="5"/>
      <c r="G43" s="159">
        <v>0</v>
      </c>
      <c r="I43" s="159">
        <v>0</v>
      </c>
      <c r="K43" s="159">
        <v>0</v>
      </c>
      <c r="M43" s="159">
        <v>0</v>
      </c>
      <c r="O43" s="159">
        <v>0</v>
      </c>
      <c r="Q43" s="159">
        <v>0</v>
      </c>
      <c r="S43" s="159">
        <v>0</v>
      </c>
      <c r="U43" s="159">
        <v>0</v>
      </c>
      <c r="W43" s="159">
        <v>0</v>
      </c>
      <c r="Y43" s="159">
        <v>0</v>
      </c>
      <c r="AA43" s="159">
        <v>-4500</v>
      </c>
      <c r="AC43" s="159">
        <v>-4500</v>
      </c>
    </row>
    <row r="44" spans="1:29" s="6" customFormat="1" outlineLevel="1">
      <c r="A44" s="4">
        <v>14036</v>
      </c>
      <c r="B44" s="4" t="s">
        <v>310</v>
      </c>
      <c r="C44" s="5"/>
      <c r="D44" s="5"/>
      <c r="G44" s="159">
        <v>0</v>
      </c>
      <c r="I44" s="159">
        <v>0</v>
      </c>
      <c r="K44" s="159">
        <v>0</v>
      </c>
      <c r="M44" s="159">
        <v>0</v>
      </c>
      <c r="O44" s="159">
        <v>0</v>
      </c>
      <c r="Q44" s="159">
        <v>0</v>
      </c>
      <c r="S44" s="159">
        <v>0</v>
      </c>
      <c r="U44" s="159">
        <v>0</v>
      </c>
      <c r="W44" s="159">
        <v>0</v>
      </c>
      <c r="Y44" s="159">
        <v>0</v>
      </c>
      <c r="AA44" s="159">
        <v>-125.01</v>
      </c>
      <c r="AC44" s="159">
        <v>-125.01</v>
      </c>
    </row>
    <row r="45" spans="1:29" s="6" customFormat="1" outlineLevel="1">
      <c r="A45" s="4">
        <v>14038</v>
      </c>
      <c r="B45" s="4" t="s">
        <v>309</v>
      </c>
      <c r="C45" s="5"/>
      <c r="D45" s="5"/>
      <c r="G45" s="159">
        <v>0</v>
      </c>
      <c r="I45" s="159">
        <v>0</v>
      </c>
      <c r="K45" s="159">
        <v>0</v>
      </c>
      <c r="M45" s="159">
        <v>0</v>
      </c>
      <c r="O45" s="159">
        <v>0</v>
      </c>
      <c r="Q45" s="159">
        <v>0</v>
      </c>
      <c r="S45" s="159">
        <v>0</v>
      </c>
      <c r="U45" s="159">
        <v>0</v>
      </c>
      <c r="W45" s="159">
        <v>0</v>
      </c>
      <c r="Y45" s="159">
        <v>0</v>
      </c>
      <c r="AA45" s="159">
        <v>125.01</v>
      </c>
      <c r="AC45" s="159">
        <v>125.01</v>
      </c>
    </row>
    <row r="46" spans="1:29" s="6" customFormat="1" outlineLevel="1">
      <c r="A46" s="4">
        <v>14041</v>
      </c>
      <c r="B46" s="4" t="s">
        <v>311</v>
      </c>
      <c r="C46" s="5"/>
      <c r="D46" s="5"/>
      <c r="G46" s="159">
        <v>0</v>
      </c>
      <c r="I46" s="159">
        <v>0</v>
      </c>
      <c r="K46" s="159">
        <v>0</v>
      </c>
      <c r="M46" s="159">
        <v>0</v>
      </c>
      <c r="O46" s="159">
        <v>0</v>
      </c>
      <c r="Q46" s="159">
        <v>0</v>
      </c>
      <c r="S46" s="159">
        <v>0</v>
      </c>
      <c r="U46" s="159">
        <v>0</v>
      </c>
      <c r="W46" s="159">
        <v>0</v>
      </c>
      <c r="Y46" s="159">
        <v>0</v>
      </c>
      <c r="AA46" s="159">
        <v>118750.86</v>
      </c>
      <c r="AC46" s="159">
        <v>123339.65</v>
      </c>
    </row>
    <row r="47" spans="1:29" s="6" customFormat="1" outlineLevel="1">
      <c r="A47" s="4">
        <v>14042</v>
      </c>
      <c r="B47" s="4" t="s">
        <v>312</v>
      </c>
      <c r="C47" s="5"/>
      <c r="D47" s="5"/>
      <c r="G47" s="159">
        <v>0</v>
      </c>
      <c r="I47" s="159">
        <v>0</v>
      </c>
      <c r="K47" s="159">
        <v>0</v>
      </c>
      <c r="M47" s="159">
        <v>0</v>
      </c>
      <c r="O47" s="159">
        <v>0</v>
      </c>
      <c r="Q47" s="159">
        <v>0</v>
      </c>
      <c r="S47" s="159">
        <v>0</v>
      </c>
      <c r="U47" s="159">
        <v>0</v>
      </c>
      <c r="W47" s="159">
        <v>0</v>
      </c>
      <c r="Y47" s="159">
        <v>0</v>
      </c>
      <c r="AA47" s="159">
        <v>57883.199999999997</v>
      </c>
      <c r="AC47" s="159">
        <v>57883.199999999997</v>
      </c>
    </row>
    <row r="48" spans="1:29" s="6" customFormat="1" outlineLevel="1">
      <c r="A48" s="4">
        <v>14043</v>
      </c>
      <c r="B48" s="4" t="s">
        <v>313</v>
      </c>
      <c r="C48" s="5"/>
      <c r="D48" s="5"/>
      <c r="G48" s="159">
        <v>0</v>
      </c>
      <c r="I48" s="159">
        <v>0</v>
      </c>
      <c r="K48" s="159">
        <v>0</v>
      </c>
      <c r="M48" s="159">
        <v>0</v>
      </c>
      <c r="O48" s="159">
        <v>0</v>
      </c>
      <c r="Q48" s="159">
        <v>0</v>
      </c>
      <c r="S48" s="159">
        <v>0</v>
      </c>
      <c r="U48" s="159">
        <v>0</v>
      </c>
      <c r="W48" s="159">
        <v>0</v>
      </c>
      <c r="Y48" s="159">
        <v>0</v>
      </c>
      <c r="AA48" s="159">
        <v>155316.07999999999</v>
      </c>
      <c r="AC48" s="159">
        <v>190786.89</v>
      </c>
    </row>
    <row r="49" spans="1:29" s="6" customFormat="1" outlineLevel="1">
      <c r="A49" s="4">
        <v>14044</v>
      </c>
      <c r="B49" s="4" t="s">
        <v>314</v>
      </c>
      <c r="C49" s="5"/>
      <c r="D49" s="5"/>
      <c r="G49" s="159">
        <v>0</v>
      </c>
      <c r="I49" s="159">
        <v>0</v>
      </c>
      <c r="K49" s="159">
        <v>0</v>
      </c>
      <c r="M49" s="159">
        <v>0</v>
      </c>
      <c r="O49" s="159">
        <v>0</v>
      </c>
      <c r="Q49" s="159">
        <v>0</v>
      </c>
      <c r="S49" s="159">
        <v>0</v>
      </c>
      <c r="U49" s="159">
        <v>0</v>
      </c>
      <c r="W49" s="159">
        <v>0</v>
      </c>
      <c r="Y49" s="159">
        <v>0</v>
      </c>
      <c r="AA49" s="159">
        <v>0</v>
      </c>
      <c r="AC49" s="159">
        <v>-883.2</v>
      </c>
    </row>
    <row r="50" spans="1:29" s="6" customFormat="1" outlineLevel="1">
      <c r="A50" s="4">
        <v>14046</v>
      </c>
      <c r="B50" s="4" t="s">
        <v>315</v>
      </c>
      <c r="C50" s="5"/>
      <c r="D50" s="5"/>
      <c r="G50" s="159">
        <v>0</v>
      </c>
      <c r="I50" s="159">
        <v>0</v>
      </c>
      <c r="K50" s="159">
        <v>0</v>
      </c>
      <c r="M50" s="159">
        <v>0</v>
      </c>
      <c r="O50" s="159">
        <v>0</v>
      </c>
      <c r="Q50" s="159">
        <v>0</v>
      </c>
      <c r="S50" s="159">
        <v>0</v>
      </c>
      <c r="U50" s="159">
        <v>0</v>
      </c>
      <c r="W50" s="159">
        <v>0</v>
      </c>
      <c r="Y50" s="159">
        <v>-2041.65</v>
      </c>
      <c r="AA50" s="159">
        <v>-5658.88</v>
      </c>
      <c r="AC50" s="159">
        <v>-9892.9</v>
      </c>
    </row>
    <row r="51" spans="1:29" s="6" customFormat="1" outlineLevel="1">
      <c r="A51" s="4">
        <v>14047</v>
      </c>
      <c r="B51" s="4" t="s">
        <v>313</v>
      </c>
      <c r="C51" s="5"/>
      <c r="D51" s="5"/>
      <c r="G51" s="159">
        <v>0</v>
      </c>
      <c r="I51" s="159">
        <v>0</v>
      </c>
      <c r="K51" s="159">
        <v>0</v>
      </c>
      <c r="M51" s="159">
        <v>0</v>
      </c>
      <c r="O51" s="159">
        <v>0</v>
      </c>
      <c r="Q51" s="159">
        <v>0</v>
      </c>
      <c r="S51" s="159">
        <v>0</v>
      </c>
      <c r="U51" s="159">
        <v>0</v>
      </c>
      <c r="W51" s="159">
        <v>0</v>
      </c>
      <c r="Y51" s="159">
        <v>0</v>
      </c>
      <c r="AA51" s="159">
        <v>-69100.62</v>
      </c>
      <c r="AC51" s="159">
        <v>-102911.26</v>
      </c>
    </row>
    <row r="52" spans="1:29" s="6" customFormat="1" outlineLevel="1">
      <c r="A52" s="4">
        <v>14048</v>
      </c>
      <c r="B52" s="4" t="s">
        <v>314</v>
      </c>
      <c r="C52" s="5"/>
      <c r="D52" s="5"/>
      <c r="G52" s="159">
        <v>0</v>
      </c>
      <c r="I52" s="159">
        <v>0</v>
      </c>
      <c r="K52" s="159">
        <v>0</v>
      </c>
      <c r="M52" s="159">
        <v>0</v>
      </c>
      <c r="O52" s="159">
        <v>0</v>
      </c>
      <c r="Q52" s="159">
        <v>0</v>
      </c>
      <c r="S52" s="159">
        <v>0</v>
      </c>
      <c r="U52" s="159">
        <v>0</v>
      </c>
      <c r="W52" s="159">
        <v>0</v>
      </c>
      <c r="Y52" s="159">
        <v>0</v>
      </c>
      <c r="AA52" s="159">
        <v>0</v>
      </c>
      <c r="AC52" s="159">
        <v>49.07</v>
      </c>
    </row>
    <row r="53" spans="1:29" s="6" customFormat="1" outlineLevel="1">
      <c r="A53" s="4">
        <v>14052</v>
      </c>
      <c r="B53" s="4" t="s">
        <v>317</v>
      </c>
      <c r="C53" s="5"/>
      <c r="D53" s="5"/>
      <c r="G53" s="159">
        <v>0</v>
      </c>
      <c r="I53" s="159">
        <v>0</v>
      </c>
      <c r="K53" s="159">
        <v>0</v>
      </c>
      <c r="M53" s="159">
        <v>0</v>
      </c>
      <c r="O53" s="159">
        <v>0</v>
      </c>
      <c r="Q53" s="159">
        <v>0</v>
      </c>
      <c r="S53" s="159">
        <v>0</v>
      </c>
      <c r="U53" s="159">
        <v>0</v>
      </c>
      <c r="W53" s="159">
        <v>0</v>
      </c>
      <c r="Y53" s="159">
        <v>0</v>
      </c>
      <c r="AA53" s="159">
        <v>85500</v>
      </c>
      <c r="AC53" s="159">
        <v>85500</v>
      </c>
    </row>
    <row r="54" spans="1:29" s="6" customFormat="1" outlineLevel="1">
      <c r="A54" s="4">
        <v>14056</v>
      </c>
      <c r="B54" s="4" t="s">
        <v>318</v>
      </c>
      <c r="C54" s="5"/>
      <c r="D54" s="5"/>
      <c r="G54" s="159">
        <v>0</v>
      </c>
      <c r="I54" s="159">
        <v>0</v>
      </c>
      <c r="K54" s="159">
        <v>0</v>
      </c>
      <c r="M54" s="159">
        <v>0</v>
      </c>
      <c r="O54" s="159">
        <v>0</v>
      </c>
      <c r="Q54" s="159">
        <v>0</v>
      </c>
      <c r="S54" s="159">
        <v>0</v>
      </c>
      <c r="U54" s="159">
        <v>0</v>
      </c>
      <c r="W54" s="159">
        <v>0</v>
      </c>
      <c r="Y54" s="159">
        <v>0</v>
      </c>
      <c r="AA54" s="159">
        <v>-2035.71</v>
      </c>
      <c r="AC54" s="159">
        <v>-3053.6</v>
      </c>
    </row>
    <row r="55" spans="1:29" s="6" customFormat="1" outlineLevel="1">
      <c r="A55" s="4">
        <v>14072</v>
      </c>
      <c r="B55" s="4" t="s">
        <v>319</v>
      </c>
      <c r="C55" s="5"/>
      <c r="D55" s="5"/>
      <c r="G55" s="159">
        <v>0</v>
      </c>
      <c r="I55" s="159">
        <v>0</v>
      </c>
      <c r="K55" s="159">
        <v>0</v>
      </c>
      <c r="M55" s="159">
        <v>0</v>
      </c>
      <c r="O55" s="159">
        <v>0</v>
      </c>
      <c r="Q55" s="159">
        <v>0</v>
      </c>
      <c r="S55" s="159">
        <v>0</v>
      </c>
      <c r="U55" s="159">
        <v>0</v>
      </c>
      <c r="W55" s="159">
        <v>0</v>
      </c>
      <c r="Y55" s="159">
        <v>0</v>
      </c>
      <c r="AA55" s="159">
        <v>2500</v>
      </c>
      <c r="AC55" s="159">
        <v>2500</v>
      </c>
    </row>
    <row r="56" spans="1:29" s="6" customFormat="1" outlineLevel="1">
      <c r="A56" s="4">
        <v>14076</v>
      </c>
      <c r="B56" s="4" t="s">
        <v>378</v>
      </c>
      <c r="C56" s="5"/>
      <c r="D56" s="5"/>
      <c r="G56" s="159">
        <v>0</v>
      </c>
      <c r="I56" s="159">
        <v>0</v>
      </c>
      <c r="K56" s="159">
        <v>0</v>
      </c>
      <c r="M56" s="159">
        <v>0</v>
      </c>
      <c r="O56" s="159">
        <v>0</v>
      </c>
      <c r="Q56" s="159">
        <v>0</v>
      </c>
      <c r="S56" s="159">
        <v>0</v>
      </c>
      <c r="U56" s="159">
        <v>0</v>
      </c>
      <c r="W56" s="159">
        <v>0</v>
      </c>
      <c r="Y56" s="159">
        <v>0</v>
      </c>
      <c r="AA56" s="159">
        <v>-83.33</v>
      </c>
      <c r="AC56" s="159">
        <v>-125</v>
      </c>
    </row>
    <row r="57" spans="1:29" s="6" customFormat="1" outlineLevel="1">
      <c r="A57" s="4">
        <v>14101</v>
      </c>
      <c r="B57" s="4" t="s">
        <v>320</v>
      </c>
      <c r="C57" s="5"/>
      <c r="D57" s="5"/>
      <c r="G57" s="159">
        <v>0</v>
      </c>
      <c r="I57" s="159">
        <v>0</v>
      </c>
      <c r="K57" s="159">
        <v>0</v>
      </c>
      <c r="M57" s="159">
        <v>0</v>
      </c>
      <c r="O57" s="159">
        <v>0</v>
      </c>
      <c r="Q57" s="159">
        <v>0</v>
      </c>
      <c r="S57" s="159">
        <v>0</v>
      </c>
      <c r="U57" s="159">
        <v>0</v>
      </c>
      <c r="W57" s="159">
        <v>0</v>
      </c>
      <c r="Y57" s="159">
        <v>0</v>
      </c>
      <c r="AA57" s="159">
        <v>0</v>
      </c>
      <c r="AC57" s="159">
        <v>3474.44</v>
      </c>
    </row>
    <row r="58" spans="1:29" s="6" customFormat="1" outlineLevel="1">
      <c r="A58" s="4">
        <v>14102</v>
      </c>
      <c r="B58" s="4" t="s">
        <v>321</v>
      </c>
      <c r="C58" s="5"/>
      <c r="D58" s="5"/>
      <c r="G58" s="159">
        <v>0</v>
      </c>
      <c r="I58" s="159">
        <v>0</v>
      </c>
      <c r="K58" s="159">
        <v>0</v>
      </c>
      <c r="M58" s="159">
        <v>0</v>
      </c>
      <c r="O58" s="159">
        <v>0</v>
      </c>
      <c r="Q58" s="159">
        <v>0</v>
      </c>
      <c r="S58" s="159">
        <v>0</v>
      </c>
      <c r="U58" s="159">
        <v>0</v>
      </c>
      <c r="W58" s="159">
        <v>0</v>
      </c>
      <c r="Y58" s="159">
        <v>0</v>
      </c>
      <c r="AA58" s="159">
        <v>2500</v>
      </c>
      <c r="AC58" s="159">
        <v>2500</v>
      </c>
    </row>
    <row r="59" spans="1:29" s="6" customFormat="1" outlineLevel="1">
      <c r="A59" s="4">
        <v>14106</v>
      </c>
      <c r="B59" s="4" t="s">
        <v>379</v>
      </c>
      <c r="C59" s="5"/>
      <c r="D59" s="5"/>
      <c r="G59" s="159">
        <v>0</v>
      </c>
      <c r="I59" s="159">
        <v>0</v>
      </c>
      <c r="K59" s="159">
        <v>0</v>
      </c>
      <c r="M59" s="159">
        <v>0</v>
      </c>
      <c r="O59" s="159">
        <v>0</v>
      </c>
      <c r="Q59" s="159">
        <v>0</v>
      </c>
      <c r="S59" s="159">
        <v>0</v>
      </c>
      <c r="U59" s="159">
        <v>0</v>
      </c>
      <c r="W59" s="159">
        <v>0</v>
      </c>
      <c r="Y59" s="159">
        <v>0</v>
      </c>
      <c r="AA59" s="159">
        <v>-83.33</v>
      </c>
      <c r="AC59" s="159">
        <v>-125</v>
      </c>
    </row>
    <row r="60" spans="1:29" s="6" customFormat="1" outlineLevel="1">
      <c r="A60" s="4">
        <v>14121</v>
      </c>
      <c r="B60" s="4" t="s">
        <v>324</v>
      </c>
      <c r="C60" s="5"/>
      <c r="D60" s="5"/>
      <c r="G60" s="159">
        <v>0</v>
      </c>
      <c r="I60" s="159">
        <v>0</v>
      </c>
      <c r="K60" s="159">
        <v>0</v>
      </c>
      <c r="M60" s="159">
        <v>0</v>
      </c>
      <c r="O60" s="159">
        <v>0</v>
      </c>
      <c r="Q60" s="159">
        <v>0</v>
      </c>
      <c r="S60" s="159">
        <v>0</v>
      </c>
      <c r="U60" s="159">
        <v>0</v>
      </c>
      <c r="W60" s="159">
        <v>0</v>
      </c>
      <c r="Y60" s="159">
        <v>0</v>
      </c>
      <c r="AA60" s="159">
        <v>0</v>
      </c>
      <c r="AC60" s="159">
        <v>2584.8000000000002</v>
      </c>
    </row>
    <row r="61" spans="1:29" s="6" customFormat="1" outlineLevel="1">
      <c r="A61" s="4">
        <v>14201</v>
      </c>
      <c r="B61" s="4" t="s">
        <v>325</v>
      </c>
      <c r="C61" s="5"/>
      <c r="D61" s="5"/>
      <c r="G61" s="159">
        <v>0</v>
      </c>
      <c r="I61" s="159">
        <v>0</v>
      </c>
      <c r="K61" s="159">
        <v>0</v>
      </c>
      <c r="M61" s="159">
        <v>0</v>
      </c>
      <c r="O61" s="159">
        <v>0</v>
      </c>
      <c r="Q61" s="159">
        <v>0</v>
      </c>
      <c r="S61" s="159">
        <v>0</v>
      </c>
      <c r="U61" s="159">
        <v>0</v>
      </c>
      <c r="W61" s="159">
        <v>0</v>
      </c>
      <c r="Y61" s="159">
        <v>115792.53</v>
      </c>
      <c r="AA61" s="159">
        <v>4588.79</v>
      </c>
      <c r="AC61" s="159">
        <v>40111.72</v>
      </c>
    </row>
    <row r="62" spans="1:29" s="6" customFormat="1" ht="4.5" customHeight="1" outlineLevel="1">
      <c r="A62" s="37"/>
      <c r="G62" s="36"/>
      <c r="I62" s="36"/>
      <c r="K62" s="36"/>
      <c r="M62" s="36"/>
      <c r="O62" s="36"/>
      <c r="Q62" s="36"/>
      <c r="S62" s="36"/>
      <c r="U62" s="36"/>
      <c r="W62" s="36"/>
      <c r="Y62" s="36"/>
      <c r="AA62" s="36"/>
      <c r="AC62" s="36"/>
    </row>
    <row r="63" spans="1:29" s="6" customFormat="1">
      <c r="C63" s="6" t="s">
        <v>326</v>
      </c>
      <c r="G63" s="33">
        <f>SUM(G42:G62)</f>
        <v>0</v>
      </c>
      <c r="I63" s="33">
        <f>SUM(I42:I62)</f>
        <v>0</v>
      </c>
      <c r="K63" s="33">
        <f>SUM(K42:K62)</f>
        <v>0</v>
      </c>
      <c r="M63" s="33">
        <f>SUM(M42:M62)</f>
        <v>0</v>
      </c>
      <c r="O63" s="33">
        <f>SUM(O42:O62)</f>
        <v>0</v>
      </c>
      <c r="Q63" s="33">
        <f>SUM(Q42:Q62)</f>
        <v>0</v>
      </c>
      <c r="S63" s="33">
        <f>SUM(S42:S62)</f>
        <v>0</v>
      </c>
      <c r="U63" s="33">
        <f>SUM(U42:U62)</f>
        <v>0</v>
      </c>
      <c r="W63" s="33">
        <f>SUM(W42:W62)</f>
        <v>0</v>
      </c>
      <c r="Y63" s="33">
        <f>SUM(Y42:Y62)</f>
        <v>113750.88</v>
      </c>
      <c r="AA63" s="33">
        <f>SUM(AA42:AA62)</f>
        <v>350077.05999999994</v>
      </c>
      <c r="AC63" s="33">
        <f>SUM(AC42:AC62)</f>
        <v>391738.80999999994</v>
      </c>
    </row>
    <row r="64" spans="1:29" s="150" customFormat="1" outlineLevel="1"/>
    <row r="65" spans="1:29" s="6" customFormat="1" ht="5.0999999999999996" customHeight="1" outlineLevel="1">
      <c r="A65" s="5"/>
      <c r="B65" s="5"/>
      <c r="C65" s="5"/>
      <c r="D65" s="5"/>
      <c r="G65" s="36"/>
      <c r="I65" s="36"/>
      <c r="K65" s="36"/>
      <c r="M65" s="36"/>
      <c r="O65" s="36"/>
      <c r="Q65" s="36"/>
      <c r="S65" s="36"/>
      <c r="U65" s="36"/>
      <c r="W65" s="36"/>
      <c r="Y65" s="36"/>
      <c r="AA65" s="36"/>
      <c r="AC65" s="36"/>
    </row>
    <row r="66" spans="1:29" s="6" customFormat="1">
      <c r="C66" s="4" t="s">
        <v>327</v>
      </c>
      <c r="G66" s="33">
        <f>SUM(G64:G65)</f>
        <v>0</v>
      </c>
      <c r="I66" s="33">
        <f>SUM(I64:I65)</f>
        <v>0</v>
      </c>
      <c r="K66" s="33">
        <f>SUM(K64:K65)</f>
        <v>0</v>
      </c>
      <c r="M66" s="33">
        <f>SUM(M64:M65)</f>
        <v>0</v>
      </c>
      <c r="O66" s="33">
        <f>SUM(O64:O65)</f>
        <v>0</v>
      </c>
      <c r="Q66" s="33">
        <f>SUM(Q64:Q65)</f>
        <v>0</v>
      </c>
      <c r="S66" s="33">
        <f>SUM(S64:S65)</f>
        <v>0</v>
      </c>
      <c r="U66" s="33">
        <f>SUM(U64:U65)</f>
        <v>0</v>
      </c>
      <c r="W66" s="33">
        <f>SUM(W64:W65)</f>
        <v>0</v>
      </c>
      <c r="Y66" s="33">
        <f>SUM(Y64:Y65)</f>
        <v>0</v>
      </c>
      <c r="AA66" s="33">
        <f>SUM(AA64:AA65)</f>
        <v>0</v>
      </c>
      <c r="AC66" s="33">
        <f>SUM(AC64:AC65)</f>
        <v>0</v>
      </c>
    </row>
    <row r="67" spans="1:29" s="6" customFormat="1" outlineLevel="1">
      <c r="A67" s="4">
        <v>15111</v>
      </c>
      <c r="B67" s="4" t="s">
        <v>328</v>
      </c>
      <c r="C67" s="5"/>
      <c r="D67" s="5"/>
      <c r="G67" s="159">
        <v>0</v>
      </c>
      <c r="I67" s="159">
        <v>0</v>
      </c>
      <c r="K67" s="159">
        <v>0</v>
      </c>
      <c r="M67" s="159">
        <v>0</v>
      </c>
      <c r="O67" s="159">
        <v>0</v>
      </c>
      <c r="Q67" s="159">
        <v>0</v>
      </c>
      <c r="S67" s="159">
        <v>0</v>
      </c>
      <c r="U67" s="159">
        <v>0</v>
      </c>
      <c r="W67" s="159">
        <v>0</v>
      </c>
      <c r="Y67" s="159">
        <v>-65856</v>
      </c>
      <c r="AA67" s="159">
        <v>-6663.55</v>
      </c>
      <c r="AC67" s="159">
        <v>-26823.83</v>
      </c>
    </row>
    <row r="68" spans="1:29" s="6" customFormat="1" ht="4.5" customHeight="1" outlineLevel="1">
      <c r="A68" s="37"/>
      <c r="G68" s="36"/>
      <c r="I68" s="36"/>
      <c r="K68" s="36"/>
      <c r="M68" s="36"/>
      <c r="O68" s="36"/>
      <c r="Q68" s="36"/>
      <c r="S68" s="36"/>
      <c r="U68" s="36"/>
      <c r="W68" s="36"/>
      <c r="Y68" s="36"/>
      <c r="AA68" s="36"/>
      <c r="AC68" s="36"/>
    </row>
    <row r="69" spans="1:29" s="6" customFormat="1">
      <c r="C69" s="6" t="s">
        <v>329</v>
      </c>
      <c r="G69" s="33">
        <f>SUM(G67:G68)</f>
        <v>0</v>
      </c>
      <c r="I69" s="33">
        <f>SUM(I67:I68)</f>
        <v>0</v>
      </c>
      <c r="K69" s="33">
        <f>SUM(K67:K68)</f>
        <v>0</v>
      </c>
      <c r="M69" s="33">
        <f>SUM(M67:M68)</f>
        <v>0</v>
      </c>
      <c r="O69" s="33">
        <f>SUM(O67:O68)</f>
        <v>0</v>
      </c>
      <c r="Q69" s="33">
        <f>SUM(Q67:Q68)</f>
        <v>0</v>
      </c>
      <c r="S69" s="33">
        <f>SUM(S67:S68)</f>
        <v>0</v>
      </c>
      <c r="U69" s="33">
        <f>SUM(U67:U68)</f>
        <v>0</v>
      </c>
      <c r="W69" s="33">
        <f>SUM(W67:W68)</f>
        <v>0</v>
      </c>
      <c r="Y69" s="33">
        <f>SUM(Y67:Y68)</f>
        <v>-65856</v>
      </c>
      <c r="AA69" s="33">
        <f>SUM(AA67:AA68)</f>
        <v>-6663.55</v>
      </c>
      <c r="AC69" s="33">
        <f>SUM(AC67:AC68)</f>
        <v>-26823.83</v>
      </c>
    </row>
    <row r="70" spans="1:29" s="6" customFormat="1" outlineLevel="1">
      <c r="A70" s="4">
        <v>15261</v>
      </c>
      <c r="B70" s="4" t="s">
        <v>380</v>
      </c>
      <c r="C70" s="5"/>
      <c r="D70" s="5"/>
      <c r="G70" s="159">
        <v>0</v>
      </c>
      <c r="I70" s="159">
        <v>0</v>
      </c>
      <c r="K70" s="159">
        <v>0</v>
      </c>
      <c r="M70" s="159">
        <v>0</v>
      </c>
      <c r="O70" s="159">
        <v>0</v>
      </c>
      <c r="Q70" s="159">
        <v>0</v>
      </c>
      <c r="S70" s="159">
        <v>0</v>
      </c>
      <c r="U70" s="159">
        <v>0</v>
      </c>
      <c r="W70" s="159">
        <v>0</v>
      </c>
      <c r="Y70" s="159">
        <v>0</v>
      </c>
      <c r="AA70" s="159">
        <v>1256674.8</v>
      </c>
      <c r="AC70" s="159">
        <v>1256674.8</v>
      </c>
    </row>
    <row r="71" spans="1:29" s="6" customFormat="1" ht="5.0999999999999996" customHeight="1" outlineLevel="1">
      <c r="A71" s="5"/>
      <c r="B71" s="5"/>
      <c r="C71" s="5"/>
      <c r="D71" s="5"/>
      <c r="G71" s="36"/>
      <c r="I71" s="36"/>
      <c r="K71" s="36"/>
      <c r="M71" s="36"/>
      <c r="O71" s="36"/>
      <c r="Q71" s="36"/>
      <c r="S71" s="36"/>
      <c r="U71" s="36"/>
      <c r="W71" s="36"/>
      <c r="Y71" s="36"/>
      <c r="AA71" s="36"/>
      <c r="AC71" s="36"/>
    </row>
    <row r="72" spans="1:29" s="6" customFormat="1">
      <c r="C72" s="4" t="s">
        <v>330</v>
      </c>
      <c r="D72" s="40"/>
      <c r="E72" s="40"/>
      <c r="F72" s="40"/>
      <c r="G72" s="33">
        <f>SUM(G70:G71)</f>
        <v>0</v>
      </c>
      <c r="I72" s="33">
        <f>SUM(I70:I71)</f>
        <v>0</v>
      </c>
      <c r="K72" s="33">
        <f>SUM(K70:K71)</f>
        <v>0</v>
      </c>
      <c r="M72" s="33">
        <f>SUM(M70:M71)</f>
        <v>0</v>
      </c>
      <c r="O72" s="33">
        <f>SUM(O70:O71)</f>
        <v>0</v>
      </c>
      <c r="Q72" s="33">
        <f>SUM(Q70:Q71)</f>
        <v>0</v>
      </c>
      <c r="S72" s="33">
        <f>SUM(S70:S71)</f>
        <v>0</v>
      </c>
      <c r="U72" s="33">
        <f>SUM(U70:U71)</f>
        <v>0</v>
      </c>
      <c r="W72" s="33">
        <f>SUM(W70:W71)</f>
        <v>0</v>
      </c>
      <c r="Y72" s="33">
        <f>SUM(Y70:Y71)</f>
        <v>0</v>
      </c>
      <c r="AA72" s="33">
        <f>SUM(AA70:AA71)</f>
        <v>1256674.8</v>
      </c>
      <c r="AC72" s="33">
        <f>SUM(AC70:AC71)</f>
        <v>1256674.8</v>
      </c>
    </row>
    <row r="73" spans="1:29" s="150" customFormat="1" outlineLevel="1"/>
    <row r="74" spans="1:29" s="6" customFormat="1" ht="5.0999999999999996" customHeight="1" outlineLevel="1">
      <c r="A74" s="5"/>
      <c r="B74" s="5"/>
      <c r="C74" s="5"/>
      <c r="D74" s="5"/>
      <c r="G74" s="36"/>
      <c r="I74" s="36"/>
      <c r="K74" s="36"/>
      <c r="M74" s="36"/>
      <c r="O74" s="36"/>
      <c r="Q74" s="36"/>
      <c r="S74" s="36"/>
      <c r="U74" s="36"/>
      <c r="W74" s="36"/>
      <c r="Y74" s="36"/>
      <c r="AA74" s="36"/>
      <c r="AC74" s="36"/>
    </row>
    <row r="75" spans="1:29" s="6" customFormat="1">
      <c r="C75" s="4" t="s">
        <v>331</v>
      </c>
      <c r="D75" s="40"/>
      <c r="E75" s="40"/>
      <c r="F75" s="40"/>
      <c r="G75" s="33">
        <f>SUM(G73:G74)</f>
        <v>0</v>
      </c>
      <c r="I75" s="33">
        <f>SUM(I73:I74)</f>
        <v>0</v>
      </c>
      <c r="K75" s="33">
        <f>SUM(K73:K74)</f>
        <v>0</v>
      </c>
      <c r="M75" s="33">
        <f>SUM(M73:M74)</f>
        <v>0</v>
      </c>
      <c r="O75" s="33">
        <f>SUM(O73:O74)</f>
        <v>0</v>
      </c>
      <c r="Q75" s="33">
        <f>SUM(Q73:Q74)</f>
        <v>0</v>
      </c>
      <c r="S75" s="33">
        <f>SUM(S73:S74)</f>
        <v>0</v>
      </c>
      <c r="U75" s="33">
        <f>SUM(U73:U74)</f>
        <v>0</v>
      </c>
      <c r="W75" s="33">
        <f>SUM(W73:W74)</f>
        <v>0</v>
      </c>
      <c r="Y75" s="33">
        <f>SUM(Y73:Y74)</f>
        <v>0</v>
      </c>
      <c r="AA75" s="33">
        <f>SUM(AA73:AA74)</f>
        <v>0</v>
      </c>
      <c r="AC75" s="33">
        <f>SUM(AC73:AC74)</f>
        <v>0</v>
      </c>
    </row>
    <row r="76" spans="1:29" s="150" customFormat="1" outlineLevel="1"/>
    <row r="77" spans="1:29" s="6" customFormat="1" ht="4.5" customHeight="1" outlineLevel="1">
      <c r="A77" s="37"/>
      <c r="G77" s="36"/>
      <c r="I77" s="36"/>
      <c r="K77" s="36"/>
      <c r="M77" s="36"/>
      <c r="O77" s="36"/>
      <c r="Q77" s="36"/>
      <c r="S77" s="36"/>
      <c r="U77" s="36"/>
      <c r="W77" s="36"/>
      <c r="Y77" s="36"/>
      <c r="AA77" s="36"/>
      <c r="AC77" s="36"/>
    </row>
    <row r="78" spans="1:29" s="6" customFormat="1">
      <c r="C78" s="6" t="s">
        <v>332</v>
      </c>
      <c r="G78" s="33">
        <f>SUM(G76:G77)</f>
        <v>0</v>
      </c>
      <c r="I78" s="33">
        <f>SUM(I76:I77)</f>
        <v>0</v>
      </c>
      <c r="K78" s="33">
        <f>SUM(K76:K77)</f>
        <v>0</v>
      </c>
      <c r="M78" s="33">
        <f>SUM(M76:M77)</f>
        <v>0</v>
      </c>
      <c r="O78" s="33">
        <f>SUM(O76:O77)</f>
        <v>0</v>
      </c>
      <c r="Q78" s="33">
        <f>SUM(Q76:Q77)</f>
        <v>0</v>
      </c>
      <c r="S78" s="33">
        <f>SUM(S76:S77)</f>
        <v>0</v>
      </c>
      <c r="U78" s="33">
        <f>SUM(U76:U77)</f>
        <v>0</v>
      </c>
      <c r="W78" s="33">
        <f>SUM(W76:W77)</f>
        <v>0</v>
      </c>
      <c r="Y78" s="33">
        <f>SUM(Y76:Y77)</f>
        <v>0</v>
      </c>
      <c r="AA78" s="33">
        <f>SUM(AA76:AA77)</f>
        <v>0</v>
      </c>
      <c r="AC78" s="33">
        <f>SUM(AC76:AC77)</f>
        <v>0</v>
      </c>
    </row>
    <row r="79" spans="1:29" s="150" customFormat="1" outlineLevel="1"/>
    <row r="80" spans="1:29" s="6" customFormat="1" ht="5.0999999999999996" customHeight="1" outlineLevel="1">
      <c r="A80" s="5"/>
      <c r="B80" s="5"/>
      <c r="C80" s="5"/>
      <c r="D80" s="5"/>
      <c r="G80" s="36"/>
      <c r="I80" s="36"/>
      <c r="K80" s="36"/>
      <c r="M80" s="36"/>
      <c r="O80" s="36"/>
      <c r="Q80" s="36"/>
      <c r="S80" s="36"/>
      <c r="U80" s="36"/>
      <c r="W80" s="36"/>
      <c r="Y80" s="36"/>
      <c r="AA80" s="36"/>
      <c r="AC80" s="36"/>
    </row>
    <row r="81" spans="1:29" s="6" customFormat="1">
      <c r="C81" s="4" t="s">
        <v>333</v>
      </c>
      <c r="G81" s="33">
        <f>SUM(G79:G80)</f>
        <v>0</v>
      </c>
      <c r="I81" s="33">
        <f>SUM(I79:I80)</f>
        <v>0</v>
      </c>
      <c r="K81" s="33">
        <f>SUM(K79:K80)</f>
        <v>0</v>
      </c>
      <c r="M81" s="33">
        <f>SUM(M79:M80)</f>
        <v>0</v>
      </c>
      <c r="O81" s="33">
        <f>SUM(O79:O80)</f>
        <v>0</v>
      </c>
      <c r="Q81" s="33">
        <f>SUM(Q79:Q80)</f>
        <v>0</v>
      </c>
      <c r="S81" s="33">
        <f>SUM(S79:S80)</f>
        <v>0</v>
      </c>
      <c r="U81" s="33">
        <f>SUM(U79:U80)</f>
        <v>0</v>
      </c>
      <c r="W81" s="33">
        <f>SUM(W79:W80)</f>
        <v>0</v>
      </c>
      <c r="Y81" s="33">
        <f>SUM(Y79:Y80)</f>
        <v>0</v>
      </c>
      <c r="AA81" s="33">
        <f>SUM(AA79:AA80)</f>
        <v>0</v>
      </c>
      <c r="AC81" s="33">
        <f>SUM(AC79:AC80)</f>
        <v>0</v>
      </c>
    </row>
    <row r="82" spans="1:29" s="150" customFormat="1" outlineLevel="1"/>
    <row r="83" spans="1:29" s="6" customFormat="1" ht="5.0999999999999996" customHeight="1" outlineLevel="1">
      <c r="A83" s="5"/>
      <c r="B83" s="5"/>
      <c r="C83" s="5"/>
      <c r="D83" s="5"/>
      <c r="G83" s="36"/>
      <c r="I83" s="36"/>
      <c r="K83" s="36"/>
      <c r="M83" s="36"/>
      <c r="O83" s="36"/>
      <c r="Q83" s="36"/>
      <c r="S83" s="36"/>
      <c r="U83" s="36"/>
      <c r="W83" s="36"/>
      <c r="Y83" s="36"/>
      <c r="AA83" s="36"/>
      <c r="AC83" s="36"/>
    </row>
    <row r="84" spans="1:29" s="6" customFormat="1">
      <c r="C84" s="4" t="s">
        <v>361</v>
      </c>
      <c r="G84" s="33">
        <f>SUM(G82:G83)</f>
        <v>0</v>
      </c>
      <c r="I84" s="33">
        <f>SUM(I82:I83)</f>
        <v>0</v>
      </c>
      <c r="K84" s="33">
        <f>SUM(K82:K83)</f>
        <v>0</v>
      </c>
      <c r="M84" s="33">
        <f>SUM(M82:M83)</f>
        <v>0</v>
      </c>
      <c r="O84" s="33">
        <f>SUM(O82:O83)</f>
        <v>0</v>
      </c>
      <c r="Q84" s="33">
        <f>SUM(Q82:Q83)</f>
        <v>0</v>
      </c>
      <c r="S84" s="33">
        <f>SUM(S82:S83)</f>
        <v>0</v>
      </c>
      <c r="U84" s="33">
        <f>SUM(U82:U83)</f>
        <v>0</v>
      </c>
      <c r="W84" s="33">
        <f>SUM(W82:W83)</f>
        <v>0</v>
      </c>
      <c r="Y84" s="33">
        <f>SUM(Y82:Y83)</f>
        <v>0</v>
      </c>
      <c r="AA84" s="33">
        <f>SUM(AA82:AA83)</f>
        <v>0</v>
      </c>
      <c r="AC84" s="33">
        <f>SUM(AC82:AC83)</f>
        <v>0</v>
      </c>
    </row>
    <row r="85" spans="1:29" s="6" customFormat="1" outlineLevel="1">
      <c r="A85" s="4">
        <v>17100</v>
      </c>
      <c r="B85" s="4" t="s">
        <v>334</v>
      </c>
      <c r="C85" s="5"/>
      <c r="D85" s="5"/>
      <c r="G85" s="159">
        <v>0</v>
      </c>
      <c r="I85" s="159">
        <v>0</v>
      </c>
      <c r="K85" s="159">
        <v>0</v>
      </c>
      <c r="M85" s="159">
        <v>0</v>
      </c>
      <c r="O85" s="159">
        <v>0</v>
      </c>
      <c r="Q85" s="159">
        <v>0</v>
      </c>
      <c r="S85" s="159">
        <v>0</v>
      </c>
      <c r="U85" s="159">
        <v>0</v>
      </c>
      <c r="W85" s="159">
        <v>0</v>
      </c>
      <c r="Y85" s="159">
        <v>-127240.72</v>
      </c>
      <c r="AA85" s="159">
        <v>-284794.62</v>
      </c>
      <c r="AC85" s="159">
        <v>-215299.17</v>
      </c>
    </row>
    <row r="86" spans="1:29" s="6" customFormat="1" outlineLevel="1">
      <c r="A86" s="4">
        <v>18100</v>
      </c>
      <c r="B86" s="4" t="s">
        <v>335</v>
      </c>
      <c r="C86" s="5"/>
      <c r="D86" s="5"/>
      <c r="G86" s="159">
        <v>0</v>
      </c>
      <c r="I86" s="159">
        <v>0</v>
      </c>
      <c r="K86" s="159">
        <v>0</v>
      </c>
      <c r="M86" s="159">
        <v>0</v>
      </c>
      <c r="O86" s="159">
        <v>0</v>
      </c>
      <c r="Q86" s="159">
        <v>0</v>
      </c>
      <c r="S86" s="159">
        <v>0</v>
      </c>
      <c r="U86" s="159">
        <v>0</v>
      </c>
      <c r="W86" s="159">
        <v>0</v>
      </c>
      <c r="Y86" s="159">
        <v>0</v>
      </c>
      <c r="AA86" s="159">
        <v>-1388542.12</v>
      </c>
      <c r="AC86" s="159">
        <v>-1388542.12</v>
      </c>
    </row>
    <row r="87" spans="1:29" s="6" customFormat="1" ht="5.0999999999999996" customHeight="1" outlineLevel="1">
      <c r="A87" s="5"/>
      <c r="B87" s="5"/>
      <c r="C87" s="5"/>
      <c r="D87" s="5"/>
      <c r="G87" s="36"/>
      <c r="I87" s="36"/>
      <c r="K87" s="36"/>
      <c r="M87" s="36"/>
      <c r="O87" s="36"/>
      <c r="Q87" s="36"/>
      <c r="S87" s="36"/>
      <c r="U87" s="36"/>
      <c r="W87" s="36"/>
      <c r="Y87" s="36"/>
      <c r="AA87" s="36"/>
      <c r="AC87" s="36"/>
    </row>
    <row r="88" spans="1:29" s="6" customFormat="1">
      <c r="C88" s="4" t="s">
        <v>336</v>
      </c>
      <c r="G88" s="33">
        <f>SUM(G85:G87)</f>
        <v>0</v>
      </c>
      <c r="I88" s="33">
        <f>SUM(I85:I87)</f>
        <v>0</v>
      </c>
      <c r="K88" s="33">
        <f>SUM(K85:K87)</f>
        <v>0</v>
      </c>
      <c r="M88" s="33">
        <f>SUM(M85:M87)</f>
        <v>0</v>
      </c>
      <c r="O88" s="33">
        <f>SUM(O85:O87)</f>
        <v>0</v>
      </c>
      <c r="Q88" s="33">
        <f>SUM(Q85:Q87)</f>
        <v>0</v>
      </c>
      <c r="S88" s="33">
        <f>SUM(S85:S87)</f>
        <v>0</v>
      </c>
      <c r="U88" s="33">
        <f>SUM(U85:U87)</f>
        <v>0</v>
      </c>
      <c r="W88" s="33">
        <f>SUM(W85:W87)</f>
        <v>0</v>
      </c>
      <c r="Y88" s="33">
        <f>SUM(Y85:Y87)</f>
        <v>-127240.72</v>
      </c>
      <c r="AA88" s="33">
        <f>SUM(AA85:AA87)</f>
        <v>-1673336.7400000002</v>
      </c>
      <c r="AC88" s="33">
        <f>SUM(AC85:AC87)</f>
        <v>-1603841.29</v>
      </c>
    </row>
    <row r="89" spans="1:29" s="6" customFormat="1" ht="7.5" customHeight="1">
      <c r="G89" s="35"/>
      <c r="I89" s="35"/>
      <c r="K89" s="35"/>
      <c r="M89" s="35"/>
      <c r="O89" s="35"/>
      <c r="Q89" s="35"/>
      <c r="S89" s="35"/>
      <c r="U89" s="35"/>
      <c r="W89" s="35"/>
      <c r="Y89" s="35"/>
      <c r="AA89" s="35"/>
      <c r="AC89" s="35"/>
    </row>
    <row r="90" spans="1:29" s="6" customFormat="1" ht="13.5" thickBot="1">
      <c r="B90" s="38" t="s">
        <v>337</v>
      </c>
      <c r="G90" s="58">
        <f>SUM(G63,G66,G69,G72,G75,G78,G81,G84,G88,G39)</f>
        <v>0</v>
      </c>
      <c r="I90" s="58">
        <f>SUM(I63,I66,I69,I72,I75,I78,I81,I84,I88,I39)</f>
        <v>0</v>
      </c>
      <c r="K90" s="58">
        <f>SUM(K63,K66,K69,K72,K75,K78,K81,K84,K88,K39)</f>
        <v>0</v>
      </c>
      <c r="M90" s="58">
        <f>SUM(M63,M66,M69,M72,M75,M78,M81,M84,M88,M39)</f>
        <v>0</v>
      </c>
      <c r="O90" s="58">
        <f>SUM(O63,O66,O69,O72,O75,O78,O81,O84,O88,O39)</f>
        <v>0</v>
      </c>
      <c r="Q90" s="58">
        <f>SUM(Q63,Q66,Q69,Q72,Q75,Q78,Q81,Q84,Q88,Q39)</f>
        <v>0</v>
      </c>
      <c r="S90" s="58">
        <f>SUM(S63,S66,S69,S72,S75,S78,S81,S84,S88,S39)</f>
        <v>0</v>
      </c>
      <c r="U90" s="58">
        <f>SUM(U63,U66,U69,U72,U75,U78,U81,U84,U88,U39)</f>
        <v>0</v>
      </c>
      <c r="W90" s="58">
        <f>SUM(W63,W66,W69,W72,W75,W78,W81,W84,W88,W39)</f>
        <v>0</v>
      </c>
      <c r="Y90" s="58">
        <f>SUM(Y63,Y66,Y69,Y72,Y75,Y78,Y81,Y84,Y88,Y39)</f>
        <v>90778.459999999992</v>
      </c>
      <c r="AA90" s="58">
        <f>SUM(AA63,AA66,AA69,AA72,AA75,AA78,AA81,AA84,AA88,AA39)</f>
        <v>87551.489999999845</v>
      </c>
      <c r="AC90" s="58">
        <f>SUM(AC63,AC66,AC69,AC72,AC75,AC78,AC81,AC84,AC88,AC39)</f>
        <v>116839.43</v>
      </c>
    </row>
    <row r="91" spans="1:29" s="6" customFormat="1" ht="7.5" customHeight="1" thickTop="1">
      <c r="G91" s="35"/>
      <c r="I91" s="35"/>
      <c r="K91" s="35"/>
      <c r="M91" s="35"/>
      <c r="O91" s="35"/>
      <c r="Q91" s="35"/>
      <c r="S91" s="35"/>
      <c r="U91" s="35"/>
      <c r="W91" s="35"/>
      <c r="Y91" s="35"/>
      <c r="AA91" s="35"/>
      <c r="AC91" s="35"/>
    </row>
    <row r="92" spans="1:29" s="6" customFormat="1" outlineLevel="1">
      <c r="G92" s="35"/>
      <c r="I92" s="35"/>
      <c r="K92" s="35"/>
      <c r="M92" s="35"/>
      <c r="O92" s="35"/>
      <c r="Q92" s="35"/>
      <c r="S92" s="35"/>
      <c r="U92" s="35"/>
      <c r="W92" s="35"/>
      <c r="Y92" s="35"/>
      <c r="AA92" s="35"/>
      <c r="AC92" s="35"/>
    </row>
    <row r="93" spans="1:29" s="150" customFormat="1" outlineLevel="1"/>
    <row r="94" spans="1:29" s="6" customFormat="1" ht="5.0999999999999996" customHeight="1" outlineLevel="1">
      <c r="A94" s="5"/>
      <c r="B94" s="5"/>
      <c r="C94" s="5"/>
      <c r="D94" s="5"/>
      <c r="G94" s="36"/>
      <c r="I94" s="36"/>
      <c r="K94" s="36"/>
      <c r="M94" s="36"/>
      <c r="O94" s="36"/>
      <c r="Q94" s="36"/>
      <c r="S94" s="36"/>
      <c r="U94" s="36"/>
      <c r="W94" s="36"/>
      <c r="Y94" s="36"/>
      <c r="AA94" s="36"/>
      <c r="AC94" s="36"/>
    </row>
    <row r="95" spans="1:29" s="6" customFormat="1">
      <c r="C95" s="4" t="s">
        <v>338</v>
      </c>
      <c r="G95" s="33">
        <f>SUM(G93:G94)</f>
        <v>0</v>
      </c>
      <c r="I95" s="33">
        <f>SUM(I93:I94)</f>
        <v>0</v>
      </c>
      <c r="K95" s="33">
        <f>SUM(K93:K94)</f>
        <v>0</v>
      </c>
      <c r="M95" s="33">
        <f>SUM(M93:M94)</f>
        <v>0</v>
      </c>
      <c r="O95" s="33">
        <f>SUM(O93:O94)</f>
        <v>0</v>
      </c>
      <c r="Q95" s="33">
        <f>SUM(Q93:Q94)</f>
        <v>0</v>
      </c>
      <c r="S95" s="33">
        <f>SUM(S93:S94)</f>
        <v>0</v>
      </c>
      <c r="U95" s="33">
        <f>SUM(U93:U94)</f>
        <v>0</v>
      </c>
      <c r="W95" s="33">
        <f>SUM(W93:W94)</f>
        <v>0</v>
      </c>
      <c r="Y95" s="33">
        <f>SUM(Y93:Y94)</f>
        <v>0</v>
      </c>
      <c r="AA95" s="33">
        <f>SUM(AA93:AA94)</f>
        <v>0</v>
      </c>
      <c r="AC95" s="33">
        <f>SUM(AC93:AC94)</f>
        <v>0</v>
      </c>
    </row>
    <row r="96" spans="1:29" s="6" customFormat="1" outlineLevel="1">
      <c r="A96" s="4">
        <v>20120</v>
      </c>
      <c r="B96" s="4" t="s">
        <v>339</v>
      </c>
      <c r="C96" s="5"/>
      <c r="D96" s="5"/>
      <c r="G96" s="159">
        <v>0</v>
      </c>
      <c r="I96" s="159">
        <v>0</v>
      </c>
      <c r="K96" s="159">
        <v>0</v>
      </c>
      <c r="M96" s="159">
        <v>0</v>
      </c>
      <c r="O96" s="159">
        <v>0</v>
      </c>
      <c r="Q96" s="159">
        <v>0</v>
      </c>
      <c r="S96" s="159">
        <v>0</v>
      </c>
      <c r="U96" s="159">
        <v>0</v>
      </c>
      <c r="W96" s="159">
        <v>0</v>
      </c>
      <c r="Y96" s="159">
        <v>10771.06</v>
      </c>
      <c r="AA96" s="159">
        <v>19523.740000000002</v>
      </c>
      <c r="AC96" s="159">
        <v>26680.959999999999</v>
      </c>
    </row>
    <row r="97" spans="1:29" s="6" customFormat="1" outlineLevel="1">
      <c r="A97" s="4">
        <v>20121</v>
      </c>
      <c r="B97" s="4" t="s">
        <v>340</v>
      </c>
      <c r="C97" s="5"/>
      <c r="D97" s="5"/>
      <c r="G97" s="159">
        <v>0</v>
      </c>
      <c r="I97" s="159">
        <v>0</v>
      </c>
      <c r="K97" s="159">
        <v>0</v>
      </c>
      <c r="M97" s="159">
        <v>0</v>
      </c>
      <c r="O97" s="159">
        <v>0</v>
      </c>
      <c r="Q97" s="159">
        <v>0</v>
      </c>
      <c r="S97" s="159">
        <v>0</v>
      </c>
      <c r="U97" s="159">
        <v>0</v>
      </c>
      <c r="W97" s="159">
        <v>0</v>
      </c>
      <c r="Y97" s="159">
        <v>0</v>
      </c>
      <c r="AA97" s="159">
        <v>0</v>
      </c>
      <c r="AC97" s="159">
        <v>2584.8000000000002</v>
      </c>
    </row>
    <row r="98" spans="1:29" s="6" customFormat="1" outlineLevel="1">
      <c r="A98" s="4">
        <v>20123</v>
      </c>
      <c r="B98" s="4" t="s">
        <v>341</v>
      </c>
      <c r="C98" s="5"/>
      <c r="D98" s="5"/>
      <c r="G98" s="159">
        <v>0</v>
      </c>
      <c r="I98" s="159">
        <v>0</v>
      </c>
      <c r="K98" s="159">
        <v>0</v>
      </c>
      <c r="M98" s="159">
        <v>0</v>
      </c>
      <c r="O98" s="159">
        <v>0</v>
      </c>
      <c r="Q98" s="159">
        <v>0</v>
      </c>
      <c r="S98" s="159">
        <v>0</v>
      </c>
      <c r="U98" s="159">
        <v>0</v>
      </c>
      <c r="W98" s="159">
        <v>0</v>
      </c>
      <c r="Y98" s="159">
        <v>13246.37</v>
      </c>
      <c r="AA98" s="159">
        <v>1487.37</v>
      </c>
      <c r="AC98" s="159">
        <v>620</v>
      </c>
    </row>
    <row r="99" spans="1:29" s="6" customFormat="1" outlineLevel="1">
      <c r="A99" s="4">
        <v>20140</v>
      </c>
      <c r="B99" s="4" t="s">
        <v>342</v>
      </c>
      <c r="C99" s="5"/>
      <c r="D99" s="5"/>
      <c r="G99" s="159">
        <v>0</v>
      </c>
      <c r="I99" s="159">
        <v>0</v>
      </c>
      <c r="K99" s="159">
        <v>0</v>
      </c>
      <c r="M99" s="159">
        <v>0</v>
      </c>
      <c r="O99" s="159">
        <v>0</v>
      </c>
      <c r="Q99" s="159">
        <v>0</v>
      </c>
      <c r="S99" s="159">
        <v>0</v>
      </c>
      <c r="U99" s="159">
        <v>0</v>
      </c>
      <c r="W99" s="159">
        <v>0</v>
      </c>
      <c r="Y99" s="159">
        <v>8452.73</v>
      </c>
      <c r="AA99" s="159">
        <v>0</v>
      </c>
      <c r="AC99" s="159">
        <v>0</v>
      </c>
    </row>
    <row r="100" spans="1:29" s="6" customFormat="1" outlineLevel="1">
      <c r="A100" s="4">
        <v>20170</v>
      </c>
      <c r="B100" s="4" t="s">
        <v>1357</v>
      </c>
      <c r="C100" s="5"/>
      <c r="D100" s="5"/>
      <c r="G100" s="159">
        <v>0</v>
      </c>
      <c r="I100" s="159">
        <v>0</v>
      </c>
      <c r="K100" s="159">
        <v>0</v>
      </c>
      <c r="M100" s="159">
        <v>0</v>
      </c>
      <c r="O100" s="159">
        <v>0</v>
      </c>
      <c r="Q100" s="159">
        <v>0</v>
      </c>
      <c r="S100" s="159">
        <v>0</v>
      </c>
      <c r="U100" s="159">
        <v>0</v>
      </c>
      <c r="W100" s="159">
        <v>0</v>
      </c>
      <c r="Y100" s="159">
        <v>35062.199999999997</v>
      </c>
      <c r="AA100" s="159">
        <v>24603.34</v>
      </c>
      <c r="AC100" s="159">
        <v>27361.55</v>
      </c>
    </row>
    <row r="101" spans="1:29" s="6" customFormat="1" outlineLevel="1">
      <c r="A101" s="4">
        <v>20175</v>
      </c>
      <c r="B101" s="4" t="s">
        <v>343</v>
      </c>
      <c r="C101" s="5"/>
      <c r="D101" s="5"/>
      <c r="G101" s="159">
        <v>0</v>
      </c>
      <c r="I101" s="159">
        <v>0</v>
      </c>
      <c r="K101" s="159">
        <v>0</v>
      </c>
      <c r="M101" s="159">
        <v>0</v>
      </c>
      <c r="O101" s="159">
        <v>0</v>
      </c>
      <c r="Q101" s="159">
        <v>0</v>
      </c>
      <c r="S101" s="159">
        <v>0</v>
      </c>
      <c r="U101" s="159">
        <v>0</v>
      </c>
      <c r="W101" s="159">
        <v>0</v>
      </c>
      <c r="Y101" s="159">
        <v>8064.3</v>
      </c>
      <c r="AA101" s="159">
        <v>6740.62</v>
      </c>
      <c r="AC101" s="159">
        <v>5609.63</v>
      </c>
    </row>
    <row r="102" spans="1:29" s="6" customFormat="1" outlineLevel="1">
      <c r="A102" s="4">
        <v>20178</v>
      </c>
      <c r="B102" s="4" t="s">
        <v>344</v>
      </c>
      <c r="C102" s="5"/>
      <c r="D102" s="5"/>
      <c r="G102" s="159">
        <v>0</v>
      </c>
      <c r="I102" s="159">
        <v>0</v>
      </c>
      <c r="K102" s="159">
        <v>0</v>
      </c>
      <c r="M102" s="159">
        <v>0</v>
      </c>
      <c r="O102" s="159">
        <v>0</v>
      </c>
      <c r="Q102" s="159">
        <v>0</v>
      </c>
      <c r="S102" s="159">
        <v>0</v>
      </c>
      <c r="U102" s="159">
        <v>0</v>
      </c>
      <c r="W102" s="159">
        <v>0</v>
      </c>
      <c r="Y102" s="159">
        <v>299.77999999999997</v>
      </c>
      <c r="AA102" s="159">
        <v>624.44000000000005</v>
      </c>
      <c r="AC102" s="159">
        <v>1004.71</v>
      </c>
    </row>
    <row r="103" spans="1:29" s="6" customFormat="1" outlineLevel="1">
      <c r="A103" s="4">
        <v>20180</v>
      </c>
      <c r="B103" s="4" t="s">
        <v>345</v>
      </c>
      <c r="C103" s="5"/>
      <c r="D103" s="5"/>
      <c r="G103" s="159">
        <v>0</v>
      </c>
      <c r="I103" s="159">
        <v>0</v>
      </c>
      <c r="K103" s="159">
        <v>0</v>
      </c>
      <c r="M103" s="159">
        <v>0</v>
      </c>
      <c r="O103" s="159">
        <v>0</v>
      </c>
      <c r="Q103" s="159">
        <v>0</v>
      </c>
      <c r="S103" s="159">
        <v>0</v>
      </c>
      <c r="U103" s="159">
        <v>0</v>
      </c>
      <c r="W103" s="159">
        <v>0</v>
      </c>
      <c r="Y103" s="159">
        <v>0</v>
      </c>
      <c r="AA103" s="159">
        <v>3088.48</v>
      </c>
      <c r="AC103" s="159">
        <v>5511.04</v>
      </c>
    </row>
    <row r="104" spans="1:29" s="6" customFormat="1" ht="5.0999999999999996" customHeight="1" outlineLevel="1">
      <c r="A104" s="5"/>
      <c r="B104" s="5"/>
      <c r="C104" s="5"/>
      <c r="D104" s="5"/>
      <c r="G104" s="36"/>
      <c r="I104" s="36"/>
      <c r="K104" s="36"/>
      <c r="M104" s="36"/>
      <c r="O104" s="36"/>
      <c r="Q104" s="36"/>
      <c r="S104" s="36"/>
      <c r="U104" s="36"/>
      <c r="W104" s="36"/>
      <c r="Y104" s="36"/>
      <c r="AA104" s="36"/>
      <c r="AC104" s="36"/>
    </row>
    <row r="105" spans="1:29" s="6" customFormat="1">
      <c r="C105" s="4" t="s">
        <v>346</v>
      </c>
      <c r="G105" s="33">
        <f>SUM(G96:G104)</f>
        <v>0</v>
      </c>
      <c r="I105" s="33">
        <f>SUM(I96:I104)</f>
        <v>0</v>
      </c>
      <c r="K105" s="33">
        <f>SUM(K96:K104)</f>
        <v>0</v>
      </c>
      <c r="M105" s="33">
        <f>SUM(M96:M104)</f>
        <v>0</v>
      </c>
      <c r="O105" s="33">
        <f>SUM(O96:O104)</f>
        <v>0</v>
      </c>
      <c r="Q105" s="33">
        <f>SUM(Q96:Q104)</f>
        <v>0</v>
      </c>
      <c r="S105" s="33">
        <f>SUM(S96:S104)</f>
        <v>0</v>
      </c>
      <c r="U105" s="33">
        <f>SUM(U96:U104)</f>
        <v>0</v>
      </c>
      <c r="W105" s="33">
        <f>SUM(W96:W104)</f>
        <v>0</v>
      </c>
      <c r="Y105" s="33">
        <f>SUM(Y96:Y104)</f>
        <v>75896.44</v>
      </c>
      <c r="AA105" s="33">
        <f>SUM(AA96:AA104)</f>
        <v>56067.990000000005</v>
      </c>
      <c r="AC105" s="33">
        <f>SUM(AC96:AC104)</f>
        <v>69372.689999999988</v>
      </c>
    </row>
    <row r="106" spans="1:29" s="6" customFormat="1" outlineLevel="1">
      <c r="A106" s="4">
        <v>20300</v>
      </c>
      <c r="B106" s="4" t="s">
        <v>347</v>
      </c>
      <c r="C106" s="5"/>
      <c r="D106" s="5"/>
      <c r="G106" s="159">
        <v>0</v>
      </c>
      <c r="I106" s="159">
        <v>0</v>
      </c>
      <c r="K106" s="159">
        <v>0</v>
      </c>
      <c r="M106" s="159">
        <v>0</v>
      </c>
      <c r="O106" s="159">
        <v>0</v>
      </c>
      <c r="Q106" s="159">
        <v>0</v>
      </c>
      <c r="S106" s="159">
        <v>0</v>
      </c>
      <c r="U106" s="159">
        <v>0</v>
      </c>
      <c r="W106" s="159">
        <v>0</v>
      </c>
      <c r="Y106" s="159">
        <v>0</v>
      </c>
      <c r="AA106" s="159">
        <v>0</v>
      </c>
      <c r="AC106" s="159">
        <v>513.21</v>
      </c>
    </row>
    <row r="107" spans="1:29" s="6" customFormat="1" ht="5.0999999999999996" customHeight="1" outlineLevel="1">
      <c r="A107" s="5"/>
      <c r="B107" s="5"/>
      <c r="C107" s="5"/>
      <c r="D107" s="5"/>
      <c r="G107" s="36"/>
      <c r="I107" s="36"/>
      <c r="K107" s="36"/>
      <c r="M107" s="36"/>
      <c r="O107" s="36"/>
      <c r="Q107" s="36"/>
      <c r="S107" s="36"/>
      <c r="U107" s="36"/>
      <c r="W107" s="36"/>
      <c r="Y107" s="36"/>
      <c r="AA107" s="36"/>
      <c r="AC107" s="36"/>
    </row>
    <row r="108" spans="1:29" s="6" customFormat="1">
      <c r="C108" s="4" t="s">
        <v>348</v>
      </c>
      <c r="G108" s="33">
        <f>SUM(G106:G107)</f>
        <v>0</v>
      </c>
      <c r="I108" s="33">
        <f>SUM(I106:I107)</f>
        <v>0</v>
      </c>
      <c r="K108" s="33">
        <f>SUM(K106:K107)</f>
        <v>0</v>
      </c>
      <c r="M108" s="33">
        <f>SUM(M106:M107)</f>
        <v>0</v>
      </c>
      <c r="O108" s="33">
        <f>SUM(O106:O107)</f>
        <v>0</v>
      </c>
      <c r="Q108" s="33">
        <f>SUM(Q106:Q107)</f>
        <v>0</v>
      </c>
      <c r="S108" s="33">
        <f>SUM(S106:S107)</f>
        <v>0</v>
      </c>
      <c r="U108" s="33">
        <f>SUM(U106:U107)</f>
        <v>0</v>
      </c>
      <c r="W108" s="33">
        <f>SUM(W106:W107)</f>
        <v>0</v>
      </c>
      <c r="Y108" s="33">
        <f>SUM(Y106:Y107)</f>
        <v>0</v>
      </c>
      <c r="AA108" s="33">
        <f>SUM(AA106:AA107)</f>
        <v>0</v>
      </c>
      <c r="AC108" s="33">
        <f>SUM(AC106:AC107)</f>
        <v>513.21</v>
      </c>
    </row>
    <row r="109" spans="1:29" s="6" customFormat="1" outlineLevel="1">
      <c r="A109" s="4">
        <v>20320</v>
      </c>
      <c r="B109" s="4" t="s">
        <v>349</v>
      </c>
      <c r="C109" s="5"/>
      <c r="D109" s="5"/>
      <c r="G109" s="159">
        <v>0</v>
      </c>
      <c r="I109" s="159">
        <v>0</v>
      </c>
      <c r="K109" s="159">
        <v>0</v>
      </c>
      <c r="M109" s="159">
        <v>0</v>
      </c>
      <c r="O109" s="159">
        <v>0</v>
      </c>
      <c r="Q109" s="159">
        <v>0</v>
      </c>
      <c r="S109" s="159">
        <v>0</v>
      </c>
      <c r="U109" s="159">
        <v>0</v>
      </c>
      <c r="W109" s="159">
        <v>0</v>
      </c>
      <c r="Y109" s="159">
        <v>2626.68</v>
      </c>
      <c r="AA109" s="159">
        <v>3902.11</v>
      </c>
      <c r="AC109" s="159">
        <v>8362.69</v>
      </c>
    </row>
    <row r="110" spans="1:29" s="6" customFormat="1" outlineLevel="1">
      <c r="A110" s="4">
        <v>20321</v>
      </c>
      <c r="B110" s="4" t="s">
        <v>350</v>
      </c>
      <c r="C110" s="5"/>
      <c r="D110" s="5"/>
      <c r="G110" s="159">
        <v>0</v>
      </c>
      <c r="I110" s="159">
        <v>0</v>
      </c>
      <c r="K110" s="159">
        <v>0</v>
      </c>
      <c r="M110" s="159">
        <v>0</v>
      </c>
      <c r="O110" s="159">
        <v>0</v>
      </c>
      <c r="Q110" s="159">
        <v>0</v>
      </c>
      <c r="S110" s="159">
        <v>0</v>
      </c>
      <c r="U110" s="159">
        <v>0</v>
      </c>
      <c r="W110" s="159">
        <v>0</v>
      </c>
      <c r="Y110" s="159">
        <v>0</v>
      </c>
      <c r="AA110" s="159">
        <v>272.51</v>
      </c>
      <c r="AC110" s="159">
        <v>1840.53</v>
      </c>
    </row>
    <row r="111" spans="1:29" s="6" customFormat="1" outlineLevel="1">
      <c r="A111" s="4">
        <v>20340</v>
      </c>
      <c r="B111" s="4" t="s">
        <v>351</v>
      </c>
      <c r="C111" s="5"/>
      <c r="D111" s="5"/>
      <c r="G111" s="159">
        <v>0</v>
      </c>
      <c r="I111" s="159">
        <v>0</v>
      </c>
      <c r="K111" s="159">
        <v>0</v>
      </c>
      <c r="M111" s="159">
        <v>0</v>
      </c>
      <c r="O111" s="159">
        <v>0</v>
      </c>
      <c r="Q111" s="159">
        <v>0</v>
      </c>
      <c r="S111" s="159">
        <v>0</v>
      </c>
      <c r="U111" s="159">
        <v>0</v>
      </c>
      <c r="W111" s="159">
        <v>0</v>
      </c>
      <c r="Y111" s="159">
        <v>0</v>
      </c>
      <c r="AA111" s="159">
        <v>649.79999999999995</v>
      </c>
      <c r="AC111" s="159">
        <v>974.7</v>
      </c>
    </row>
    <row r="112" spans="1:29" s="6" customFormat="1" outlineLevel="1">
      <c r="A112" s="4">
        <v>20351</v>
      </c>
      <c r="B112" s="4" t="s">
        <v>352</v>
      </c>
      <c r="C112" s="5"/>
      <c r="D112" s="5"/>
      <c r="G112" s="159">
        <v>0</v>
      </c>
      <c r="I112" s="159">
        <v>0</v>
      </c>
      <c r="K112" s="159">
        <v>0</v>
      </c>
      <c r="M112" s="159">
        <v>0</v>
      </c>
      <c r="O112" s="159">
        <v>0</v>
      </c>
      <c r="Q112" s="159">
        <v>0</v>
      </c>
      <c r="S112" s="159">
        <v>0</v>
      </c>
      <c r="U112" s="159">
        <v>0</v>
      </c>
      <c r="W112" s="159">
        <v>0</v>
      </c>
      <c r="Y112" s="159">
        <v>7.13</v>
      </c>
      <c r="AA112" s="159">
        <v>24.41</v>
      </c>
      <c r="AC112" s="159">
        <v>48.93</v>
      </c>
    </row>
    <row r="113" spans="1:29" s="6" customFormat="1" ht="4.5" customHeight="1" outlineLevel="1">
      <c r="A113" s="37"/>
      <c r="G113" s="36"/>
      <c r="I113" s="36"/>
      <c r="K113" s="36"/>
      <c r="M113" s="36"/>
      <c r="O113" s="36"/>
      <c r="Q113" s="36"/>
      <c r="S113" s="36"/>
      <c r="U113" s="36"/>
      <c r="W113" s="36"/>
      <c r="Y113" s="36"/>
      <c r="AA113" s="36"/>
      <c r="AC113" s="36"/>
    </row>
    <row r="114" spans="1:29" s="6" customFormat="1">
      <c r="C114" s="6" t="s">
        <v>354</v>
      </c>
      <c r="G114" s="33">
        <f>SUM(G109:G113)</f>
        <v>0</v>
      </c>
      <c r="I114" s="33">
        <f>SUM(I109:I113)</f>
        <v>0</v>
      </c>
      <c r="K114" s="33">
        <f>SUM(K109:K113)</f>
        <v>0</v>
      </c>
      <c r="M114" s="33">
        <f>SUM(M109:M113)</f>
        <v>0</v>
      </c>
      <c r="O114" s="33">
        <f>SUM(O109:O113)</f>
        <v>0</v>
      </c>
      <c r="Q114" s="33">
        <f>SUM(Q109:Q113)</f>
        <v>0</v>
      </c>
      <c r="S114" s="33">
        <f>SUM(S109:S113)</f>
        <v>0</v>
      </c>
      <c r="U114" s="33">
        <f>SUM(U109:U113)</f>
        <v>0</v>
      </c>
      <c r="W114" s="33">
        <f>SUM(W109:W113)</f>
        <v>0</v>
      </c>
      <c r="Y114" s="33">
        <f>SUM(Y109:Y113)</f>
        <v>2633.81</v>
      </c>
      <c r="AA114" s="33">
        <f>SUM(AA109:AA113)</f>
        <v>4848.83</v>
      </c>
      <c r="AC114" s="33">
        <f>SUM(AC109:AC113)</f>
        <v>11226.850000000002</v>
      </c>
    </row>
    <row r="115" spans="1:29" s="6" customFormat="1" ht="7.5" customHeight="1">
      <c r="G115" s="35"/>
      <c r="I115" s="35"/>
      <c r="K115" s="35"/>
      <c r="M115" s="35"/>
      <c r="O115" s="35"/>
      <c r="Q115" s="35"/>
      <c r="S115" s="35"/>
      <c r="U115" s="35"/>
      <c r="W115" s="35"/>
      <c r="Y115" s="35"/>
      <c r="AA115" s="35"/>
      <c r="AC115" s="35"/>
    </row>
    <row r="116" spans="1:29" s="6" customFormat="1">
      <c r="B116" s="38" t="s">
        <v>355</v>
      </c>
      <c r="G116" s="39">
        <f>SUM(G95,G105,G108,G114)</f>
        <v>0</v>
      </c>
      <c r="I116" s="39">
        <f>SUM(I95,I105,I108,I114)</f>
        <v>0</v>
      </c>
      <c r="K116" s="39">
        <f>SUM(K95,K105,K108,K114)</f>
        <v>0</v>
      </c>
      <c r="M116" s="39">
        <f>SUM(M95,M105,M108,M114)</f>
        <v>0</v>
      </c>
      <c r="O116" s="39">
        <f>SUM(O95,O105,O108,O114)</f>
        <v>0</v>
      </c>
      <c r="Q116" s="39">
        <f>SUM(Q95,Q105,Q108,Q114)</f>
        <v>0</v>
      </c>
      <c r="S116" s="39">
        <f>SUM(S95,S105,S108,S114)</f>
        <v>0</v>
      </c>
      <c r="U116" s="39">
        <f>SUM(U95,U105,U108,U114)</f>
        <v>0</v>
      </c>
      <c r="W116" s="39">
        <f>SUM(W95,W105,W108,W114)</f>
        <v>0</v>
      </c>
      <c r="Y116" s="39">
        <f>SUM(Y95,Y105,Y108,Y114)</f>
        <v>78530.25</v>
      </c>
      <c r="AA116" s="39">
        <f>SUM(AA95,AA105,AA108,AA114)</f>
        <v>60916.820000000007</v>
      </c>
      <c r="AC116" s="39">
        <f>SUM(AC95,AC105,AC108,AC114)</f>
        <v>81112.75</v>
      </c>
    </row>
    <row r="117" spans="1:29" s="6" customFormat="1" ht="7.5" customHeight="1">
      <c r="G117" s="35"/>
      <c r="I117" s="35"/>
      <c r="K117" s="35"/>
      <c r="M117" s="35"/>
      <c r="O117" s="35"/>
      <c r="Q117" s="35"/>
      <c r="S117" s="35"/>
      <c r="U117" s="35"/>
      <c r="W117" s="35"/>
      <c r="Y117" s="35"/>
      <c r="AA117" s="35"/>
      <c r="AC117" s="35"/>
    </row>
    <row r="118" spans="1:29" s="6" customFormat="1" outlineLevel="1">
      <c r="G118" s="35"/>
      <c r="I118" s="35"/>
      <c r="K118" s="35"/>
      <c r="M118" s="35"/>
      <c r="O118" s="35"/>
      <c r="Q118" s="35"/>
      <c r="S118" s="35"/>
      <c r="U118" s="35"/>
      <c r="W118" s="35"/>
      <c r="Y118" s="35"/>
      <c r="AA118" s="35"/>
      <c r="AC118" s="35"/>
    </row>
    <row r="119" spans="1:29" s="150" customFormat="1" outlineLevel="1"/>
    <row r="120" spans="1:29" s="6" customFormat="1" ht="5.0999999999999996" customHeight="1" outlineLevel="1">
      <c r="A120" s="5"/>
      <c r="B120" s="5"/>
      <c r="C120" s="5"/>
      <c r="D120" s="5"/>
      <c r="G120" s="36"/>
      <c r="I120" s="36"/>
      <c r="K120" s="36"/>
      <c r="M120" s="36"/>
      <c r="O120" s="36"/>
      <c r="Q120" s="36"/>
      <c r="S120" s="36"/>
      <c r="U120" s="36"/>
      <c r="W120" s="36"/>
      <c r="Y120" s="36"/>
      <c r="AA120" s="36"/>
      <c r="AC120" s="36"/>
    </row>
    <row r="121" spans="1:29" s="6" customFormat="1">
      <c r="C121" s="4" t="s">
        <v>356</v>
      </c>
      <c r="G121" s="33">
        <f>SUM(G119:G120)</f>
        <v>0</v>
      </c>
      <c r="I121" s="33">
        <f>SUM(I119:I120)</f>
        <v>0</v>
      </c>
      <c r="K121" s="33">
        <f>SUM(K119:K120)</f>
        <v>0</v>
      </c>
      <c r="M121" s="33">
        <f>SUM(M119:M120)</f>
        <v>0</v>
      </c>
      <c r="O121" s="33">
        <f>SUM(O119:O120)</f>
        <v>0</v>
      </c>
      <c r="Q121" s="33">
        <f>SUM(Q119:Q120)</f>
        <v>0</v>
      </c>
      <c r="S121" s="33">
        <f>SUM(S119:S120)</f>
        <v>0</v>
      </c>
      <c r="U121" s="33">
        <f>SUM(U119:U120)</f>
        <v>0</v>
      </c>
      <c r="W121" s="33">
        <f>SUM(W119:W120)</f>
        <v>0</v>
      </c>
      <c r="Y121" s="33">
        <f>SUM(Y119:Y120)</f>
        <v>0</v>
      </c>
      <c r="AA121" s="33">
        <f>SUM(AA119:AA120)</f>
        <v>0</v>
      </c>
      <c r="AC121" s="33">
        <f>SUM(AC119:AC120)</f>
        <v>0</v>
      </c>
    </row>
    <row r="122" spans="1:29" s="150" customFormat="1" outlineLevel="1"/>
    <row r="123" spans="1:29" s="6" customFormat="1" ht="5.0999999999999996" customHeight="1" outlineLevel="1">
      <c r="A123" s="5"/>
      <c r="B123" s="5"/>
      <c r="C123" s="5"/>
      <c r="D123" s="5"/>
      <c r="G123" s="36"/>
      <c r="I123" s="36"/>
      <c r="K123" s="36"/>
      <c r="M123" s="36"/>
      <c r="O123" s="36"/>
      <c r="Q123" s="36"/>
      <c r="S123" s="36"/>
      <c r="U123" s="36"/>
      <c r="W123" s="36"/>
      <c r="Y123" s="36"/>
      <c r="AA123" s="36"/>
      <c r="AC123" s="36"/>
    </row>
    <row r="124" spans="1:29" s="6" customFormat="1">
      <c r="C124" s="4" t="s">
        <v>357</v>
      </c>
      <c r="G124" s="33">
        <f>SUM(G122:G123)</f>
        <v>0</v>
      </c>
      <c r="I124" s="33">
        <f>SUM(I122:I123)</f>
        <v>0</v>
      </c>
      <c r="K124" s="33">
        <f>SUM(K122:K123)</f>
        <v>0</v>
      </c>
      <c r="M124" s="33">
        <f>SUM(M122:M123)</f>
        <v>0</v>
      </c>
      <c r="O124" s="33">
        <f>SUM(O122:O123)</f>
        <v>0</v>
      </c>
      <c r="Q124" s="33">
        <f>SUM(Q122:Q123)</f>
        <v>0</v>
      </c>
      <c r="S124" s="33">
        <f>SUM(S122:S123)</f>
        <v>0</v>
      </c>
      <c r="U124" s="33">
        <f>SUM(U122:U123)</f>
        <v>0</v>
      </c>
      <c r="W124" s="33">
        <f>SUM(W122:W123)</f>
        <v>0</v>
      </c>
      <c r="Y124" s="33">
        <f>SUM(Y122:Y123)</f>
        <v>0</v>
      </c>
      <c r="AA124" s="33">
        <f>SUM(AA122:AA123)</f>
        <v>0</v>
      </c>
      <c r="AC124" s="33">
        <f>SUM(AC122:AC123)</f>
        <v>0</v>
      </c>
    </row>
    <row r="125" spans="1:29" s="150" customFormat="1" outlineLevel="1"/>
    <row r="126" spans="1:29" s="6" customFormat="1" ht="5.0999999999999996" customHeight="1" outlineLevel="1">
      <c r="A126" s="5"/>
      <c r="B126" s="5"/>
      <c r="C126" s="5"/>
      <c r="D126" s="5"/>
      <c r="G126" s="36"/>
      <c r="I126" s="36"/>
      <c r="K126" s="36"/>
      <c r="M126" s="36"/>
      <c r="O126" s="36"/>
      <c r="Q126" s="36"/>
      <c r="S126" s="36"/>
      <c r="U126" s="36"/>
      <c r="W126" s="36"/>
      <c r="Y126" s="36"/>
      <c r="AA126" s="36"/>
      <c r="AC126" s="36"/>
    </row>
    <row r="127" spans="1:29" s="6" customFormat="1">
      <c r="C127" s="4" t="s">
        <v>358</v>
      </c>
      <c r="G127" s="33">
        <f>SUM(G125:G126)</f>
        <v>0</v>
      </c>
      <c r="I127" s="33">
        <f>SUM(I125:I126)</f>
        <v>0</v>
      </c>
      <c r="K127" s="33">
        <f>SUM(K125:K126)</f>
        <v>0</v>
      </c>
      <c r="M127" s="33">
        <f>SUM(M125:M126)</f>
        <v>0</v>
      </c>
      <c r="O127" s="33">
        <f>SUM(O125:O126)</f>
        <v>0</v>
      </c>
      <c r="Q127" s="33">
        <f>SUM(Q125:Q126)</f>
        <v>0</v>
      </c>
      <c r="S127" s="33">
        <f>SUM(S125:S126)</f>
        <v>0</v>
      </c>
      <c r="U127" s="33">
        <f>SUM(U125:U126)</f>
        <v>0</v>
      </c>
      <c r="W127" s="33">
        <f>SUM(W125:W126)</f>
        <v>0</v>
      </c>
      <c r="Y127" s="33">
        <f>SUM(Y125:Y126)</f>
        <v>0</v>
      </c>
      <c r="AA127" s="33">
        <f>SUM(AA125:AA126)</f>
        <v>0</v>
      </c>
      <c r="AC127" s="33">
        <f>SUM(AC125:AC126)</f>
        <v>0</v>
      </c>
    </row>
    <row r="128" spans="1:29" s="150" customFormat="1" outlineLevel="1"/>
    <row r="129" spans="1:29" s="6" customFormat="1" ht="5.0999999999999996" customHeight="1" outlineLevel="1">
      <c r="A129" s="5"/>
      <c r="B129" s="5"/>
      <c r="C129" s="5"/>
      <c r="D129" s="5"/>
      <c r="G129" s="36"/>
      <c r="I129" s="36"/>
      <c r="K129" s="36"/>
      <c r="M129" s="36"/>
      <c r="O129" s="36"/>
      <c r="Q129" s="36"/>
      <c r="S129" s="36"/>
      <c r="U129" s="36"/>
      <c r="W129" s="36"/>
      <c r="Y129" s="36"/>
      <c r="AA129" s="36"/>
      <c r="AC129" s="36"/>
    </row>
    <row r="130" spans="1:29" s="6" customFormat="1">
      <c r="C130" s="4" t="s">
        <v>359</v>
      </c>
      <c r="G130" s="33">
        <f>SUM(G128:G129)</f>
        <v>0</v>
      </c>
      <c r="I130" s="33">
        <f>SUM(I128:I129)</f>
        <v>0</v>
      </c>
      <c r="K130" s="33">
        <f>SUM(K128:K129)</f>
        <v>0</v>
      </c>
      <c r="M130" s="33">
        <f>SUM(M128:M129)</f>
        <v>0</v>
      </c>
      <c r="O130" s="33">
        <f>SUM(O128:O129)</f>
        <v>0</v>
      </c>
      <c r="Q130" s="33">
        <f>SUM(Q128:Q129)</f>
        <v>0</v>
      </c>
      <c r="S130" s="33">
        <f>SUM(S128:S129)</f>
        <v>0</v>
      </c>
      <c r="U130" s="33">
        <f>SUM(U128:U129)</f>
        <v>0</v>
      </c>
      <c r="W130" s="33">
        <f>SUM(W128:W129)</f>
        <v>0</v>
      </c>
      <c r="Y130" s="33">
        <f>SUM(Y128:Y129)</f>
        <v>0</v>
      </c>
      <c r="AA130" s="33">
        <f>SUM(AA128:AA129)</f>
        <v>0</v>
      </c>
      <c r="AC130" s="33">
        <f>SUM(AC128:AC129)</f>
        <v>0</v>
      </c>
    </row>
    <row r="131" spans="1:29" s="150" customFormat="1" outlineLevel="1"/>
    <row r="132" spans="1:29" s="6" customFormat="1" ht="5.0999999999999996" customHeight="1" outlineLevel="1">
      <c r="A132" s="5"/>
      <c r="B132" s="5"/>
      <c r="C132" s="5"/>
      <c r="D132" s="5"/>
      <c r="G132" s="36"/>
      <c r="I132" s="36"/>
      <c r="K132" s="36"/>
      <c r="M132" s="36"/>
      <c r="O132" s="36"/>
      <c r="Q132" s="36"/>
      <c r="S132" s="36"/>
      <c r="U132" s="36"/>
      <c r="W132" s="36"/>
      <c r="Y132" s="36"/>
      <c r="AA132" s="36"/>
      <c r="AC132" s="36"/>
    </row>
    <row r="133" spans="1:29" s="6" customFormat="1">
      <c r="C133" s="4" t="s">
        <v>360</v>
      </c>
      <c r="G133" s="33">
        <f>SUM(G131:G132)</f>
        <v>0</v>
      </c>
      <c r="I133" s="33">
        <f>SUM(I131:I132)</f>
        <v>0</v>
      </c>
      <c r="K133" s="33">
        <f>SUM(K131:K132)</f>
        <v>0</v>
      </c>
      <c r="M133" s="33">
        <f>SUM(M131:M132)</f>
        <v>0</v>
      </c>
      <c r="O133" s="33">
        <f>SUM(O131:O132)</f>
        <v>0</v>
      </c>
      <c r="Q133" s="33">
        <f>SUM(Q131:Q132)</f>
        <v>0</v>
      </c>
      <c r="S133" s="33">
        <f>SUM(S131:S132)</f>
        <v>0</v>
      </c>
      <c r="U133" s="33">
        <f>SUM(U131:U132)</f>
        <v>0</v>
      </c>
      <c r="W133" s="33">
        <f>SUM(W131:W132)</f>
        <v>0</v>
      </c>
      <c r="Y133" s="33">
        <f>SUM(Y131:Y132)</f>
        <v>0</v>
      </c>
      <c r="AA133" s="33">
        <f>SUM(AA131:AA132)</f>
        <v>0</v>
      </c>
      <c r="AC133" s="33">
        <f>SUM(AC131:AC132)</f>
        <v>0</v>
      </c>
    </row>
    <row r="134" spans="1:29" s="6" customFormat="1" ht="7.5" customHeight="1">
      <c r="G134" s="35"/>
      <c r="I134" s="35"/>
      <c r="K134" s="35"/>
      <c r="M134" s="35"/>
      <c r="O134" s="35"/>
      <c r="Q134" s="35"/>
      <c r="S134" s="35"/>
      <c r="U134" s="35"/>
      <c r="W134" s="35"/>
      <c r="Y134" s="35"/>
      <c r="AA134" s="35"/>
      <c r="AC134" s="35"/>
    </row>
    <row r="135" spans="1:29" s="6" customFormat="1">
      <c r="B135" s="38" t="s">
        <v>362</v>
      </c>
      <c r="G135" s="39">
        <f>SUM(G121,G127,G133,G116,G124,G130)</f>
        <v>0</v>
      </c>
      <c r="I135" s="39">
        <f>SUM(I121,I127,I133,I116,I124,I130)</f>
        <v>0</v>
      </c>
      <c r="K135" s="39">
        <f>SUM(K121,K127,K133,K116,K124,K130)</f>
        <v>0</v>
      </c>
      <c r="M135" s="39">
        <f>SUM(M121,M127,M133,M116,M124,M130)</f>
        <v>0</v>
      </c>
      <c r="O135" s="39">
        <f>SUM(O121,O127,O133,O116,O124,O130)</f>
        <v>0</v>
      </c>
      <c r="Q135" s="39">
        <f>SUM(Q121,Q127,Q133,Q116,Q124,Q130)</f>
        <v>0</v>
      </c>
      <c r="S135" s="39">
        <f>SUM(S121,S127,S133,S116,S124,S130)</f>
        <v>0</v>
      </c>
      <c r="U135" s="39">
        <f>SUM(U121,U127,U133,U116,U124,U130)</f>
        <v>0</v>
      </c>
      <c r="W135" s="39">
        <f>SUM(W121,W127,W133,W116,W124,W130)</f>
        <v>0</v>
      </c>
      <c r="Y135" s="39">
        <f>SUM(Y121,Y127,Y133,Y116,Y124,Y130)</f>
        <v>78530.25</v>
      </c>
      <c r="AA135" s="39">
        <f>SUM(AA121,AA127,AA133,AA116,AA124,AA130)</f>
        <v>60916.820000000007</v>
      </c>
      <c r="AC135" s="39">
        <f>SUM(AC121,AC127,AC133,AC116,AC124,AC130)</f>
        <v>81112.75</v>
      </c>
    </row>
    <row r="136" spans="1:29" s="6" customFormat="1" ht="7.5" customHeight="1">
      <c r="G136" s="35"/>
      <c r="I136" s="35"/>
      <c r="K136" s="35"/>
      <c r="M136" s="35"/>
      <c r="O136" s="35"/>
      <c r="Q136" s="35"/>
      <c r="S136" s="35"/>
      <c r="U136" s="35"/>
      <c r="W136" s="35"/>
      <c r="Y136" s="35"/>
      <c r="AA136" s="35"/>
      <c r="AC136" s="35"/>
    </row>
    <row r="137" spans="1:29" s="150" customFormat="1" outlineLevel="1"/>
    <row r="138" spans="1:29" s="6" customFormat="1" ht="5.0999999999999996" customHeight="1" outlineLevel="1">
      <c r="A138" s="5"/>
      <c r="B138" s="5"/>
      <c r="C138" s="5"/>
      <c r="D138" s="5"/>
      <c r="G138" s="36"/>
      <c r="I138" s="36"/>
      <c r="K138" s="36"/>
      <c r="M138" s="36"/>
      <c r="O138" s="36"/>
      <c r="Q138" s="36"/>
      <c r="S138" s="36"/>
      <c r="U138" s="36"/>
      <c r="W138" s="36"/>
      <c r="Y138" s="36"/>
      <c r="AA138" s="36"/>
      <c r="AC138" s="36"/>
    </row>
    <row r="139" spans="1:29" s="6" customFormat="1">
      <c r="C139" s="4" t="s">
        <v>363</v>
      </c>
      <c r="G139" s="33">
        <f>SUM(G137:G138)</f>
        <v>0</v>
      </c>
      <c r="I139" s="33">
        <f>SUM(I137:I138)</f>
        <v>0</v>
      </c>
      <c r="K139" s="33">
        <f>SUM(K137:K138)</f>
        <v>0</v>
      </c>
      <c r="M139" s="33">
        <f>SUM(M137:M138)</f>
        <v>0</v>
      </c>
      <c r="O139" s="33">
        <f>SUM(O137:O138)</f>
        <v>0</v>
      </c>
      <c r="Q139" s="33">
        <f>SUM(Q137:Q138)</f>
        <v>0</v>
      </c>
      <c r="S139" s="33">
        <f>SUM(S137:S138)</f>
        <v>0</v>
      </c>
      <c r="U139" s="33">
        <f>SUM(U137:U138)</f>
        <v>0</v>
      </c>
      <c r="W139" s="33">
        <f>SUM(W137:W138)</f>
        <v>0</v>
      </c>
      <c r="Y139" s="33">
        <f>SUM(Y137:Y138)</f>
        <v>0</v>
      </c>
      <c r="AA139" s="33">
        <f>SUM(AA137:AA138)</f>
        <v>0</v>
      </c>
      <c r="AC139" s="33">
        <f>SUM(AC137:AC138)</f>
        <v>0</v>
      </c>
    </row>
    <row r="140" spans="1:29" s="150" customFormat="1" outlineLevel="1"/>
    <row r="141" spans="1:29" s="6" customFormat="1" ht="5.0999999999999996" customHeight="1" outlineLevel="1">
      <c r="A141" s="5"/>
      <c r="B141" s="5"/>
      <c r="C141" s="5"/>
      <c r="D141" s="5"/>
      <c r="G141" s="36"/>
      <c r="I141" s="36"/>
      <c r="K141" s="36"/>
      <c r="M141" s="36"/>
      <c r="O141" s="36"/>
      <c r="Q141" s="36"/>
      <c r="S141" s="36"/>
      <c r="U141" s="36"/>
      <c r="W141" s="36"/>
      <c r="Y141" s="36"/>
      <c r="AA141" s="36"/>
      <c r="AC141" s="36"/>
    </row>
    <row r="142" spans="1:29" s="6" customFormat="1">
      <c r="C142" s="4" t="s">
        <v>364</v>
      </c>
      <c r="G142" s="33">
        <f>SUM(G140:G141)</f>
        <v>0</v>
      </c>
      <c r="I142" s="33">
        <f>SUM(I140:I141)</f>
        <v>0</v>
      </c>
      <c r="K142" s="33">
        <f>SUM(K140:K141)</f>
        <v>0</v>
      </c>
      <c r="M142" s="33">
        <f>SUM(M140:M141)</f>
        <v>0</v>
      </c>
      <c r="O142" s="33">
        <f>SUM(O140:O141)</f>
        <v>0</v>
      </c>
      <c r="Q142" s="33">
        <f>SUM(Q140:Q141)</f>
        <v>0</v>
      </c>
      <c r="S142" s="33">
        <f>SUM(S140:S141)</f>
        <v>0</v>
      </c>
      <c r="U142" s="33">
        <f>SUM(U140:U141)</f>
        <v>0</v>
      </c>
      <c r="W142" s="33">
        <f>SUM(W140:W141)</f>
        <v>0</v>
      </c>
      <c r="Y142" s="33">
        <f>SUM(Y140:Y141)</f>
        <v>0</v>
      </c>
      <c r="AA142" s="33">
        <f>SUM(AA140:AA141)</f>
        <v>0</v>
      </c>
      <c r="AC142" s="33">
        <f>SUM(AC140:AC141)</f>
        <v>0</v>
      </c>
    </row>
    <row r="143" spans="1:29" s="150" customFormat="1" outlineLevel="1"/>
    <row r="144" spans="1:29" s="6" customFormat="1" ht="5.0999999999999996" customHeight="1" outlineLevel="1">
      <c r="A144" s="5"/>
      <c r="B144" s="5"/>
      <c r="C144" s="5"/>
      <c r="D144" s="5"/>
      <c r="G144" s="36"/>
      <c r="I144" s="36"/>
      <c r="K144" s="36"/>
      <c r="M144" s="36"/>
      <c r="O144" s="36"/>
      <c r="Q144" s="36"/>
      <c r="S144" s="36"/>
      <c r="U144" s="36"/>
      <c r="W144" s="36"/>
      <c r="Y144" s="36"/>
      <c r="AA144" s="36"/>
      <c r="AC144" s="36"/>
    </row>
    <row r="145" spans="1:29" s="6" customFormat="1">
      <c r="C145" s="4" t="s">
        <v>365</v>
      </c>
      <c r="G145" s="33">
        <f>SUM(G143:G144)</f>
        <v>0</v>
      </c>
      <c r="I145" s="33">
        <f>SUM(I143:I144)</f>
        <v>0</v>
      </c>
      <c r="K145" s="33">
        <f>SUM(K143:K144)</f>
        <v>0</v>
      </c>
      <c r="M145" s="33">
        <f>SUM(M143:M144)</f>
        <v>0</v>
      </c>
      <c r="O145" s="33">
        <f>SUM(O143:O144)</f>
        <v>0</v>
      </c>
      <c r="Q145" s="33">
        <f>SUM(Q143:Q144)</f>
        <v>0</v>
      </c>
      <c r="S145" s="33">
        <f>SUM(S143:S144)</f>
        <v>0</v>
      </c>
      <c r="U145" s="33">
        <f>SUM(U143:U144)</f>
        <v>0</v>
      </c>
      <c r="W145" s="33">
        <f>SUM(W143:W144)</f>
        <v>0</v>
      </c>
      <c r="Y145" s="33">
        <f>SUM(Y143:Y144)</f>
        <v>0</v>
      </c>
      <c r="AA145" s="33">
        <f>SUM(AA143:AA144)</f>
        <v>0</v>
      </c>
      <c r="AC145" s="33">
        <f>SUM(AC143:AC144)</f>
        <v>0</v>
      </c>
    </row>
    <row r="146" spans="1:29" s="150" customFormat="1" outlineLevel="1"/>
    <row r="147" spans="1:29" s="6" customFormat="1" ht="5.0999999999999996" customHeight="1" outlineLevel="1">
      <c r="A147" s="5"/>
      <c r="B147" s="5"/>
      <c r="C147" s="5"/>
      <c r="D147" s="5"/>
      <c r="G147" s="36"/>
      <c r="I147" s="36"/>
      <c r="K147" s="36"/>
      <c r="M147" s="36"/>
      <c r="O147" s="36"/>
      <c r="Q147" s="36"/>
      <c r="S147" s="36"/>
      <c r="U147" s="36"/>
      <c r="W147" s="36"/>
      <c r="Y147" s="36"/>
      <c r="AA147" s="36"/>
      <c r="AC147" s="36"/>
    </row>
    <row r="148" spans="1:29" s="6" customFormat="1">
      <c r="C148" s="4" t="s">
        <v>366</v>
      </c>
      <c r="G148" s="33">
        <f>SUM(G146:G147)</f>
        <v>0</v>
      </c>
      <c r="I148" s="33">
        <f>SUM(I146:I147)</f>
        <v>0</v>
      </c>
      <c r="K148" s="33">
        <f>SUM(K146:K147)</f>
        <v>0</v>
      </c>
      <c r="M148" s="33">
        <f>SUM(M146:M147)</f>
        <v>0</v>
      </c>
      <c r="O148" s="33">
        <f>SUM(O146:O147)</f>
        <v>0</v>
      </c>
      <c r="Q148" s="33">
        <f>SUM(Q146:Q147)</f>
        <v>0</v>
      </c>
      <c r="S148" s="33">
        <f>SUM(S146:S147)</f>
        <v>0</v>
      </c>
      <c r="U148" s="33">
        <f>SUM(U146:U147)</f>
        <v>0</v>
      </c>
      <c r="W148" s="33">
        <f>SUM(W146:W147)</f>
        <v>0</v>
      </c>
      <c r="Y148" s="33">
        <f>SUM(Y146:Y147)</f>
        <v>0</v>
      </c>
      <c r="AA148" s="33">
        <f>SUM(AA146:AA147)</f>
        <v>0</v>
      </c>
      <c r="AC148" s="33">
        <f>SUM(AC146:AC147)</f>
        <v>0</v>
      </c>
    </row>
    <row r="149" spans="1:29" s="150" customFormat="1" outlineLevel="1"/>
    <row r="150" spans="1:29" s="6" customFormat="1" ht="5.0999999999999996" customHeight="1" outlineLevel="1">
      <c r="A150" s="5"/>
      <c r="B150" s="5"/>
      <c r="C150" s="5"/>
      <c r="D150" s="5"/>
      <c r="G150" s="36"/>
      <c r="I150" s="36"/>
      <c r="K150" s="36"/>
      <c r="M150" s="36"/>
      <c r="O150" s="36"/>
      <c r="Q150" s="36"/>
      <c r="S150" s="36"/>
      <c r="U150" s="36"/>
      <c r="W150" s="36"/>
      <c r="Y150" s="36"/>
      <c r="AA150" s="36"/>
      <c r="AC150" s="36"/>
    </row>
    <row r="151" spans="1:29" s="6" customFormat="1">
      <c r="C151" s="4" t="s">
        <v>367</v>
      </c>
      <c r="G151" s="33">
        <f>SUM(G149:G150)</f>
        <v>0</v>
      </c>
      <c r="I151" s="33">
        <f>SUM(I149:I150)</f>
        <v>0</v>
      </c>
      <c r="K151" s="33">
        <f>SUM(K149:K150)</f>
        <v>0</v>
      </c>
      <c r="M151" s="33">
        <f>SUM(M149:M150)</f>
        <v>0</v>
      </c>
      <c r="O151" s="33">
        <f>SUM(O149:O150)</f>
        <v>0</v>
      </c>
      <c r="Q151" s="33">
        <f>SUM(Q149:Q150)</f>
        <v>0</v>
      </c>
      <c r="S151" s="33">
        <f>SUM(S149:S150)</f>
        <v>0</v>
      </c>
      <c r="U151" s="33">
        <f>SUM(U149:U150)</f>
        <v>0</v>
      </c>
      <c r="W151" s="33">
        <f>SUM(W149:W150)</f>
        <v>0</v>
      </c>
      <c r="Y151" s="33">
        <f>SUM(Y149:Y150)</f>
        <v>0</v>
      </c>
      <c r="AA151" s="33">
        <f>SUM(AA149:AA150)</f>
        <v>0</v>
      </c>
      <c r="AC151" s="33">
        <f>SUM(AC149:AC150)</f>
        <v>0</v>
      </c>
    </row>
    <row r="152" spans="1:29" s="150" customFormat="1" outlineLevel="1"/>
    <row r="153" spans="1:29" s="6" customFormat="1" ht="5.0999999999999996" customHeight="1" outlineLevel="1">
      <c r="A153" s="5"/>
      <c r="B153" s="5"/>
      <c r="C153" s="5"/>
      <c r="D153" s="5"/>
      <c r="G153" s="36"/>
      <c r="I153" s="36"/>
      <c r="K153" s="36"/>
      <c r="M153" s="36"/>
      <c r="O153" s="36"/>
      <c r="Q153" s="36"/>
      <c r="S153" s="36"/>
      <c r="U153" s="36"/>
      <c r="W153" s="36"/>
      <c r="Y153" s="36"/>
      <c r="AA153" s="36"/>
      <c r="AC153" s="36"/>
    </row>
    <row r="154" spans="1:29" s="6" customFormat="1">
      <c r="C154" s="4" t="s">
        <v>368</v>
      </c>
      <c r="G154" s="33">
        <f>SUM(G152:G153)</f>
        <v>0</v>
      </c>
      <c r="I154" s="33">
        <f>SUM(I152:I153)</f>
        <v>0</v>
      </c>
      <c r="K154" s="33">
        <f>SUM(K152:K153)</f>
        <v>0</v>
      </c>
      <c r="M154" s="33">
        <f>SUM(M152:M153)</f>
        <v>0</v>
      </c>
      <c r="O154" s="33">
        <f>SUM(O152:O153)</f>
        <v>0</v>
      </c>
      <c r="Q154" s="33">
        <f>SUM(Q152:Q153)</f>
        <v>0</v>
      </c>
      <c r="S154" s="33">
        <f>SUM(S152:S153)</f>
        <v>0</v>
      </c>
      <c r="U154" s="33">
        <f>SUM(U152:U153)</f>
        <v>0</v>
      </c>
      <c r="W154" s="33">
        <f>SUM(W152:W153)</f>
        <v>0</v>
      </c>
      <c r="Y154" s="33">
        <f>SUM(Y152:Y153)</f>
        <v>0</v>
      </c>
      <c r="AA154" s="33">
        <f>SUM(AA152:AA153)</f>
        <v>0</v>
      </c>
      <c r="AC154" s="33">
        <f>SUM(AC152:AC153)</f>
        <v>0</v>
      </c>
    </row>
    <row r="155" spans="1:29" s="6" customFormat="1" outlineLevel="1">
      <c r="A155" s="4">
        <v>29100</v>
      </c>
      <c r="B155" s="4" t="s">
        <v>369</v>
      </c>
      <c r="C155" s="5"/>
      <c r="D155" s="5"/>
      <c r="G155" s="159">
        <v>0</v>
      </c>
      <c r="I155" s="159">
        <v>0</v>
      </c>
      <c r="K155" s="159">
        <v>0</v>
      </c>
      <c r="M155" s="159">
        <v>0</v>
      </c>
      <c r="O155" s="159">
        <v>0</v>
      </c>
      <c r="Q155" s="159">
        <v>0</v>
      </c>
      <c r="S155" s="159">
        <v>0</v>
      </c>
      <c r="U155" s="159">
        <v>0</v>
      </c>
      <c r="W155" s="159">
        <v>0</v>
      </c>
      <c r="Y155" s="159">
        <v>12248.21</v>
      </c>
      <c r="AA155" s="159">
        <v>26634.67</v>
      </c>
      <c r="AC155" s="159">
        <v>35726.68</v>
      </c>
    </row>
    <row r="156" spans="1:29" s="6" customFormat="1" ht="5.0999999999999996" customHeight="1" outlineLevel="1">
      <c r="A156" s="5"/>
      <c r="B156" s="5"/>
      <c r="C156" s="5"/>
      <c r="D156" s="5"/>
      <c r="G156" s="36"/>
      <c r="I156" s="36"/>
      <c r="K156" s="36"/>
      <c r="M156" s="36"/>
      <c r="O156" s="36"/>
      <c r="Q156" s="36"/>
      <c r="S156" s="36"/>
      <c r="U156" s="36"/>
      <c r="W156" s="36"/>
      <c r="Y156" s="36"/>
      <c r="AA156" s="36"/>
      <c r="AC156" s="36"/>
    </row>
    <row r="157" spans="1:29" s="6" customFormat="1">
      <c r="C157" s="4" t="s">
        <v>369</v>
      </c>
      <c r="G157" s="33">
        <f>SUM(G155:G156)</f>
        <v>0</v>
      </c>
      <c r="I157" s="33">
        <f>SUM(I155:I156)</f>
        <v>0</v>
      </c>
      <c r="K157" s="33">
        <f>SUM(K155:K156)</f>
        <v>0</v>
      </c>
      <c r="M157" s="33">
        <f>SUM(M155:M156)</f>
        <v>0</v>
      </c>
      <c r="O157" s="33">
        <f>SUM(O155:O156)</f>
        <v>0</v>
      </c>
      <c r="Q157" s="33">
        <f>SUM(Q155:Q156)</f>
        <v>0</v>
      </c>
      <c r="S157" s="33">
        <f>SUM(S155:S156)</f>
        <v>0</v>
      </c>
      <c r="U157" s="33">
        <f>SUM(U155:U156)</f>
        <v>0</v>
      </c>
      <c r="W157" s="33">
        <f>SUM(W155:W156)</f>
        <v>0</v>
      </c>
      <c r="Y157" s="33">
        <f>SUM(Y155:Y156)</f>
        <v>12248.21</v>
      </c>
      <c r="AA157" s="33">
        <f>SUM(AA155:AA156)</f>
        <v>26634.67</v>
      </c>
      <c r="AC157" s="33">
        <f>SUM(AC155:AC156)</f>
        <v>35726.68</v>
      </c>
    </row>
    <row r="158" spans="1:29" s="6" customFormat="1" ht="7.5" customHeight="1">
      <c r="G158" s="35"/>
      <c r="I158" s="35"/>
      <c r="K158" s="35"/>
      <c r="M158" s="35"/>
      <c r="O158" s="35"/>
      <c r="Q158" s="35"/>
      <c r="S158" s="35"/>
      <c r="U158" s="35"/>
      <c r="W158" s="35"/>
      <c r="Y158" s="35"/>
      <c r="AA158" s="35"/>
      <c r="AC158" s="35"/>
    </row>
    <row r="159" spans="1:29" s="6" customFormat="1">
      <c r="B159" s="38" t="s">
        <v>369</v>
      </c>
      <c r="G159" s="39">
        <f>SUM(G139,G145,G151,G157,G148,G142,G154)</f>
        <v>0</v>
      </c>
      <c r="I159" s="39">
        <f>SUM(I139,I145,I151,I157,I148,I142,I154)</f>
        <v>0</v>
      </c>
      <c r="K159" s="39">
        <f>SUM(K139,K145,K151,K157,K148,K142,K154)</f>
        <v>0</v>
      </c>
      <c r="M159" s="39">
        <f>SUM(M139,M145,M151,M157,M148,M142,M154)</f>
        <v>0</v>
      </c>
      <c r="O159" s="39">
        <f>SUM(O139,O145,O151,O157,O148,O142,O154)</f>
        <v>0</v>
      </c>
      <c r="Q159" s="39">
        <f>SUM(Q139,Q145,Q151,Q157,Q148,Q142,Q154)</f>
        <v>0</v>
      </c>
      <c r="S159" s="39">
        <f>SUM(S139,S145,S151,S157,S148,S142,S154)</f>
        <v>0</v>
      </c>
      <c r="U159" s="39">
        <f>SUM(U139,U145,U151,U157,U148,U142,U154)</f>
        <v>0</v>
      </c>
      <c r="W159" s="39">
        <f>SUM(W139,W145,W151,W157,W148,W142,W154)</f>
        <v>0</v>
      </c>
      <c r="Y159" s="39">
        <f>SUM(Y139,Y145,Y151,Y157,Y148,Y142,Y154)</f>
        <v>12248.21</v>
      </c>
      <c r="AA159" s="39">
        <f>SUM(AA139,AA145,AA151,AA157,AA148,AA142,AA154)</f>
        <v>26634.67</v>
      </c>
      <c r="AC159" s="39">
        <f>SUM(AC139,AC145,AC151,AC157,AC148,AC142,AC154)</f>
        <v>35726.68</v>
      </c>
    </row>
    <row r="160" spans="1:29" s="6" customFormat="1" ht="7.5" customHeight="1">
      <c r="G160" s="35"/>
      <c r="I160" s="35"/>
      <c r="K160" s="35"/>
      <c r="M160" s="35"/>
      <c r="O160" s="35"/>
      <c r="Q160" s="35"/>
      <c r="S160" s="35"/>
      <c r="U160" s="35"/>
      <c r="W160" s="35"/>
      <c r="Y160" s="35"/>
      <c r="AA160" s="35"/>
      <c r="AC160" s="35"/>
    </row>
    <row r="161" spans="1:265" s="6" customFormat="1" ht="13.5" thickBot="1">
      <c r="B161" s="38" t="s">
        <v>370</v>
      </c>
      <c r="G161" s="58">
        <f>+G135+G159</f>
        <v>0</v>
      </c>
      <c r="I161" s="58">
        <f>+I135+I159</f>
        <v>0</v>
      </c>
      <c r="K161" s="58">
        <f>+K135+K159</f>
        <v>0</v>
      </c>
      <c r="M161" s="58">
        <f>+M135+M159</f>
        <v>0</v>
      </c>
      <c r="O161" s="58">
        <f>+O135+O159</f>
        <v>0</v>
      </c>
      <c r="Q161" s="58">
        <f>+Q135+Q159</f>
        <v>0</v>
      </c>
      <c r="S161" s="58">
        <f>+S135+S159</f>
        <v>0</v>
      </c>
      <c r="U161" s="58">
        <f>+U135+U159</f>
        <v>0</v>
      </c>
      <c r="W161" s="58">
        <f>+W135+W159</f>
        <v>0</v>
      </c>
      <c r="Y161" s="58">
        <f>+Y135+Y159</f>
        <v>90778.459999999992</v>
      </c>
      <c r="AA161" s="58">
        <f>+AA135+AA159</f>
        <v>87551.49</v>
      </c>
      <c r="AC161" s="58">
        <f>+AC135+AC159</f>
        <v>116839.43</v>
      </c>
    </row>
    <row r="162" spans="1:265" s="6" customFormat="1" ht="7.5" customHeight="1" thickTop="1">
      <c r="G162" s="35"/>
      <c r="I162" s="35"/>
      <c r="K162" s="35"/>
      <c r="M162" s="35"/>
      <c r="O162" s="35"/>
      <c r="Q162" s="35"/>
      <c r="S162" s="35"/>
      <c r="U162" s="35"/>
      <c r="W162" s="35"/>
      <c r="Y162" s="35"/>
      <c r="AA162" s="35"/>
      <c r="AC162" s="35"/>
    </row>
    <row r="163" spans="1:265" s="151" customFormat="1" ht="11.25">
      <c r="C163" s="151" t="s">
        <v>371</v>
      </c>
      <c r="G163" s="163">
        <f>G90-G161</f>
        <v>0</v>
      </c>
      <c r="I163" s="163">
        <f>I90-I161</f>
        <v>0</v>
      </c>
      <c r="K163" s="163">
        <f>K90-K161</f>
        <v>0</v>
      </c>
      <c r="M163" s="163">
        <f>M90-M161</f>
        <v>0</v>
      </c>
      <c r="O163" s="163">
        <f>O90-O161</f>
        <v>0</v>
      </c>
      <c r="Q163" s="163">
        <f>Q90-Q161</f>
        <v>0</v>
      </c>
      <c r="S163" s="163">
        <f>S90-S161</f>
        <v>0</v>
      </c>
      <c r="U163" s="163">
        <f>U90-U161</f>
        <v>0</v>
      </c>
      <c r="W163" s="163">
        <f>W90-W161</f>
        <v>0</v>
      </c>
      <c r="Y163" s="163">
        <f>Y90-Y161</f>
        <v>0</v>
      </c>
      <c r="AA163" s="163">
        <f>AA90-AA161</f>
        <v>-1.6007106751203537E-10</v>
      </c>
      <c r="AC163" s="163">
        <f>AC90-AC161</f>
        <v>0</v>
      </c>
    </row>
    <row r="164" spans="1:265" s="59" customFormat="1" ht="9.75" customHeight="1">
      <c r="A164" s="6"/>
      <c r="B164" s="6"/>
      <c r="C164" s="4"/>
      <c r="D164" s="6"/>
      <c r="E164" s="1"/>
      <c r="F164" s="1"/>
      <c r="H164" s="1"/>
      <c r="J164" s="1"/>
      <c r="L164" s="1"/>
      <c r="N164" s="1"/>
      <c r="P164" s="1"/>
      <c r="R164" s="1"/>
      <c r="T164" s="1"/>
      <c r="V164" s="1"/>
      <c r="X164" s="1"/>
      <c r="Z164" s="1"/>
      <c r="AB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row>
    <row r="165" spans="1:265" ht="15" outlineLevel="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row>
    <row r="166" spans="1:265" ht="6" customHeight="1" outlineLevel="1">
      <c r="G166" s="36"/>
      <c r="H166" s="35"/>
      <c r="I166" s="36"/>
      <c r="J166" s="35"/>
      <c r="K166" s="36"/>
      <c r="L166" s="35"/>
      <c r="M166" s="36"/>
      <c r="N166" s="35"/>
      <c r="O166" s="36"/>
      <c r="P166" s="35"/>
      <c r="Q166" s="36"/>
      <c r="R166" s="35"/>
      <c r="S166" s="36"/>
      <c r="T166" s="35"/>
      <c r="U166" s="36"/>
      <c r="V166" s="35"/>
      <c r="W166" s="36"/>
      <c r="X166" s="35"/>
      <c r="Y166" s="36"/>
      <c r="Z166" s="35"/>
      <c r="AA166" s="36"/>
      <c r="AB166" s="35"/>
      <c r="AC166" s="36"/>
      <c r="AD166" s="35"/>
    </row>
    <row r="167" spans="1:265" s="3" customFormat="1">
      <c r="B167" s="3" t="s">
        <v>117</v>
      </c>
      <c r="G167" s="60">
        <f>SUM(G165:G166)</f>
        <v>0</v>
      </c>
      <c r="H167" s="165"/>
      <c r="I167" s="60">
        <f>SUM(I165:I166)</f>
        <v>0</v>
      </c>
      <c r="J167" s="165"/>
      <c r="K167" s="60">
        <f>SUM(K165:K166)</f>
        <v>0</v>
      </c>
      <c r="L167" s="165"/>
      <c r="M167" s="60">
        <f>SUM(M165:M166)</f>
        <v>0</v>
      </c>
      <c r="N167" s="165"/>
      <c r="O167" s="60">
        <f>SUM(O165:O166)</f>
        <v>0</v>
      </c>
      <c r="P167" s="165"/>
      <c r="Q167" s="60">
        <f>SUM(Q165:Q166)</f>
        <v>0</v>
      </c>
      <c r="R167" s="165"/>
      <c r="S167" s="60">
        <f>SUM(S165:S166)</f>
        <v>0</v>
      </c>
      <c r="T167" s="165"/>
      <c r="U167" s="60">
        <f>SUM(U165:U166)</f>
        <v>0</v>
      </c>
      <c r="V167" s="165"/>
      <c r="W167" s="60">
        <f>SUM(W165:W166)</f>
        <v>0</v>
      </c>
      <c r="X167" s="165"/>
      <c r="Y167" s="60">
        <f>SUM(Y165:Y166)</f>
        <v>0</v>
      </c>
      <c r="Z167" s="165"/>
      <c r="AA167" s="60">
        <f>SUM(AA165:AA166)</f>
        <v>0</v>
      </c>
      <c r="AB167" s="165"/>
      <c r="AC167" s="60">
        <f>SUM(AC165:AC166)</f>
        <v>0</v>
      </c>
      <c r="AD167" s="165"/>
      <c r="AE167" s="165"/>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row>
    <row r="168" spans="1:265">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7"/>
    </row>
  </sheetData>
  <pageMargins left="0.5" right="0.5" top="0.39" bottom="0.4" header="0.25" footer="0.25"/>
  <pageSetup scale="75" orientation="portrait" errors="blank" horizontalDpi="4294967292" r:id="rId1"/>
  <headerFooter alignWithMargins="0">
    <oddHeader>&amp;R&amp;D - &amp;T</oddHeader>
    <oddFooter>&amp;L&amp;F - &amp;A&amp;RPage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82"/>
  <sheetViews>
    <sheetView workbookViewId="0">
      <pane xSplit="2" ySplit="6" topLeftCell="C7" activePane="bottomRight" state="frozen"/>
      <selection pane="topRight" activeCell="C1" sqref="C1"/>
      <selection pane="bottomLeft" activeCell="A7" sqref="A7"/>
      <selection pane="bottomRight" activeCell="O31" sqref="O31"/>
    </sheetView>
  </sheetViews>
  <sheetFormatPr defaultRowHeight="15"/>
  <cols>
    <col min="1" max="1" width="10.42578125" customWidth="1"/>
    <col min="2" max="2" width="25" customWidth="1"/>
    <col min="3" max="3" width="9.85546875" bestFit="1" customWidth="1"/>
    <col min="4" max="4" width="11.28515625" bestFit="1" customWidth="1"/>
    <col min="5" max="5" width="9" bestFit="1" customWidth="1"/>
    <col min="6" max="6" width="5.28515625" style="646" customWidth="1"/>
    <col min="7" max="7" width="11.28515625" bestFit="1" customWidth="1"/>
    <col min="8" max="8" width="4.28515625" customWidth="1"/>
    <col min="9" max="9" width="9.85546875" bestFit="1" customWidth="1"/>
    <col min="10" max="10" width="2.42578125" customWidth="1"/>
    <col min="11" max="11" width="9" customWidth="1"/>
    <col min="12" max="12" width="8.28515625" bestFit="1" customWidth="1"/>
    <col min="13" max="13" width="9.42578125" style="110" customWidth="1"/>
    <col min="14" max="14" width="4.5703125" customWidth="1"/>
    <col min="15" max="15" width="9.140625" customWidth="1"/>
  </cols>
  <sheetData>
    <row r="1" spans="1:15">
      <c r="A1" s="67" t="s">
        <v>218</v>
      </c>
      <c r="B1" s="68"/>
      <c r="C1" s="69"/>
      <c r="D1" s="71"/>
      <c r="E1" s="71"/>
      <c r="F1" s="644"/>
      <c r="G1" s="71"/>
      <c r="H1" s="72"/>
      <c r="I1" s="71"/>
      <c r="J1" s="71"/>
      <c r="K1" s="73"/>
      <c r="L1" s="73"/>
      <c r="M1" s="74"/>
      <c r="N1" s="70"/>
      <c r="O1" s="70"/>
    </row>
    <row r="2" spans="1:15">
      <c r="A2" s="67" t="s">
        <v>119</v>
      </c>
      <c r="B2" s="68"/>
      <c r="C2" s="69"/>
      <c r="D2" s="71"/>
      <c r="E2" s="71"/>
      <c r="F2" s="644"/>
      <c r="G2" s="71"/>
      <c r="H2" s="72"/>
      <c r="I2" s="71"/>
      <c r="J2" s="71"/>
      <c r="K2" s="73"/>
      <c r="L2" s="73"/>
      <c r="M2" s="74"/>
      <c r="N2" s="70"/>
      <c r="O2" s="70"/>
    </row>
    <row r="3" spans="1:15">
      <c r="A3" s="67" t="s">
        <v>376</v>
      </c>
      <c r="B3" s="75"/>
      <c r="C3" s="69"/>
      <c r="D3" s="71"/>
      <c r="E3" s="71"/>
      <c r="F3" s="644"/>
      <c r="G3" s="71"/>
      <c r="H3" s="72"/>
      <c r="I3" s="76"/>
      <c r="J3" s="76"/>
      <c r="K3" s="77"/>
      <c r="L3" s="73"/>
      <c r="M3" s="74"/>
      <c r="N3" s="70"/>
      <c r="O3" s="70"/>
    </row>
    <row r="4" spans="1:15">
      <c r="A4" s="67"/>
      <c r="B4" s="68"/>
      <c r="C4" s="69"/>
      <c r="D4" s="71"/>
      <c r="E4" s="71"/>
      <c r="F4" s="644"/>
      <c r="G4" s="71"/>
      <c r="H4" s="72"/>
      <c r="I4" s="76"/>
      <c r="J4" s="76"/>
      <c r="K4" s="77"/>
      <c r="L4" s="73"/>
      <c r="M4" s="72"/>
      <c r="N4" s="72"/>
      <c r="O4" s="70"/>
    </row>
    <row r="5" spans="1:15">
      <c r="A5" s="67"/>
      <c r="B5" s="68"/>
      <c r="C5" s="78" t="s">
        <v>120</v>
      </c>
      <c r="D5" s="71" t="s">
        <v>121</v>
      </c>
      <c r="E5" s="71" t="s">
        <v>1</v>
      </c>
      <c r="F5" s="644"/>
      <c r="G5" s="71" t="s">
        <v>122</v>
      </c>
      <c r="H5" s="72"/>
      <c r="I5" s="76" t="s">
        <v>123</v>
      </c>
      <c r="J5" s="71"/>
      <c r="K5" s="71" t="s">
        <v>124</v>
      </c>
      <c r="L5" s="71" t="s">
        <v>124</v>
      </c>
      <c r="M5" s="72"/>
      <c r="N5" s="72"/>
      <c r="O5" s="70"/>
    </row>
    <row r="6" spans="1:15">
      <c r="A6" s="79"/>
      <c r="B6" s="70"/>
      <c r="C6" s="1105">
        <v>2025</v>
      </c>
      <c r="D6" s="1106" t="s">
        <v>125</v>
      </c>
      <c r="E6" s="1106"/>
      <c r="F6" s="1096"/>
      <c r="G6" s="1106" t="s">
        <v>125</v>
      </c>
      <c r="H6" s="1107"/>
      <c r="I6" s="1108" t="s">
        <v>126</v>
      </c>
      <c r="J6" s="1109"/>
      <c r="K6" s="1106" t="s">
        <v>374</v>
      </c>
      <c r="L6" s="1106" t="s">
        <v>375</v>
      </c>
      <c r="M6" s="80"/>
      <c r="N6" s="81"/>
      <c r="O6" s="153" t="s">
        <v>118</v>
      </c>
    </row>
    <row r="7" spans="1:15">
      <c r="A7" s="79"/>
      <c r="B7" s="68" t="s">
        <v>127</v>
      </c>
      <c r="C7" s="69"/>
      <c r="D7" s="71"/>
      <c r="E7" s="71"/>
      <c r="F7" s="644"/>
      <c r="G7" s="71"/>
      <c r="H7" s="72"/>
      <c r="I7" s="71"/>
      <c r="J7" s="71"/>
      <c r="K7" s="73"/>
      <c r="L7" s="73"/>
      <c r="M7" s="74"/>
      <c r="N7" s="70"/>
      <c r="O7" s="70"/>
    </row>
    <row r="8" spans="1:15">
      <c r="A8" s="79">
        <v>31000</v>
      </c>
      <c r="B8" s="70" t="s">
        <v>128</v>
      </c>
      <c r="C8" s="82">
        <f>SUM('2025 IS'!AE12:AE14)</f>
        <v>380392.66</v>
      </c>
      <c r="D8" s="83">
        <f>'Restating Adj'!C8</f>
        <v>-117.40000000025611</v>
      </c>
      <c r="E8" s="83">
        <f>SUM(C8:D8)</f>
        <v>380275.25999999972</v>
      </c>
      <c r="F8" s="644" t="s">
        <v>533</v>
      </c>
      <c r="G8" s="83"/>
      <c r="H8" s="84"/>
      <c r="I8" s="83">
        <f>E8+G8</f>
        <v>380275.25999999972</v>
      </c>
      <c r="J8" s="83"/>
      <c r="K8" s="85">
        <f>'Restating Expl'!B10</f>
        <v>345506.96999999974</v>
      </c>
      <c r="L8" s="85">
        <f>'Restating Expl'!C10</f>
        <v>34768.29</v>
      </c>
      <c r="M8" s="74" t="s">
        <v>129</v>
      </c>
      <c r="N8" s="70"/>
      <c r="O8" s="149">
        <f>I8-K8-L8</f>
        <v>0</v>
      </c>
    </row>
    <row r="9" spans="1:15">
      <c r="A9" s="79">
        <v>32000</v>
      </c>
      <c r="B9" s="70" t="s">
        <v>130</v>
      </c>
      <c r="C9" s="82">
        <f>SUM('2025 IS'!AE15:AE16)</f>
        <v>402697.34000000008</v>
      </c>
      <c r="D9" s="83">
        <f>'Restating Adj'!C9</f>
        <v>-6840.6499999999069</v>
      </c>
      <c r="E9" s="83">
        <f t="shared" ref="E9:E13" si="0">SUM(C9:D9)</f>
        <v>395856.69000000018</v>
      </c>
      <c r="F9" s="644" t="s">
        <v>533</v>
      </c>
      <c r="G9" s="83"/>
      <c r="H9" s="84"/>
      <c r="I9" s="83">
        <f t="shared" ref="I9:I13" si="1">E9+G9</f>
        <v>395856.69000000018</v>
      </c>
      <c r="J9" s="83"/>
      <c r="K9" s="85">
        <f>'Restating Expl'!B11</f>
        <v>348151.18000000017</v>
      </c>
      <c r="L9" s="85">
        <f>'Restating Expl'!C11</f>
        <v>47705.509999999987</v>
      </c>
      <c r="M9" s="74" t="s">
        <v>129</v>
      </c>
      <c r="N9" s="70"/>
      <c r="O9" s="149">
        <f t="shared" ref="O9:O52" si="2">I9-K9-L9</f>
        <v>0</v>
      </c>
    </row>
    <row r="10" spans="1:15">
      <c r="A10" s="79">
        <v>33000</v>
      </c>
      <c r="B10" s="70" t="s">
        <v>131</v>
      </c>
      <c r="C10" s="82">
        <f>'2025 IS'!AE9+'2025 IS'!AE11</f>
        <v>116194.46</v>
      </c>
      <c r="D10" s="83">
        <f>'Restating Adj'!C10</f>
        <v>-361.60000000002037</v>
      </c>
      <c r="E10" s="83">
        <f t="shared" si="0"/>
        <v>115832.85999999999</v>
      </c>
      <c r="F10" s="644" t="s">
        <v>533</v>
      </c>
      <c r="G10" s="83"/>
      <c r="H10" s="84"/>
      <c r="I10" s="83">
        <f t="shared" si="1"/>
        <v>115832.85999999999</v>
      </c>
      <c r="J10" s="83"/>
      <c r="K10" s="85">
        <f>'Restating Expl'!B12</f>
        <v>100945.43999999999</v>
      </c>
      <c r="L10" s="85">
        <f>'Restating Expl'!C12</f>
        <v>14887.420000000004</v>
      </c>
      <c r="M10" s="74" t="s">
        <v>129</v>
      </c>
      <c r="N10" s="70"/>
      <c r="O10" s="149">
        <f t="shared" si="2"/>
        <v>0</v>
      </c>
    </row>
    <row r="11" spans="1:15">
      <c r="A11" s="79">
        <v>33100</v>
      </c>
      <c r="B11" s="70" t="s">
        <v>132</v>
      </c>
      <c r="C11" s="82">
        <f>'2025 IS'!AE10</f>
        <v>95797.75</v>
      </c>
      <c r="D11" s="83">
        <f>'Restating Adj'!C11</f>
        <v>-635.68999999998778</v>
      </c>
      <c r="E11" s="83">
        <f t="shared" si="0"/>
        <v>95162.060000000012</v>
      </c>
      <c r="F11" s="644" t="s">
        <v>533</v>
      </c>
      <c r="G11" s="83">
        <f>G76</f>
        <v>1890.3621021897816</v>
      </c>
      <c r="H11" s="859" t="s">
        <v>1430</v>
      </c>
      <c r="I11" s="83">
        <f t="shared" si="1"/>
        <v>97052.422102189797</v>
      </c>
      <c r="J11" s="83"/>
      <c r="K11" s="85">
        <f>'Restating Expl'!B13+G11</f>
        <v>89925.7221021898</v>
      </c>
      <c r="L11" s="85">
        <f>'Restating Expl'!C13</f>
        <v>7126.7</v>
      </c>
      <c r="M11" s="74" t="s">
        <v>129</v>
      </c>
      <c r="N11" s="70"/>
      <c r="O11" s="149">
        <f t="shared" si="2"/>
        <v>0</v>
      </c>
    </row>
    <row r="12" spans="1:15">
      <c r="A12" s="79">
        <v>35000</v>
      </c>
      <c r="B12" s="70" t="s">
        <v>133</v>
      </c>
      <c r="C12" s="82">
        <f>'2025 IS'!AE39</f>
        <v>7131.1299999999992</v>
      </c>
      <c r="D12" s="83">
        <f>'Restating Adj'!C13+'Restating Expl'!F15</f>
        <v>-1909.099999999999</v>
      </c>
      <c r="E12" s="83">
        <f t="shared" si="0"/>
        <v>5222.0300000000007</v>
      </c>
      <c r="F12" s="644" t="s">
        <v>533</v>
      </c>
      <c r="G12" s="83"/>
      <c r="H12" s="84"/>
      <c r="I12" s="83">
        <f t="shared" si="1"/>
        <v>5222.0300000000007</v>
      </c>
      <c r="J12" s="83"/>
      <c r="K12" s="85">
        <f>'Restating Expl'!B14</f>
        <v>4805.2800000000007</v>
      </c>
      <c r="L12" s="85">
        <f>'Restating Expl'!C14</f>
        <v>416.75</v>
      </c>
      <c r="M12" s="74" t="s">
        <v>129</v>
      </c>
      <c r="N12" s="70"/>
      <c r="O12" s="149">
        <f t="shared" si="2"/>
        <v>0</v>
      </c>
    </row>
    <row r="13" spans="1:15">
      <c r="A13" s="79">
        <v>39000</v>
      </c>
      <c r="B13" s="70" t="s">
        <v>17</v>
      </c>
      <c r="C13" s="1094">
        <f>'2025 IS'!AE40</f>
        <v>277.14999999999998</v>
      </c>
      <c r="D13" s="1095">
        <f>'Restating Expl'!F16</f>
        <v>-277.14999999999998</v>
      </c>
      <c r="E13" s="1095">
        <f t="shared" si="0"/>
        <v>0</v>
      </c>
      <c r="F13" s="1096" t="s">
        <v>533</v>
      </c>
      <c r="G13" s="1097"/>
      <c r="H13" s="1098"/>
      <c r="I13" s="1095">
        <f t="shared" si="1"/>
        <v>0</v>
      </c>
      <c r="J13" s="1095"/>
      <c r="K13" s="1099"/>
      <c r="L13" s="1099"/>
      <c r="M13" s="74" t="s">
        <v>129</v>
      </c>
      <c r="N13" s="70"/>
      <c r="O13" s="149">
        <f t="shared" si="2"/>
        <v>0</v>
      </c>
    </row>
    <row r="14" spans="1:15">
      <c r="A14" s="79"/>
      <c r="B14" s="68" t="s">
        <v>1</v>
      </c>
      <c r="C14" s="87">
        <f>SUM(C8:C13)</f>
        <v>1002490.49</v>
      </c>
      <c r="D14" s="88">
        <f>SUM(D8:D13)</f>
        <v>-10141.590000000169</v>
      </c>
      <c r="E14" s="88">
        <f>SUM(E8:E13)</f>
        <v>992348.9</v>
      </c>
      <c r="F14" s="645"/>
      <c r="G14" s="87">
        <f>SUM(G8:G13)</f>
        <v>1890.3621021897816</v>
      </c>
      <c r="H14" s="89"/>
      <c r="I14" s="88">
        <f>SUM(I8:I13)</f>
        <v>994239.26210218971</v>
      </c>
      <c r="J14" s="87"/>
      <c r="K14" s="87">
        <f>SUM(K8:K13)</f>
        <v>889334.59210218966</v>
      </c>
      <c r="L14" s="87">
        <f>SUM(L7:L13)</f>
        <v>104904.66999999998</v>
      </c>
      <c r="M14" s="90"/>
      <c r="N14" s="90"/>
      <c r="O14" s="149">
        <f t="shared" si="2"/>
        <v>0</v>
      </c>
    </row>
    <row r="15" spans="1:15">
      <c r="A15" s="79"/>
      <c r="B15" s="70"/>
      <c r="C15" s="82"/>
      <c r="D15" s="86"/>
      <c r="E15" s="86"/>
      <c r="F15" s="644"/>
      <c r="G15" s="86"/>
      <c r="H15" s="72"/>
      <c r="I15" s="86"/>
      <c r="J15" s="86"/>
      <c r="K15" s="91">
        <f>K14/I14</f>
        <v>0.8944875001433833</v>
      </c>
      <c r="L15" s="91">
        <f>L14/I14</f>
        <v>0.1055124998566167</v>
      </c>
      <c r="M15" s="74"/>
      <c r="N15" s="70"/>
      <c r="O15" s="149">
        <f>I15-K15-L15</f>
        <v>-1</v>
      </c>
    </row>
    <row r="16" spans="1:15">
      <c r="A16" s="79"/>
      <c r="B16" s="70"/>
      <c r="C16" s="82"/>
      <c r="D16" s="86"/>
      <c r="E16" s="86"/>
      <c r="F16" s="644"/>
      <c r="G16" s="86"/>
      <c r="H16" s="72"/>
      <c r="I16" s="86"/>
      <c r="J16" s="86"/>
      <c r="K16" s="86"/>
      <c r="L16" s="86"/>
      <c r="M16" s="74"/>
      <c r="N16" s="70"/>
      <c r="O16" s="149">
        <f t="shared" si="2"/>
        <v>0</v>
      </c>
    </row>
    <row r="17" spans="1:15">
      <c r="A17" s="79"/>
      <c r="B17" s="70"/>
      <c r="C17" s="82"/>
      <c r="D17" s="86"/>
      <c r="E17" s="86"/>
      <c r="F17" s="644"/>
      <c r="G17" s="86"/>
      <c r="H17" s="72"/>
      <c r="I17" s="86"/>
      <c r="J17" s="86"/>
      <c r="K17" s="86"/>
      <c r="L17" s="86"/>
      <c r="M17" s="73"/>
      <c r="N17" s="70"/>
      <c r="O17" s="149">
        <f t="shared" si="2"/>
        <v>0</v>
      </c>
    </row>
    <row r="18" spans="1:15">
      <c r="A18" s="79"/>
      <c r="B18" s="68" t="s">
        <v>134</v>
      </c>
      <c r="C18" s="82"/>
      <c r="D18" s="86"/>
      <c r="E18" s="86"/>
      <c r="F18" s="644"/>
      <c r="G18" s="86"/>
      <c r="H18" s="72"/>
      <c r="I18" s="86"/>
      <c r="J18" s="86"/>
      <c r="K18" s="86"/>
      <c r="L18" s="86"/>
      <c r="M18" s="74"/>
      <c r="N18" s="70"/>
      <c r="O18" s="149">
        <f t="shared" si="2"/>
        <v>0</v>
      </c>
    </row>
    <row r="19" spans="1:15">
      <c r="A19" s="92">
        <v>57147</v>
      </c>
      <c r="B19" s="93" t="s">
        <v>136</v>
      </c>
      <c r="C19" s="1094">
        <f>IFERROR(VLOOKUP(A19,'2025 IS'!$A$47:$AE$227,31,FALSE),0)</f>
        <v>508.37</v>
      </c>
      <c r="D19" s="1097"/>
      <c r="E19" s="1095">
        <f t="shared" ref="E19" si="3">SUM(C19:D19)</f>
        <v>508.37</v>
      </c>
      <c r="F19" s="1096"/>
      <c r="G19" s="1097"/>
      <c r="H19" s="1100"/>
      <c r="I19" s="1095">
        <f t="shared" ref="I19" si="4">E19+G19</f>
        <v>508.37</v>
      </c>
      <c r="J19" s="1095"/>
      <c r="K19" s="1094">
        <f>I19*Ratios!$B$25</f>
        <v>451.6084468239942</v>
      </c>
      <c r="L19" s="1094">
        <f>I19-K19</f>
        <v>56.761553176005805</v>
      </c>
      <c r="M19" s="74" t="s">
        <v>135</v>
      </c>
      <c r="N19" s="70"/>
      <c r="O19" s="149">
        <f t="shared" si="2"/>
        <v>0</v>
      </c>
    </row>
    <row r="20" spans="1:15">
      <c r="A20" s="94">
        <v>41200</v>
      </c>
      <c r="B20" s="68" t="s">
        <v>1</v>
      </c>
      <c r="C20" s="87">
        <f>SUM(C19:C19)</f>
        <v>508.37</v>
      </c>
      <c r="D20" s="88">
        <f>SUM(D19:D19)</f>
        <v>0</v>
      </c>
      <c r="E20" s="88">
        <f>SUM(E19:E19)</f>
        <v>508.37</v>
      </c>
      <c r="F20" s="645"/>
      <c r="G20" s="87">
        <f>SUM(G19:G19)</f>
        <v>0</v>
      </c>
      <c r="H20" s="89"/>
      <c r="I20" s="87">
        <f>SUM(I19:I19)</f>
        <v>508.37</v>
      </c>
      <c r="J20" s="87"/>
      <c r="K20" s="87">
        <f>SUM(K19:K19)</f>
        <v>451.6084468239942</v>
      </c>
      <c r="L20" s="87">
        <f>SUM(L19:L19)</f>
        <v>56.761553176005805</v>
      </c>
      <c r="M20" s="90"/>
      <c r="N20" s="69"/>
      <c r="O20" s="149">
        <f t="shared" si="2"/>
        <v>0</v>
      </c>
    </row>
    <row r="21" spans="1:15">
      <c r="A21" s="79"/>
      <c r="B21" s="70"/>
      <c r="C21" s="82"/>
      <c r="D21" s="86"/>
      <c r="E21" s="86"/>
      <c r="F21" s="644"/>
      <c r="G21" s="86"/>
      <c r="H21" s="72"/>
      <c r="I21" s="86"/>
      <c r="J21" s="86"/>
      <c r="K21" s="85"/>
      <c r="L21" s="85"/>
      <c r="M21" s="74"/>
      <c r="N21" s="70"/>
      <c r="O21" s="149">
        <f t="shared" si="2"/>
        <v>0</v>
      </c>
    </row>
    <row r="22" spans="1:15">
      <c r="A22" s="95">
        <v>52020</v>
      </c>
      <c r="B22" s="93" t="s">
        <v>137</v>
      </c>
      <c r="C22" s="82">
        <f>IFERROR(VLOOKUP(A22,'2025 IS'!$A$47:$AE$227,31,FALSE),0)</f>
        <v>22965.31</v>
      </c>
      <c r="D22" s="83">
        <f>'Restating Adj'!F18</f>
        <v>85.769790410958919</v>
      </c>
      <c r="E22" s="83">
        <f t="shared" ref="E22:E27" si="5">SUM(C22:D22)</f>
        <v>23051.07979041096</v>
      </c>
      <c r="F22" s="644" t="s">
        <v>536</v>
      </c>
      <c r="G22" s="83">
        <f>'Pro Forma Adj'!B31</f>
        <v>2005.6995000000002</v>
      </c>
      <c r="H22" s="859" t="s">
        <v>1432</v>
      </c>
      <c r="I22" s="83">
        <f t="shared" ref="I22:I27" si="6">E22+G22</f>
        <v>25056.779290410959</v>
      </c>
      <c r="J22" s="83"/>
      <c r="K22" s="148">
        <f>I22*Ratios!$B$25</f>
        <v>22259.089202262363</v>
      </c>
      <c r="L22" s="148">
        <f t="shared" ref="L22:L27" si="7">I22-K22</f>
        <v>2797.6900881485963</v>
      </c>
      <c r="M22" s="74" t="s">
        <v>135</v>
      </c>
      <c r="N22" s="70"/>
      <c r="O22" s="149">
        <f t="shared" si="2"/>
        <v>0</v>
      </c>
    </row>
    <row r="23" spans="1:15">
      <c r="A23" s="95">
        <v>52025</v>
      </c>
      <c r="B23" s="70" t="s">
        <v>138</v>
      </c>
      <c r="C23" s="82">
        <f>IFERROR(VLOOKUP(A23,'2025 IS'!$A$47:$AE$227,31,FALSE),0)</f>
        <v>4740.05</v>
      </c>
      <c r="D23" s="83"/>
      <c r="E23" s="83">
        <f t="shared" si="5"/>
        <v>4740.05</v>
      </c>
      <c r="G23" s="83"/>
      <c r="H23" s="72"/>
      <c r="I23" s="83">
        <f t="shared" si="6"/>
        <v>4740.05</v>
      </c>
      <c r="J23" s="83"/>
      <c r="K23" s="148">
        <f>I23*Ratios!$B$25</f>
        <v>4210.8043715562953</v>
      </c>
      <c r="L23" s="148">
        <f t="shared" si="7"/>
        <v>529.24562844370485</v>
      </c>
      <c r="M23" s="74" t="s">
        <v>135</v>
      </c>
      <c r="N23" s="70"/>
      <c r="O23" s="149">
        <f t="shared" si="2"/>
        <v>0</v>
      </c>
    </row>
    <row r="24" spans="1:15">
      <c r="A24" s="95">
        <v>52035</v>
      </c>
      <c r="B24" s="70" t="s">
        <v>139</v>
      </c>
      <c r="C24" s="82">
        <f>IFERROR(VLOOKUP(A24,'2025 IS'!$A$47:$AE$227,31,FALSE),0)</f>
        <v>1141.8599999999999</v>
      </c>
      <c r="D24" s="83"/>
      <c r="E24" s="83">
        <f t="shared" si="5"/>
        <v>1141.8599999999999</v>
      </c>
      <c r="F24" s="644"/>
      <c r="G24" s="83"/>
      <c r="H24" s="72"/>
      <c r="I24" s="83">
        <f t="shared" si="6"/>
        <v>1141.8599999999999</v>
      </c>
      <c r="J24" s="83"/>
      <c r="K24" s="148">
        <f>I24*Ratios!$B$25</f>
        <v>1014.3667429046678</v>
      </c>
      <c r="L24" s="148">
        <f t="shared" si="7"/>
        <v>127.49325709533207</v>
      </c>
      <c r="M24" s="74" t="s">
        <v>135</v>
      </c>
      <c r="N24" s="70"/>
      <c r="O24" s="149">
        <f t="shared" si="2"/>
        <v>0</v>
      </c>
    </row>
    <row r="25" spans="1:15">
      <c r="A25" s="95">
        <v>52036</v>
      </c>
      <c r="B25" s="70" t="s">
        <v>140</v>
      </c>
      <c r="C25" s="82">
        <f>IFERROR(VLOOKUP(A25,'2025 IS'!$A$47:$AE$227,31,FALSE),0)</f>
        <v>0</v>
      </c>
      <c r="D25" s="83"/>
      <c r="E25" s="83">
        <f t="shared" si="5"/>
        <v>0</v>
      </c>
      <c r="F25" s="644"/>
      <c r="G25" s="96"/>
      <c r="H25" s="72"/>
      <c r="I25" s="83">
        <f t="shared" si="6"/>
        <v>0</v>
      </c>
      <c r="J25" s="83"/>
      <c r="K25" s="148">
        <f>I25*Ratios!$B$25</f>
        <v>0</v>
      </c>
      <c r="L25" s="148">
        <f t="shared" si="7"/>
        <v>0</v>
      </c>
      <c r="M25" s="74" t="s">
        <v>135</v>
      </c>
      <c r="N25" s="70"/>
      <c r="O25" s="149">
        <f t="shared" si="2"/>
        <v>0</v>
      </c>
    </row>
    <row r="26" spans="1:15">
      <c r="A26" s="79">
        <v>52065</v>
      </c>
      <c r="B26" s="70" t="s">
        <v>36</v>
      </c>
      <c r="C26" s="82">
        <f>IFERROR(VLOOKUP(A26,'2025 IS'!$A$47:$AE$227,31,FALSE),0)</f>
        <v>944.52</v>
      </c>
      <c r="D26" s="83"/>
      <c r="E26" s="83">
        <f t="shared" si="5"/>
        <v>944.52</v>
      </c>
      <c r="F26" s="644"/>
      <c r="G26" s="96"/>
      <c r="H26" s="72"/>
      <c r="I26" s="83">
        <f t="shared" si="6"/>
        <v>944.52</v>
      </c>
      <c r="J26" s="83"/>
      <c r="K26" s="148">
        <f>I26*Ratios!$B$25</f>
        <v>839.06054683439027</v>
      </c>
      <c r="L26" s="148">
        <f t="shared" si="7"/>
        <v>105.45945316560972</v>
      </c>
      <c r="M26" s="74" t="s">
        <v>135</v>
      </c>
      <c r="N26" s="70"/>
      <c r="O26" s="149">
        <f t="shared" si="2"/>
        <v>0</v>
      </c>
    </row>
    <row r="27" spans="1:15">
      <c r="A27" s="79">
        <v>52070</v>
      </c>
      <c r="B27" s="70" t="s">
        <v>70</v>
      </c>
      <c r="C27" s="1094">
        <f>IFERROR(VLOOKUP(A27,'2025 IS'!$A$47:$AE$227,31,FALSE),0)</f>
        <v>0</v>
      </c>
      <c r="D27" s="1095"/>
      <c r="E27" s="1095">
        <f t="shared" si="5"/>
        <v>0</v>
      </c>
      <c r="F27" s="1096"/>
      <c r="G27" s="1101"/>
      <c r="H27" s="1100"/>
      <c r="I27" s="1095">
        <f t="shared" si="6"/>
        <v>0</v>
      </c>
      <c r="J27" s="1095"/>
      <c r="K27" s="1094">
        <f>I27*Ratios!$B$25</f>
        <v>0</v>
      </c>
      <c r="L27" s="1094">
        <f t="shared" si="7"/>
        <v>0</v>
      </c>
      <c r="M27" s="74" t="s">
        <v>135</v>
      </c>
      <c r="N27" s="70"/>
      <c r="O27" s="149">
        <f t="shared" si="2"/>
        <v>0</v>
      </c>
    </row>
    <row r="28" spans="1:15">
      <c r="A28" s="97">
        <v>41310</v>
      </c>
      <c r="B28" s="68" t="s">
        <v>141</v>
      </c>
      <c r="C28" s="87">
        <f>SUM(C22:C27)</f>
        <v>29791.74</v>
      </c>
      <c r="D28" s="96">
        <f>SUM(D22:D27)</f>
        <v>85.769790410958919</v>
      </c>
      <c r="E28" s="88">
        <f>SUM(E22:E27)</f>
        <v>29877.509790410961</v>
      </c>
      <c r="F28" s="645"/>
      <c r="G28" s="96">
        <f>SUM(G22:G27)</f>
        <v>2005.6995000000002</v>
      </c>
      <c r="H28" s="98"/>
      <c r="I28" s="88">
        <f>SUM(I22:I27)</f>
        <v>31883.20929041096</v>
      </c>
      <c r="J28" s="88"/>
      <c r="K28" s="88">
        <f>SUM(K22:K27)</f>
        <v>28323.320863557718</v>
      </c>
      <c r="L28" s="88">
        <f>SUM(L22:L27)</f>
        <v>3559.8884268532429</v>
      </c>
      <c r="M28" s="99"/>
      <c r="N28" s="99"/>
      <c r="O28" s="149">
        <f t="shared" si="2"/>
        <v>0</v>
      </c>
    </row>
    <row r="29" spans="1:15">
      <c r="A29" s="97"/>
      <c r="B29" s="68"/>
      <c r="C29" s="87"/>
      <c r="D29" s="83"/>
      <c r="E29" s="86"/>
      <c r="F29" s="644"/>
      <c r="G29" s="96"/>
      <c r="H29" s="72"/>
      <c r="I29" s="86"/>
      <c r="J29" s="86"/>
      <c r="K29" s="88"/>
      <c r="L29" s="88"/>
      <c r="M29" s="74"/>
      <c r="N29" s="70"/>
      <c r="O29" s="149">
        <f t="shared" si="2"/>
        <v>0</v>
      </c>
    </row>
    <row r="30" spans="1:15">
      <c r="A30" s="97"/>
      <c r="B30" s="68"/>
      <c r="C30" s="87"/>
      <c r="D30" s="86"/>
      <c r="E30" s="86"/>
      <c r="F30" s="644"/>
      <c r="G30" s="86"/>
      <c r="H30" s="72"/>
      <c r="I30" s="86"/>
      <c r="J30" s="86"/>
      <c r="K30" s="88"/>
      <c r="L30" s="88"/>
      <c r="M30" s="74"/>
      <c r="N30" s="70"/>
      <c r="O30" s="149">
        <f t="shared" si="2"/>
        <v>0</v>
      </c>
    </row>
    <row r="31" spans="1:15">
      <c r="A31" s="95">
        <v>52120</v>
      </c>
      <c r="B31" s="70" t="s">
        <v>142</v>
      </c>
      <c r="C31" s="82">
        <f>IFERROR(VLOOKUP(A31,'2025 IS'!$A$47:$AE$227,31,FALSE),0)</f>
        <v>15568.91</v>
      </c>
      <c r="D31" s="83">
        <f>'Restating Adj'!C19</f>
        <v>-2652.4800000000005</v>
      </c>
      <c r="E31" s="83">
        <f t="shared" ref="E31:E34" si="8">SUM(C31:D31)</f>
        <v>12916.43</v>
      </c>
      <c r="F31" s="644" t="s">
        <v>533</v>
      </c>
      <c r="G31" s="86"/>
      <c r="H31" s="72"/>
      <c r="I31" s="83">
        <f t="shared" ref="I31:I34" si="9">E31+G31</f>
        <v>12916.43</v>
      </c>
      <c r="J31" s="83"/>
      <c r="K31" s="148">
        <f>I31*Ratios!$B$25</f>
        <v>11474.258691132136</v>
      </c>
      <c r="L31" s="148">
        <f t="shared" ref="L31:L34" si="10">I31-K31</f>
        <v>1442.1713088678644</v>
      </c>
      <c r="M31" s="74" t="s">
        <v>135</v>
      </c>
      <c r="N31" s="70"/>
      <c r="O31" s="149">
        <f t="shared" si="2"/>
        <v>0</v>
      </c>
    </row>
    <row r="32" spans="1:15">
      <c r="A32" s="95">
        <v>52125</v>
      </c>
      <c r="B32" s="70" t="s">
        <v>43</v>
      </c>
      <c r="C32" s="82">
        <f>IFERROR(VLOOKUP(A32,'2025 IS'!$A$47:$AE$227,31,FALSE),0)</f>
        <v>8788</v>
      </c>
      <c r="D32" s="83"/>
      <c r="E32" s="83">
        <f t="shared" si="8"/>
        <v>8788</v>
      </c>
      <c r="F32" s="644"/>
      <c r="G32" s="86"/>
      <c r="H32" s="72"/>
      <c r="I32" s="83">
        <f t="shared" si="9"/>
        <v>8788</v>
      </c>
      <c r="J32" s="83"/>
      <c r="K32" s="148">
        <f>I32*Ratios!$B$25</f>
        <v>7806.7844890321248</v>
      </c>
      <c r="L32" s="148">
        <f t="shared" si="10"/>
        <v>981.21551096787516</v>
      </c>
      <c r="M32" s="74" t="s">
        <v>135</v>
      </c>
      <c r="N32" s="70"/>
      <c r="O32" s="149">
        <f t="shared" si="2"/>
        <v>0</v>
      </c>
    </row>
    <row r="33" spans="1:15">
      <c r="A33" s="95">
        <v>52135</v>
      </c>
      <c r="B33" s="70" t="s">
        <v>143</v>
      </c>
      <c r="C33" s="82">
        <f>IFERROR(VLOOKUP(A33,'2025 IS'!$A$47:$AE$227,31,FALSE),0)</f>
        <v>2272.65</v>
      </c>
      <c r="D33" s="86"/>
      <c r="E33" s="83">
        <f t="shared" si="8"/>
        <v>2272.65</v>
      </c>
      <c r="F33" s="644"/>
      <c r="G33" s="86"/>
      <c r="H33" s="72"/>
      <c r="I33" s="83">
        <f t="shared" si="9"/>
        <v>2272.65</v>
      </c>
      <c r="J33" s="83"/>
      <c r="K33" s="148">
        <f>I33*Ratios!$B$25</f>
        <v>2018.8994957895834</v>
      </c>
      <c r="L33" s="148">
        <f t="shared" si="10"/>
        <v>253.75050421041669</v>
      </c>
      <c r="M33" s="74" t="s">
        <v>135</v>
      </c>
      <c r="N33" s="70"/>
      <c r="O33" s="149">
        <f t="shared" si="2"/>
        <v>0</v>
      </c>
    </row>
    <row r="34" spans="1:15">
      <c r="A34" s="95">
        <v>55125</v>
      </c>
      <c r="B34" s="70" t="s">
        <v>43</v>
      </c>
      <c r="C34" s="1094">
        <f>IFERROR(VLOOKUP(A34,'2025 IS'!$A$47:$AE$227,31,FALSE),0)</f>
        <v>210</v>
      </c>
      <c r="D34" s="1097"/>
      <c r="E34" s="1095">
        <f t="shared" si="8"/>
        <v>210</v>
      </c>
      <c r="F34" s="1096"/>
      <c r="G34" s="1097"/>
      <c r="H34" s="1100"/>
      <c r="I34" s="1095">
        <f t="shared" si="9"/>
        <v>210</v>
      </c>
      <c r="J34" s="1095"/>
      <c r="K34" s="1094">
        <f>I34*Ratios!$B$25</f>
        <v>186.55265620126835</v>
      </c>
      <c r="L34" s="1094">
        <f t="shared" si="10"/>
        <v>23.447343798731652</v>
      </c>
      <c r="M34" s="74" t="s">
        <v>135</v>
      </c>
      <c r="N34" s="70"/>
      <c r="O34" s="149">
        <f t="shared" si="2"/>
        <v>0</v>
      </c>
    </row>
    <row r="35" spans="1:15">
      <c r="A35" s="97">
        <v>41320</v>
      </c>
      <c r="B35" s="68" t="s">
        <v>144</v>
      </c>
      <c r="C35" s="87">
        <f>SUM(C31:C34)</f>
        <v>26839.56</v>
      </c>
      <c r="D35" s="88">
        <f>SUM(D31:D34)</f>
        <v>-2652.4800000000005</v>
      </c>
      <c r="E35" s="88">
        <f>SUM(E31:E34)</f>
        <v>24187.08</v>
      </c>
      <c r="F35" s="645"/>
      <c r="G35" s="87">
        <f>SUM(G31:G34)</f>
        <v>0</v>
      </c>
      <c r="H35" s="89"/>
      <c r="I35" s="87">
        <f>SUM(I31:I34)</f>
        <v>24187.08</v>
      </c>
      <c r="J35" s="87"/>
      <c r="K35" s="87">
        <f>SUM(K31:K34)</f>
        <v>21486.495332155115</v>
      </c>
      <c r="L35" s="87">
        <f>SUM(L31:L34)</f>
        <v>2700.5846678448879</v>
      </c>
      <c r="M35" s="90"/>
      <c r="N35" s="69"/>
      <c r="O35" s="149">
        <f t="shared" si="2"/>
        <v>0</v>
      </c>
    </row>
    <row r="36" spans="1:15">
      <c r="A36" s="79"/>
      <c r="B36" s="70"/>
      <c r="C36" s="82"/>
      <c r="D36" s="86"/>
      <c r="E36" s="86"/>
      <c r="F36" s="644"/>
      <c r="G36" s="86"/>
      <c r="H36" s="72"/>
      <c r="I36" s="86"/>
      <c r="J36" s="86"/>
      <c r="K36" s="85"/>
      <c r="L36" s="85"/>
      <c r="M36" s="74"/>
      <c r="N36" s="70"/>
      <c r="O36" s="149">
        <f t="shared" si="2"/>
        <v>0</v>
      </c>
    </row>
    <row r="37" spans="1:15">
      <c r="A37" s="79">
        <v>52147</v>
      </c>
      <c r="B37" s="70" t="s">
        <v>145</v>
      </c>
      <c r="C37" s="1094">
        <f>IFERROR(VLOOKUP(A37,'2025 IS'!$A$47:$AE$227,31,FALSE),0)</f>
        <v>16243.57</v>
      </c>
      <c r="D37" s="1097"/>
      <c r="E37" s="1095">
        <f t="shared" ref="E37" si="11">SUM(C37:D37)</f>
        <v>16243.57</v>
      </c>
      <c r="F37" s="1096"/>
      <c r="G37" s="1097"/>
      <c r="H37" s="1100"/>
      <c r="I37" s="1095">
        <f t="shared" ref="I37" si="12">E37+G37</f>
        <v>16243.57</v>
      </c>
      <c r="J37" s="1095"/>
      <c r="K37" s="1094">
        <f>I37*Ratios!$B$25</f>
        <v>14429.910141386839</v>
      </c>
      <c r="L37" s="1094">
        <f t="shared" ref="L37" si="13">I37-K37</f>
        <v>1813.6598586131604</v>
      </c>
      <c r="M37" s="74" t="s">
        <v>135</v>
      </c>
      <c r="N37" s="70"/>
      <c r="O37" s="149">
        <f t="shared" si="2"/>
        <v>0</v>
      </c>
    </row>
    <row r="38" spans="1:15">
      <c r="A38" s="97">
        <v>41330</v>
      </c>
      <c r="B38" s="68" t="s">
        <v>1</v>
      </c>
      <c r="C38" s="87">
        <f>SUM(C37:C37)</f>
        <v>16243.57</v>
      </c>
      <c r="D38" s="88">
        <f>SUM(D37:D37)</f>
        <v>0</v>
      </c>
      <c r="E38" s="88">
        <f>SUM(E37:E37)</f>
        <v>16243.57</v>
      </c>
      <c r="F38" s="645"/>
      <c r="G38" s="87">
        <f>SUM(G37:G37)</f>
        <v>0</v>
      </c>
      <c r="H38" s="89"/>
      <c r="I38" s="87">
        <f>SUM(I37:I37)</f>
        <v>16243.57</v>
      </c>
      <c r="J38" s="87"/>
      <c r="K38" s="87">
        <f>SUM(K37:K37)</f>
        <v>14429.910141386839</v>
      </c>
      <c r="L38" s="87">
        <f>SUM(L37:L37)</f>
        <v>1813.6598586131604</v>
      </c>
      <c r="M38" s="90"/>
      <c r="N38" s="69"/>
      <c r="O38" s="149">
        <f t="shared" si="2"/>
        <v>0</v>
      </c>
    </row>
    <row r="39" spans="1:15">
      <c r="A39" s="79"/>
      <c r="B39" s="70"/>
      <c r="C39" s="82"/>
      <c r="D39" s="86"/>
      <c r="E39" s="86"/>
      <c r="F39" s="644"/>
      <c r="G39" s="86"/>
      <c r="H39" s="72"/>
      <c r="I39" s="86"/>
      <c r="J39" s="86"/>
      <c r="K39" s="85"/>
      <c r="L39" s="85"/>
      <c r="M39" s="74"/>
      <c r="N39" s="70"/>
      <c r="O39" s="149">
        <f t="shared" si="2"/>
        <v>0</v>
      </c>
    </row>
    <row r="40" spans="1:15">
      <c r="A40" s="79">
        <v>59400</v>
      </c>
      <c r="B40" s="70" t="s">
        <v>146</v>
      </c>
      <c r="C40" s="1094">
        <f>IFERROR(VLOOKUP(A40,'2025 IS'!$A$47:$AE$227,31,FALSE),0)</f>
        <v>901.07</v>
      </c>
      <c r="D40" s="1097"/>
      <c r="E40" s="1095">
        <f t="shared" ref="E40" si="14">SUM(C40:D40)</f>
        <v>901.07</v>
      </c>
      <c r="F40" s="1096"/>
      <c r="G40" s="1097"/>
      <c r="H40" s="1100"/>
      <c r="I40" s="1095">
        <f t="shared" ref="I40" si="15">E40+G40</f>
        <v>901.07</v>
      </c>
      <c r="J40" s="1095"/>
      <c r="K40" s="1094">
        <f>I40*Ratios!$B$25</f>
        <v>800.4619139203661</v>
      </c>
      <c r="L40" s="1094">
        <f t="shared" ref="L40" si="16">I40-K40</f>
        <v>100.60808607963395</v>
      </c>
      <c r="M40" s="74" t="s">
        <v>135</v>
      </c>
      <c r="N40" s="70"/>
      <c r="O40" s="149">
        <f t="shared" si="2"/>
        <v>0</v>
      </c>
    </row>
    <row r="41" spans="1:15">
      <c r="A41" s="97">
        <v>41340</v>
      </c>
      <c r="B41" s="68" t="s">
        <v>147</v>
      </c>
      <c r="C41" s="87">
        <f>SUM(C40:C40)</f>
        <v>901.07</v>
      </c>
      <c r="D41" s="88">
        <f>SUM(D40:D40)</f>
        <v>0</v>
      </c>
      <c r="E41" s="88">
        <f>SUM(E40:E40)</f>
        <v>901.07</v>
      </c>
      <c r="F41" s="645"/>
      <c r="G41" s="87">
        <f>SUM(G40:G40)</f>
        <v>0</v>
      </c>
      <c r="H41" s="89"/>
      <c r="I41" s="87">
        <f>SUM(I40:I40)</f>
        <v>901.07</v>
      </c>
      <c r="J41" s="87"/>
      <c r="K41" s="87">
        <f>SUM(K40:K40)</f>
        <v>800.4619139203661</v>
      </c>
      <c r="L41" s="87">
        <f>SUM(L40:L40)</f>
        <v>100.60808607963395</v>
      </c>
      <c r="M41" s="90"/>
      <c r="N41" s="69"/>
      <c r="O41" s="149">
        <f t="shared" si="2"/>
        <v>0</v>
      </c>
    </row>
    <row r="42" spans="1:15">
      <c r="A42" s="79"/>
      <c r="B42" s="70"/>
      <c r="C42" s="82"/>
      <c r="D42" s="86"/>
      <c r="E42" s="86"/>
      <c r="F42" s="644"/>
      <c r="G42" s="86"/>
      <c r="H42" s="72"/>
      <c r="I42" s="86"/>
      <c r="J42" s="86"/>
      <c r="K42" s="85"/>
      <c r="L42" s="85"/>
      <c r="M42" s="74"/>
      <c r="N42" s="70"/>
      <c r="O42" s="149">
        <f t="shared" si="2"/>
        <v>0</v>
      </c>
    </row>
    <row r="43" spans="1:15">
      <c r="A43" s="79">
        <v>52140</v>
      </c>
      <c r="B43" s="70" t="s">
        <v>148</v>
      </c>
      <c r="C43" s="1094">
        <f>IFERROR(VLOOKUP(A43,'2025 IS'!$A$47:$AE$227,31,FALSE),0)</f>
        <v>14805.239999999998</v>
      </c>
      <c r="D43" s="1097"/>
      <c r="E43" s="1095">
        <f t="shared" ref="E43" si="17">SUM(C43:D43)</f>
        <v>14805.239999999998</v>
      </c>
      <c r="F43" s="1096"/>
      <c r="G43" s="1097"/>
      <c r="H43" s="1100"/>
      <c r="I43" s="1095">
        <f t="shared" ref="I43" si="18">E43+G43</f>
        <v>14805.239999999998</v>
      </c>
      <c r="J43" s="1095"/>
      <c r="K43" s="1094">
        <f>I43*Ratios!$B$25</f>
        <v>13152.175465225075</v>
      </c>
      <c r="L43" s="1094">
        <f t="shared" ref="L43" si="19">I43-K43</f>
        <v>1653.0645347749232</v>
      </c>
      <c r="M43" s="74" t="s">
        <v>135</v>
      </c>
      <c r="N43" s="70"/>
      <c r="O43" s="149">
        <f t="shared" si="2"/>
        <v>0</v>
      </c>
    </row>
    <row r="44" spans="1:15">
      <c r="A44" s="97">
        <v>41600</v>
      </c>
      <c r="B44" s="68" t="s">
        <v>1</v>
      </c>
      <c r="C44" s="87">
        <f>SUM(C43)</f>
        <v>14805.239999999998</v>
      </c>
      <c r="D44" s="88">
        <f>SUM(D43:D43)</f>
        <v>0</v>
      </c>
      <c r="E44" s="88">
        <f>SUM(E43)</f>
        <v>14805.239999999998</v>
      </c>
      <c r="F44" s="645"/>
      <c r="G44" s="87">
        <f>SUM(G43:G43)</f>
        <v>0</v>
      </c>
      <c r="H44" s="89"/>
      <c r="I44" s="87">
        <f>SUM(I43:I43)</f>
        <v>14805.239999999998</v>
      </c>
      <c r="J44" s="87"/>
      <c r="K44" s="87">
        <f>SUM(K43:K43)</f>
        <v>13152.175465225075</v>
      </c>
      <c r="L44" s="87">
        <f>SUM(L43:L43)</f>
        <v>1653.0645347749232</v>
      </c>
      <c r="M44" s="90"/>
      <c r="N44" s="69"/>
      <c r="O44" s="149">
        <f t="shared" si="2"/>
        <v>0</v>
      </c>
    </row>
    <row r="45" spans="1:15">
      <c r="A45" s="97"/>
      <c r="B45" s="68"/>
      <c r="C45" s="87"/>
      <c r="D45" s="86"/>
      <c r="E45" s="86"/>
      <c r="F45" s="644"/>
      <c r="G45" s="86"/>
      <c r="H45" s="72"/>
      <c r="I45" s="86"/>
      <c r="J45" s="86"/>
      <c r="K45" s="88"/>
      <c r="L45" s="88"/>
      <c r="M45" s="74"/>
      <c r="N45" s="70"/>
      <c r="O45" s="149">
        <f t="shared" si="2"/>
        <v>0</v>
      </c>
    </row>
    <row r="46" spans="1:15">
      <c r="A46" s="95">
        <v>52182</v>
      </c>
      <c r="B46" s="74" t="s">
        <v>150</v>
      </c>
      <c r="C46" s="82">
        <f>IFERROR(VLOOKUP(A46,'2025 IS'!$A$47:$AE$227,31,FALSE),0)</f>
        <v>2484</v>
      </c>
      <c r="D46" s="86"/>
      <c r="E46" s="83">
        <f t="shared" ref="E46:E47" si="20">SUM(C46:D46)</f>
        <v>2484</v>
      </c>
      <c r="F46" s="644"/>
      <c r="G46" s="86"/>
      <c r="H46" s="72"/>
      <c r="I46" s="83">
        <f t="shared" ref="I46:I47" si="21">E46+G46</f>
        <v>2484</v>
      </c>
      <c r="J46" s="83"/>
      <c r="K46" s="148">
        <f>I46*Ratios!$B$25</f>
        <v>2206.6514190664311</v>
      </c>
      <c r="L46" s="148">
        <f t="shared" ref="L46:L47" si="22">I46-K46</f>
        <v>277.34858093356888</v>
      </c>
      <c r="M46" s="74" t="s">
        <v>135</v>
      </c>
      <c r="N46" s="70"/>
      <c r="O46" s="149">
        <f t="shared" si="2"/>
        <v>0</v>
      </c>
    </row>
    <row r="47" spans="1:15">
      <c r="A47" s="95">
        <v>57254</v>
      </c>
      <c r="B47" s="74" t="s">
        <v>57</v>
      </c>
      <c r="C47" s="1094">
        <f>IFERROR(VLOOKUP(A47,'2025 IS'!$A$47:$AE$227,31,FALSE),0)</f>
        <v>5298.2500000000009</v>
      </c>
      <c r="D47" s="1097"/>
      <c r="E47" s="1095">
        <f t="shared" si="20"/>
        <v>5298.2500000000009</v>
      </c>
      <c r="F47" s="1096"/>
      <c r="G47" s="1097"/>
      <c r="H47" s="1100"/>
      <c r="I47" s="1095">
        <f t="shared" si="21"/>
        <v>5298.2500000000009</v>
      </c>
      <c r="J47" s="1095"/>
      <c r="K47" s="1094">
        <f>I47*Ratios!$B$25</f>
        <v>4706.6790986589058</v>
      </c>
      <c r="L47" s="1094">
        <f t="shared" si="22"/>
        <v>591.57090134109512</v>
      </c>
      <c r="M47" s="74" t="s">
        <v>135</v>
      </c>
      <c r="N47" s="70"/>
      <c r="O47" s="149">
        <f t="shared" si="2"/>
        <v>0</v>
      </c>
    </row>
    <row r="48" spans="1:15">
      <c r="A48" s="97">
        <v>41800</v>
      </c>
      <c r="B48" s="101" t="s">
        <v>151</v>
      </c>
      <c r="C48" s="88">
        <f>SUM(C46:C47)</f>
        <v>7782.2500000000009</v>
      </c>
      <c r="D48" s="88">
        <f>SUM(D46:D47)</f>
        <v>0</v>
      </c>
      <c r="E48" s="88">
        <f>SUM(E46:E47)</f>
        <v>7782.2500000000009</v>
      </c>
      <c r="F48" s="645"/>
      <c r="G48" s="88">
        <f>SUM(G46:G47)</f>
        <v>0</v>
      </c>
      <c r="H48" s="98"/>
      <c r="I48" s="88">
        <f>SUM(I46:I47)</f>
        <v>7782.2500000000009</v>
      </c>
      <c r="J48" s="88"/>
      <c r="K48" s="88">
        <f>SUM(K46:K47)</f>
        <v>6913.3305177253369</v>
      </c>
      <c r="L48" s="88">
        <f>SUM(L46:L47)</f>
        <v>868.91948227466401</v>
      </c>
      <c r="M48" s="90"/>
      <c r="N48" s="69"/>
      <c r="O48" s="149">
        <f t="shared" si="2"/>
        <v>0</v>
      </c>
    </row>
    <row r="49" spans="1:15">
      <c r="A49" s="79"/>
      <c r="B49" s="74"/>
      <c r="C49" s="85"/>
      <c r="D49" s="86"/>
      <c r="E49" s="86"/>
      <c r="F49" s="644"/>
      <c r="G49" s="86"/>
      <c r="H49" s="72"/>
      <c r="I49" s="86"/>
      <c r="J49" s="86"/>
      <c r="K49" s="85"/>
      <c r="L49" s="85"/>
      <c r="M49" s="74"/>
      <c r="N49" s="70"/>
      <c r="O49" s="149">
        <f t="shared" si="2"/>
        <v>0</v>
      </c>
    </row>
    <row r="50" spans="1:15">
      <c r="A50" s="79">
        <v>56010</v>
      </c>
      <c r="B50" s="74" t="s">
        <v>152</v>
      </c>
      <c r="C50" s="82">
        <f>IFERROR(VLOOKUP(A50,'2025 IS'!$A$47:$AE$227,31,FALSE),0)</f>
        <v>65868.75</v>
      </c>
      <c r="D50" s="83"/>
      <c r="E50" s="83">
        <f t="shared" ref="E50:E51" si="23">SUM(C50:D50)</f>
        <v>65868.75</v>
      </c>
      <c r="F50" s="644"/>
      <c r="G50" s="83">
        <f>'Pro Forma Adj'!B33</f>
        <v>1639.0625</v>
      </c>
      <c r="H50" s="859" t="s">
        <v>1432</v>
      </c>
      <c r="I50" s="83">
        <f t="shared" ref="I50:I51" si="24">E50+G50</f>
        <v>67507.8125</v>
      </c>
      <c r="J50" s="83"/>
      <c r="K50" s="148">
        <f>I50*Ratios!$B$25</f>
        <v>59970.293981962786</v>
      </c>
      <c r="L50" s="148">
        <f t="shared" ref="L50:L51" si="25">I50-K50</f>
        <v>7537.5185180372137</v>
      </c>
      <c r="M50" s="74" t="s">
        <v>135</v>
      </c>
      <c r="N50" s="70"/>
      <c r="O50" s="149">
        <f t="shared" si="2"/>
        <v>0</v>
      </c>
    </row>
    <row r="51" spans="1:15">
      <c r="A51" s="79">
        <v>56065</v>
      </c>
      <c r="B51" s="74" t="s">
        <v>36</v>
      </c>
      <c r="C51" s="1094">
        <f>IFERROR(VLOOKUP(A51,'2025 IS'!$A$47:$AE$227,31,FALSE),0)</f>
        <v>406.12</v>
      </c>
      <c r="D51" s="1095"/>
      <c r="E51" s="1095">
        <f t="shared" si="23"/>
        <v>406.12</v>
      </c>
      <c r="F51" s="1096"/>
      <c r="G51" s="1095"/>
      <c r="H51" s="1102"/>
      <c r="I51" s="1095">
        <f t="shared" si="24"/>
        <v>406.12</v>
      </c>
      <c r="J51" s="1095"/>
      <c r="K51" s="1094">
        <f>I51*Ratios!$B$25</f>
        <v>360.77507017361478</v>
      </c>
      <c r="L51" s="1094">
        <f t="shared" si="25"/>
        <v>45.344929826385226</v>
      </c>
      <c r="M51" s="74" t="s">
        <v>135</v>
      </c>
      <c r="N51" s="70"/>
      <c r="O51" s="149">
        <f t="shared" si="2"/>
        <v>0</v>
      </c>
    </row>
    <row r="52" spans="1:15">
      <c r="A52" s="94">
        <v>42100</v>
      </c>
      <c r="B52" s="102" t="s">
        <v>153</v>
      </c>
      <c r="C52" s="88">
        <f>SUM(C50:C51)</f>
        <v>66274.87</v>
      </c>
      <c r="D52" s="88">
        <f>SUM(D50:D51)</f>
        <v>0</v>
      </c>
      <c r="E52" s="88">
        <f>SUM(E50:E51)</f>
        <v>66274.87</v>
      </c>
      <c r="F52" s="645"/>
      <c r="G52" s="88">
        <f>SUM(G50:G51)</f>
        <v>1639.0625</v>
      </c>
      <c r="H52" s="98"/>
      <c r="I52" s="88">
        <f>SUM(I50:I51)</f>
        <v>67913.932499999995</v>
      </c>
      <c r="J52" s="88"/>
      <c r="K52" s="88">
        <f>SUM(K50:K51)</f>
        <v>60331.069052136401</v>
      </c>
      <c r="L52" s="88">
        <f>SUM(L50:L51)</f>
        <v>7582.8634478635986</v>
      </c>
      <c r="M52" s="90"/>
      <c r="N52" s="69"/>
      <c r="O52" s="149">
        <f t="shared" si="2"/>
        <v>0</v>
      </c>
    </row>
    <row r="53" spans="1:15">
      <c r="A53" s="79"/>
      <c r="B53" s="74"/>
      <c r="C53" s="85"/>
      <c r="D53" s="86"/>
      <c r="E53" s="86"/>
      <c r="F53" s="644"/>
      <c r="G53" s="86"/>
      <c r="H53" s="72"/>
      <c r="I53" s="86"/>
      <c r="J53" s="86"/>
      <c r="K53" s="85"/>
      <c r="L53" s="85"/>
      <c r="M53" s="74"/>
      <c r="N53" s="70"/>
      <c r="O53" s="149">
        <f t="shared" ref="O53:O88" si="26">I53-K53-L53</f>
        <v>0</v>
      </c>
    </row>
    <row r="54" spans="1:15">
      <c r="A54" s="95">
        <v>50020</v>
      </c>
      <c r="B54" s="74" t="s">
        <v>30</v>
      </c>
      <c r="C54" s="82">
        <f>IFERROR(VLOOKUP(A54,'2025 IS'!$A$47:$AE$227,31,FALSE),0)</f>
        <v>112268.03</v>
      </c>
      <c r="D54" s="83">
        <f>'Restating Adj'!F26</f>
        <v>280.87252533698626</v>
      </c>
      <c r="E54" s="83">
        <f t="shared" ref="E54:E59" si="27">SUM(C54:D54)</f>
        <v>112548.90252533699</v>
      </c>
      <c r="F54" s="644" t="s">
        <v>536</v>
      </c>
      <c r="G54" s="83">
        <f>'Pro Forma Adj'!B32</f>
        <v>579.74025000000006</v>
      </c>
      <c r="H54" s="859" t="s">
        <v>1432</v>
      </c>
      <c r="I54" s="83">
        <f t="shared" ref="I54:I59" si="28">E54+G54</f>
        <v>113128.64277533699</v>
      </c>
      <c r="J54" s="83"/>
      <c r="K54" s="148">
        <f>I54*Ratios!$B$25</f>
        <v>100497.37524849306</v>
      </c>
      <c r="L54" s="148">
        <f t="shared" ref="L54:L59" si="29">I54-K54</f>
        <v>12631.267526843934</v>
      </c>
      <c r="M54" s="74" t="s">
        <v>135</v>
      </c>
      <c r="N54" s="74"/>
      <c r="O54" s="149">
        <f t="shared" si="26"/>
        <v>0</v>
      </c>
    </row>
    <row r="55" spans="1:15">
      <c r="A55" s="95">
        <v>50025</v>
      </c>
      <c r="B55" s="74" t="s">
        <v>154</v>
      </c>
      <c r="C55" s="82">
        <f>IFERROR(VLOOKUP(A55,'2025 IS'!$A$47:$AE$227,31,FALSE),0)</f>
        <v>34210.89</v>
      </c>
      <c r="D55" s="96"/>
      <c r="E55" s="83">
        <f t="shared" si="27"/>
        <v>34210.89</v>
      </c>
      <c r="F55" s="644"/>
      <c r="G55" s="86"/>
      <c r="H55" s="72"/>
      <c r="I55" s="83">
        <f t="shared" si="28"/>
        <v>34210.89</v>
      </c>
      <c r="J55" s="83"/>
      <c r="K55" s="148">
        <f>I55*Ratios!$B$25</f>
        <v>30391.106669092424</v>
      </c>
      <c r="L55" s="148">
        <f t="shared" si="29"/>
        <v>3819.7833309075759</v>
      </c>
      <c r="M55" s="74" t="s">
        <v>135</v>
      </c>
      <c r="N55" s="74"/>
      <c r="O55" s="149">
        <f t="shared" si="26"/>
        <v>0</v>
      </c>
    </row>
    <row r="56" spans="1:15">
      <c r="A56" s="103">
        <v>50035</v>
      </c>
      <c r="B56" s="74" t="s">
        <v>139</v>
      </c>
      <c r="C56" s="82">
        <f>IFERROR(VLOOKUP(A56,'2025 IS'!$A$47:$AE$227,31,FALSE),0)</f>
        <v>990.43</v>
      </c>
      <c r="D56" s="86"/>
      <c r="E56" s="83">
        <f t="shared" si="27"/>
        <v>990.43</v>
      </c>
      <c r="F56" s="644"/>
      <c r="G56" s="86"/>
      <c r="H56" s="72"/>
      <c r="I56" s="83">
        <f t="shared" si="28"/>
        <v>990.43</v>
      </c>
      <c r="J56" s="83"/>
      <c r="K56" s="148">
        <f>I56*Ratios!$B$25</f>
        <v>879.84451086391516</v>
      </c>
      <c r="L56" s="148">
        <f t="shared" si="29"/>
        <v>110.58548913608479</v>
      </c>
      <c r="M56" s="74" t="s">
        <v>135</v>
      </c>
      <c r="N56" s="74"/>
      <c r="O56" s="149">
        <f t="shared" si="26"/>
        <v>0</v>
      </c>
    </row>
    <row r="57" spans="1:15">
      <c r="A57" s="103">
        <v>50036</v>
      </c>
      <c r="B57" s="70" t="s">
        <v>140</v>
      </c>
      <c r="C57" s="82">
        <f>IFERROR(VLOOKUP(A57,'2025 IS'!$A$47:$AE$227,31,FALSE),0)</f>
        <v>1322.69</v>
      </c>
      <c r="D57" s="86"/>
      <c r="E57" s="83">
        <f t="shared" si="27"/>
        <v>1322.69</v>
      </c>
      <c r="F57" s="644"/>
      <c r="G57" s="86"/>
      <c r="H57" s="72"/>
      <c r="I57" s="83">
        <f t="shared" si="28"/>
        <v>1322.69</v>
      </c>
      <c r="J57" s="83"/>
      <c r="K57" s="148">
        <f>I57*Ratios!$B$25</f>
        <v>1175.0063468135982</v>
      </c>
      <c r="L57" s="148">
        <f t="shared" si="29"/>
        <v>147.6836531864019</v>
      </c>
      <c r="M57" s="74" t="s">
        <v>135</v>
      </c>
      <c r="N57" s="74"/>
      <c r="O57" s="149">
        <f t="shared" si="26"/>
        <v>0</v>
      </c>
    </row>
    <row r="58" spans="1:15">
      <c r="A58" s="95">
        <v>50065</v>
      </c>
      <c r="B58" s="74" t="s">
        <v>36</v>
      </c>
      <c r="C58" s="82">
        <f>IFERROR(VLOOKUP(A58,'2025 IS'!$A$47:$AE$227,31,FALSE),0)</f>
        <v>3585.18</v>
      </c>
      <c r="D58" s="86"/>
      <c r="E58" s="83">
        <f t="shared" si="27"/>
        <v>3585.18</v>
      </c>
      <c r="F58" s="644"/>
      <c r="G58" s="86"/>
      <c r="H58" s="72"/>
      <c r="I58" s="83">
        <f t="shared" si="28"/>
        <v>3585.18</v>
      </c>
      <c r="J58" s="83"/>
      <c r="K58" s="148">
        <f>I58*Ratios!$B$25</f>
        <v>3184.8802474269673</v>
      </c>
      <c r="L58" s="148">
        <f t="shared" si="29"/>
        <v>400.29975257303249</v>
      </c>
      <c r="M58" s="74" t="s">
        <v>135</v>
      </c>
      <c r="N58" s="74"/>
      <c r="O58" s="149">
        <f t="shared" si="26"/>
        <v>0</v>
      </c>
    </row>
    <row r="59" spans="1:15">
      <c r="A59" s="95">
        <v>50070</v>
      </c>
      <c r="B59" s="74" t="s">
        <v>70</v>
      </c>
      <c r="C59" s="1094">
        <f>IFERROR(VLOOKUP(A59,'2025 IS'!$A$47:$AE$227,31,FALSE),0)</f>
        <v>906.3900000000001</v>
      </c>
      <c r="D59" s="1097"/>
      <c r="E59" s="1095">
        <f t="shared" si="27"/>
        <v>906.3900000000001</v>
      </c>
      <c r="F59" s="1096"/>
      <c r="G59" s="1097"/>
      <c r="H59" s="1100"/>
      <c r="I59" s="1095">
        <f t="shared" si="28"/>
        <v>906.3900000000001</v>
      </c>
      <c r="J59" s="1095"/>
      <c r="K59" s="1094">
        <f>I59*Ratios!$B$25</f>
        <v>805.18791454413156</v>
      </c>
      <c r="L59" s="1094">
        <f t="shared" si="29"/>
        <v>101.20208545586854</v>
      </c>
      <c r="M59" s="74" t="s">
        <v>135</v>
      </c>
      <c r="N59" s="74"/>
      <c r="O59" s="149">
        <f t="shared" si="26"/>
        <v>0</v>
      </c>
    </row>
    <row r="60" spans="1:15">
      <c r="A60" s="94">
        <v>42300</v>
      </c>
      <c r="B60" s="101" t="s">
        <v>155</v>
      </c>
      <c r="C60" s="88">
        <f>SUM(C54:C59)</f>
        <v>153283.60999999999</v>
      </c>
      <c r="D60" s="88">
        <f>SUM(D54:D59)</f>
        <v>280.87252533698626</v>
      </c>
      <c r="E60" s="88">
        <f>SUM(E54:E59)</f>
        <v>153564.48252533699</v>
      </c>
      <c r="F60" s="645"/>
      <c r="G60" s="88">
        <f>SUM(G54:G59)</f>
        <v>579.74025000000006</v>
      </c>
      <c r="H60" s="98"/>
      <c r="I60" s="88">
        <f>SUM(I54:I59)</f>
        <v>154144.222775337</v>
      </c>
      <c r="J60" s="88"/>
      <c r="K60" s="88">
        <f>SUM(K54:K59)</f>
        <v>136933.40093723411</v>
      </c>
      <c r="L60" s="88">
        <f>SUM(L54:L59)</f>
        <v>17210.821838102896</v>
      </c>
      <c r="M60" s="90"/>
      <c r="N60" s="90"/>
      <c r="O60" s="149">
        <f t="shared" si="26"/>
        <v>0</v>
      </c>
    </row>
    <row r="61" spans="1:15">
      <c r="A61" s="94"/>
      <c r="B61" s="101"/>
      <c r="C61" s="88"/>
      <c r="D61" s="86"/>
      <c r="E61" s="86"/>
      <c r="F61" s="644"/>
      <c r="G61" s="86"/>
      <c r="H61" s="72"/>
      <c r="I61" s="86"/>
      <c r="J61" s="86"/>
      <c r="K61" s="85"/>
      <c r="L61" s="85"/>
      <c r="M61" s="74"/>
      <c r="N61" s="70"/>
      <c r="O61" s="149">
        <f t="shared" si="26"/>
        <v>0</v>
      </c>
    </row>
    <row r="62" spans="1:15">
      <c r="A62" s="92">
        <v>50045</v>
      </c>
      <c r="B62" s="74" t="s">
        <v>149</v>
      </c>
      <c r="C62" s="1094">
        <f>IFERROR(VLOOKUP(A62,'2025 IS'!$A$47:$AE$227,31,FALSE),0)</f>
        <v>2857.41</v>
      </c>
      <c r="D62" s="1097"/>
      <c r="E62" s="1095">
        <f t="shared" ref="E62" si="30">SUM(C62:D62)</f>
        <v>2857.41</v>
      </c>
      <c r="F62" s="1096"/>
      <c r="G62" s="1097"/>
      <c r="H62" s="1100"/>
      <c r="I62" s="1095">
        <f t="shared" ref="I62" si="31">E62+G62</f>
        <v>2857.41</v>
      </c>
      <c r="J62" s="1095"/>
      <c r="K62" s="1094">
        <f>I62*Ratios!$B$25</f>
        <v>2538.3686921717435</v>
      </c>
      <c r="L62" s="1094">
        <f t="shared" ref="L62" si="32">I62-K62</f>
        <v>319.04130782825632</v>
      </c>
      <c r="M62" s="74" t="s">
        <v>135</v>
      </c>
      <c r="N62" s="70"/>
      <c r="O62" s="149">
        <f t="shared" si="26"/>
        <v>0</v>
      </c>
    </row>
    <row r="63" spans="1:15">
      <c r="A63" s="94">
        <v>42315</v>
      </c>
      <c r="B63" s="101" t="s">
        <v>149</v>
      </c>
      <c r="C63" s="88">
        <f>SUM(C62:C62)</f>
        <v>2857.41</v>
      </c>
      <c r="D63" s="88">
        <f>SUM(D62:D62)</f>
        <v>0</v>
      </c>
      <c r="E63" s="88">
        <f>SUM(E62:E62)</f>
        <v>2857.41</v>
      </c>
      <c r="F63" s="645"/>
      <c r="G63" s="88">
        <f>SUM(G62:G62)</f>
        <v>0</v>
      </c>
      <c r="H63" s="98"/>
      <c r="I63" s="88">
        <f>SUM(I62:I62)</f>
        <v>2857.41</v>
      </c>
      <c r="J63" s="88"/>
      <c r="K63" s="88">
        <f>SUM(K62:K62)</f>
        <v>2538.3686921717435</v>
      </c>
      <c r="L63" s="88">
        <f>SUM(L62:L62)</f>
        <v>319.04130782825632</v>
      </c>
      <c r="M63" s="90"/>
      <c r="N63" s="90"/>
      <c r="O63" s="149">
        <f t="shared" si="26"/>
        <v>0</v>
      </c>
    </row>
    <row r="64" spans="1:15">
      <c r="A64" s="79"/>
      <c r="B64" s="74"/>
      <c r="C64" s="85"/>
      <c r="D64" s="86"/>
      <c r="E64" s="86"/>
      <c r="F64" s="644"/>
      <c r="G64" s="86"/>
      <c r="H64" s="72"/>
      <c r="I64" s="86"/>
      <c r="J64" s="86"/>
      <c r="K64" s="85"/>
      <c r="L64" s="85"/>
      <c r="M64" s="74"/>
      <c r="N64" s="70"/>
      <c r="O64" s="149">
        <f t="shared" si="26"/>
        <v>0</v>
      </c>
    </row>
    <row r="65" spans="1:18">
      <c r="A65" s="95">
        <v>52142</v>
      </c>
      <c r="B65" s="74" t="s">
        <v>46</v>
      </c>
      <c r="C65" s="82">
        <f>IFERROR(VLOOKUP(A65,'2025 IS'!$A$47:$AE$227,31,FALSE),0)</f>
        <v>48967.880000000005</v>
      </c>
      <c r="D65" s="83"/>
      <c r="E65" s="83">
        <f t="shared" ref="E65:E66" si="33">SUM(C65:D65)</f>
        <v>48967.880000000005</v>
      </c>
      <c r="F65" s="644"/>
      <c r="G65" s="83"/>
      <c r="H65" s="72"/>
      <c r="I65" s="83">
        <f t="shared" ref="I65:I66" si="34">E65+G65</f>
        <v>48967.880000000005</v>
      </c>
      <c r="J65" s="83"/>
      <c r="K65" s="148">
        <f>I65*Ratios!$B$25</f>
        <v>43500.419440690304</v>
      </c>
      <c r="L65" s="148">
        <f t="shared" ref="L65:L66" si="35">I65-K65</f>
        <v>5467.4605593097003</v>
      </c>
      <c r="M65" s="74" t="s">
        <v>135</v>
      </c>
      <c r="N65" s="70"/>
      <c r="O65" s="149">
        <f t="shared" si="26"/>
        <v>0</v>
      </c>
    </row>
    <row r="66" spans="1:18">
      <c r="A66" s="95">
        <v>52146</v>
      </c>
      <c r="B66" s="74" t="s">
        <v>47</v>
      </c>
      <c r="C66" s="1094">
        <f>IFERROR(VLOOKUP(A66,'2025 IS'!$A$47:$AE$227,31,FALSE),0)</f>
        <v>2609.3200000000002</v>
      </c>
      <c r="D66" s="1097"/>
      <c r="E66" s="1095">
        <f t="shared" si="33"/>
        <v>2609.3200000000002</v>
      </c>
      <c r="F66" s="1096"/>
      <c r="G66" s="1097"/>
      <c r="H66" s="1100"/>
      <c r="I66" s="1095">
        <f t="shared" si="34"/>
        <v>2609.3200000000002</v>
      </c>
      <c r="J66" s="1095"/>
      <c r="K66" s="1094">
        <f>I66*Ratios!$B$25</f>
        <v>2317.9789375194928</v>
      </c>
      <c r="L66" s="1094">
        <f t="shared" si="35"/>
        <v>291.34106248050739</v>
      </c>
      <c r="M66" s="74" t="s">
        <v>135</v>
      </c>
      <c r="N66" s="70"/>
      <c r="O66" s="149">
        <f t="shared" si="26"/>
        <v>0</v>
      </c>
    </row>
    <row r="67" spans="1:18">
      <c r="A67" s="94">
        <v>42400</v>
      </c>
      <c r="B67" s="101" t="s">
        <v>156</v>
      </c>
      <c r="C67" s="88">
        <f>SUM(C65:C66)</f>
        <v>51577.200000000004</v>
      </c>
      <c r="D67" s="88">
        <f>SUM(D65:D66)</f>
        <v>0</v>
      </c>
      <c r="E67" s="88">
        <f>SUM(E65:E66)</f>
        <v>51577.200000000004</v>
      </c>
      <c r="F67" s="645"/>
      <c r="G67" s="88">
        <f>SUM(G65:G66)</f>
        <v>0</v>
      </c>
      <c r="H67" s="98"/>
      <c r="I67" s="88">
        <f>SUM(I65:I66)</f>
        <v>51577.200000000004</v>
      </c>
      <c r="J67" s="88"/>
      <c r="K67" s="88">
        <f>SUM(K65:K66)</f>
        <v>45818.3983782098</v>
      </c>
      <c r="L67" s="88">
        <f>SUM(L65:L66)</f>
        <v>5758.8016217902077</v>
      </c>
      <c r="M67" s="90"/>
      <c r="N67" s="69"/>
      <c r="O67" s="149">
        <f t="shared" si="26"/>
        <v>0</v>
      </c>
    </row>
    <row r="68" spans="1:18">
      <c r="A68" s="79"/>
      <c r="B68" s="74"/>
      <c r="C68" s="85"/>
      <c r="D68" s="86"/>
      <c r="E68" s="86"/>
      <c r="F68" s="644"/>
      <c r="G68" s="86"/>
      <c r="H68" s="72"/>
      <c r="I68" s="86"/>
      <c r="J68" s="86"/>
      <c r="K68" s="85"/>
      <c r="L68" s="85"/>
      <c r="M68" s="74"/>
      <c r="N68" s="74"/>
      <c r="O68" s="149">
        <f t="shared" si="26"/>
        <v>0</v>
      </c>
    </row>
    <row r="69" spans="1:18">
      <c r="A69" s="95">
        <v>50086</v>
      </c>
      <c r="B69" s="74" t="s">
        <v>157</v>
      </c>
      <c r="C69" s="82">
        <f>IFERROR(VLOOKUP(A69,'2025 IS'!$A$47:$AE$227,31,FALSE),0)</f>
        <v>2411.7899999999995</v>
      </c>
      <c r="D69" s="86"/>
      <c r="E69" s="83">
        <f t="shared" ref="E69:E72" si="36">SUM(C69:D69)</f>
        <v>2411.7899999999995</v>
      </c>
      <c r="F69" s="644"/>
      <c r="G69" s="86"/>
      <c r="H69" s="72"/>
      <c r="I69" s="83">
        <f t="shared" ref="I69:I72" si="37">E69+G69</f>
        <v>2411.7899999999995</v>
      </c>
      <c r="J69" s="83"/>
      <c r="K69" s="148">
        <f>I69*Ratios!$B$25</f>
        <v>2142.503955712652</v>
      </c>
      <c r="L69" s="148">
        <f t="shared" ref="L69:L72" si="38">I69-K69</f>
        <v>269.28604428734752</v>
      </c>
      <c r="M69" s="74" t="s">
        <v>135</v>
      </c>
      <c r="N69" s="70"/>
      <c r="O69" s="149">
        <f t="shared" si="26"/>
        <v>0</v>
      </c>
    </row>
    <row r="70" spans="1:18">
      <c r="A70" s="95">
        <v>50090</v>
      </c>
      <c r="B70" s="74" t="s">
        <v>38</v>
      </c>
      <c r="C70" s="82">
        <f>IFERROR(VLOOKUP(A70,'2025 IS'!$A$47:$AE$227,31,FALSE),0)</f>
        <v>1760.59</v>
      </c>
      <c r="D70" s="86"/>
      <c r="E70" s="83">
        <f t="shared" si="36"/>
        <v>1760.59</v>
      </c>
      <c r="F70" s="644"/>
      <c r="G70" s="86"/>
      <c r="H70" s="72"/>
      <c r="I70" s="83">
        <f t="shared" si="37"/>
        <v>1760.59</v>
      </c>
      <c r="J70" s="83"/>
      <c r="K70" s="148">
        <f>I70*Ratios!$B$25</f>
        <v>1564.0130522923382</v>
      </c>
      <c r="L70" s="148">
        <f t="shared" si="38"/>
        <v>196.5769477076617</v>
      </c>
      <c r="M70" s="74" t="s">
        <v>135</v>
      </c>
      <c r="N70" s="70"/>
      <c r="O70" s="149">
        <f t="shared" si="26"/>
        <v>0</v>
      </c>
    </row>
    <row r="71" spans="1:18">
      <c r="A71" s="95">
        <v>56201</v>
      </c>
      <c r="B71" s="74" t="s">
        <v>285</v>
      </c>
      <c r="C71" s="82">
        <f>IFERROR(VLOOKUP(A71,'2025 IS'!$A$47:$AE$227,31,FALSE),0)</f>
        <v>59.66</v>
      </c>
      <c r="D71" s="86"/>
      <c r="E71" s="83">
        <f t="shared" ref="E71" si="39">SUM(C71:D71)</f>
        <v>59.66</v>
      </c>
      <c r="F71" s="644"/>
      <c r="G71" s="86"/>
      <c r="H71" s="72"/>
      <c r="I71" s="83">
        <f t="shared" si="37"/>
        <v>59.66</v>
      </c>
      <c r="J71" s="83"/>
      <c r="K71" s="148">
        <f>I71*Ratios!$B$25</f>
        <v>52.998721280798421</v>
      </c>
      <c r="L71" s="148">
        <f t="shared" si="38"/>
        <v>6.6612787192015759</v>
      </c>
      <c r="M71" s="74" t="s">
        <v>135</v>
      </c>
      <c r="N71" s="70"/>
      <c r="O71" s="149">
        <f t="shared" si="26"/>
        <v>0</v>
      </c>
    </row>
    <row r="72" spans="1:18">
      <c r="A72" s="95">
        <v>57324</v>
      </c>
      <c r="B72" s="74" t="s">
        <v>158</v>
      </c>
      <c r="C72" s="1094">
        <f>IFERROR(VLOOKUP(A72,'2025 IS'!$A$47:$AE$227,31,FALSE),0)</f>
        <v>456.75</v>
      </c>
      <c r="D72" s="1095">
        <f>'Restating Adj'!E29</f>
        <v>-456.75</v>
      </c>
      <c r="E72" s="1095">
        <f t="shared" si="36"/>
        <v>0</v>
      </c>
      <c r="F72" s="1096" t="s">
        <v>535</v>
      </c>
      <c r="G72" s="1097"/>
      <c r="H72" s="1100"/>
      <c r="I72" s="1095">
        <f t="shared" si="37"/>
        <v>0</v>
      </c>
      <c r="J72" s="1095"/>
      <c r="K72" s="1094">
        <f>I72*Ratios!$B$25</f>
        <v>0</v>
      </c>
      <c r="L72" s="1094">
        <f t="shared" si="38"/>
        <v>0</v>
      </c>
      <c r="M72" s="74"/>
      <c r="N72" s="70"/>
      <c r="O72" s="149">
        <f t="shared" si="26"/>
        <v>0</v>
      </c>
    </row>
    <row r="73" spans="1:18">
      <c r="A73" s="97">
        <v>42800</v>
      </c>
      <c r="B73" s="101" t="s">
        <v>159</v>
      </c>
      <c r="C73" s="88">
        <f>SUM(C69:C72)</f>
        <v>4688.7899999999991</v>
      </c>
      <c r="D73" s="88">
        <f>SUM(D69:D72)</f>
        <v>-456.75</v>
      </c>
      <c r="E73" s="88">
        <f>SUM(E69:E72)</f>
        <v>4232.0399999999991</v>
      </c>
      <c r="F73" s="645"/>
      <c r="G73" s="88">
        <f>SUM(G69:G72)</f>
        <v>0</v>
      </c>
      <c r="H73" s="98"/>
      <c r="I73" s="88">
        <f>SUM(I69:I72)</f>
        <v>4232.0399999999991</v>
      </c>
      <c r="J73" s="88"/>
      <c r="K73" s="88">
        <f>SUM(K69:K72)</f>
        <v>3759.5157292857884</v>
      </c>
      <c r="L73" s="88">
        <f>SUM(L69:L72)</f>
        <v>472.52427071421079</v>
      </c>
      <c r="M73" s="90"/>
      <c r="N73" s="90"/>
      <c r="O73" s="149">
        <f t="shared" si="26"/>
        <v>0</v>
      </c>
    </row>
    <row r="74" spans="1:18">
      <c r="A74" s="79"/>
      <c r="B74" s="74"/>
      <c r="C74" s="85"/>
      <c r="D74" s="86"/>
      <c r="E74" s="86"/>
      <c r="F74" s="644"/>
      <c r="G74" s="86"/>
      <c r="H74" s="72"/>
      <c r="I74" s="86"/>
      <c r="J74" s="86"/>
      <c r="K74" s="85"/>
      <c r="L74" s="85"/>
      <c r="M74" s="74"/>
      <c r="N74" s="70"/>
      <c r="O74" s="149">
        <f t="shared" si="26"/>
        <v>0</v>
      </c>
    </row>
    <row r="75" spans="1:18">
      <c r="A75" s="95">
        <v>40101</v>
      </c>
      <c r="B75" s="74" t="s">
        <v>20</v>
      </c>
      <c r="C75" s="82">
        <f>IFERROR(VLOOKUP(A75,'2025 IS'!$A$47:$AE$227,31,FALSE),0)</f>
        <v>277222.21000000002</v>
      </c>
      <c r="D75" s="83">
        <f>-C11</f>
        <v>-95797.75</v>
      </c>
      <c r="E75" s="83">
        <f t="shared" ref="E75:E76" si="40">SUM(C75:D75)</f>
        <v>181424.46000000002</v>
      </c>
      <c r="F75" s="644"/>
      <c r="G75" s="446">
        <f>'Pro Forma Adj'!D10</f>
        <v>3781.5434014598532</v>
      </c>
      <c r="H75" s="859" t="s">
        <v>1430</v>
      </c>
      <c r="I75" s="83">
        <f>E75+G75</f>
        <v>185206.00340145986</v>
      </c>
      <c r="J75" s="83"/>
      <c r="K75" s="85">
        <f>'DF Schedule'!C60+G75</f>
        <v>182414.66840145987</v>
      </c>
      <c r="L75" s="85">
        <f>'DF Schedule'!C70</f>
        <v>2791.6800000000003</v>
      </c>
      <c r="M75" s="74" t="s">
        <v>160</v>
      </c>
      <c r="N75" s="70"/>
      <c r="O75" s="149">
        <f t="shared" si="26"/>
        <v>-0.34500000000844011</v>
      </c>
      <c r="R75" s="632"/>
    </row>
    <row r="76" spans="1:18">
      <c r="A76" s="95"/>
      <c r="B76" s="74" t="s">
        <v>595</v>
      </c>
      <c r="C76" s="1094"/>
      <c r="D76" s="1095">
        <f>+E11</f>
        <v>95162.060000000012</v>
      </c>
      <c r="E76" s="1095">
        <f t="shared" si="40"/>
        <v>95162.060000000012</v>
      </c>
      <c r="F76" s="1096"/>
      <c r="G76" s="1103">
        <f>'Pro Forma Adj'!D12</f>
        <v>1890.3621021897816</v>
      </c>
      <c r="H76" s="1104" t="s">
        <v>1430</v>
      </c>
      <c r="I76" s="1095">
        <f t="shared" ref="I76" si="41">E76+G76</f>
        <v>97052.422102189797</v>
      </c>
      <c r="J76" s="1095"/>
      <c r="K76" s="1099">
        <f>K11</f>
        <v>89925.7221021898</v>
      </c>
      <c r="L76" s="1099">
        <f>'DF Schedule'!D70</f>
        <v>7127.06</v>
      </c>
      <c r="M76" s="74"/>
      <c r="N76" s="70"/>
      <c r="O76" s="149">
        <f t="shared" si="26"/>
        <v>-0.36000000000331056</v>
      </c>
    </row>
    <row r="77" spans="1:18">
      <c r="A77" s="97">
        <v>43600</v>
      </c>
      <c r="B77" s="101" t="s">
        <v>161</v>
      </c>
      <c r="C77" s="88">
        <f>SUM(C75:C76)</f>
        <v>277222.21000000002</v>
      </c>
      <c r="D77" s="88">
        <f t="shared" ref="D77:E77" si="42">SUM(D75:D76)</f>
        <v>-635.68999999998778</v>
      </c>
      <c r="E77" s="88">
        <f t="shared" si="42"/>
        <v>276586.52</v>
      </c>
      <c r="F77" s="645"/>
      <c r="G77" s="88">
        <f>SUM(G75:G76)</f>
        <v>5671.9055036496347</v>
      </c>
      <c r="H77" s="98"/>
      <c r="I77" s="88">
        <f>SUM(I75:I76)</f>
        <v>282258.42550364963</v>
      </c>
      <c r="J77" s="88"/>
      <c r="K77" s="88">
        <f>SUM(K75:K76)</f>
        <v>272340.39050364966</v>
      </c>
      <c r="L77" s="88">
        <f>SUM(L75:L76)</f>
        <v>9918.7400000000016</v>
      </c>
      <c r="M77" s="104">
        <f>SUM(M75:M75)</f>
        <v>0</v>
      </c>
      <c r="N77" s="104"/>
      <c r="O77" s="149">
        <f t="shared" si="26"/>
        <v>-0.70500000002721208</v>
      </c>
    </row>
    <row r="78" spans="1:18">
      <c r="A78" s="97"/>
      <c r="B78" s="74"/>
      <c r="C78" s="88"/>
      <c r="D78" s="86"/>
      <c r="E78" s="86"/>
      <c r="F78" s="644"/>
      <c r="G78" s="86"/>
      <c r="H78" s="72"/>
      <c r="I78" s="86"/>
      <c r="J78" s="86"/>
      <c r="K78" s="88"/>
      <c r="L78" s="88"/>
      <c r="M78" s="74"/>
      <c r="N78" s="70"/>
      <c r="O78" s="149">
        <f t="shared" si="26"/>
        <v>0</v>
      </c>
    </row>
    <row r="79" spans="1:18">
      <c r="A79" s="95">
        <v>43002</v>
      </c>
      <c r="B79" s="74" t="s">
        <v>162</v>
      </c>
      <c r="C79" s="1094">
        <f>IFERROR(VLOOKUP(A79,'2025 IS'!$A$47:$AE$227,31,FALSE),0)</f>
        <v>4236.8900000000003</v>
      </c>
      <c r="D79" s="1095">
        <f>'Restating Adj'!H33</f>
        <v>13.482845486861152</v>
      </c>
      <c r="E79" s="1095">
        <f t="shared" ref="E79" si="43">SUM(C79:D79)</f>
        <v>4250.3728454868615</v>
      </c>
      <c r="F79" s="1096" t="s">
        <v>538</v>
      </c>
      <c r="G79" s="1097"/>
      <c r="H79" s="1100"/>
      <c r="I79" s="1095">
        <f t="shared" ref="I79" si="44">E79+G79</f>
        <v>4250.3728454868615</v>
      </c>
      <c r="J79" s="1095"/>
      <c r="K79" s="1094">
        <f>'Restating Expl'!D63</f>
        <v>3801.9053812368611</v>
      </c>
      <c r="L79" s="1094">
        <f>'Restating Expl'!E63</f>
        <v>448.46746424999992</v>
      </c>
      <c r="M79" s="74" t="s">
        <v>129</v>
      </c>
      <c r="N79" s="70"/>
      <c r="O79" s="149">
        <f t="shared" si="26"/>
        <v>4.5474735088646412E-13</v>
      </c>
    </row>
    <row r="80" spans="1:18">
      <c r="A80" s="105">
        <v>44300</v>
      </c>
      <c r="B80" s="102" t="s">
        <v>163</v>
      </c>
      <c r="C80" s="88">
        <f>SUM(C79)</f>
        <v>4236.8900000000003</v>
      </c>
      <c r="D80" s="88">
        <f>SUM(D79)</f>
        <v>13.482845486861152</v>
      </c>
      <c r="E80" s="88">
        <f>SUM(E79)</f>
        <v>4250.3728454868615</v>
      </c>
      <c r="F80" s="645"/>
      <c r="G80" s="88">
        <f>SUM(G79)</f>
        <v>0</v>
      </c>
      <c r="H80" s="98"/>
      <c r="I80" s="88">
        <f>SUM(I79)</f>
        <v>4250.3728454868615</v>
      </c>
      <c r="J80" s="88"/>
      <c r="K80" s="88">
        <f>SUM(K79)</f>
        <v>3801.9053812368611</v>
      </c>
      <c r="L80" s="88">
        <f>SUM(L79)</f>
        <v>448.46746424999992</v>
      </c>
      <c r="M80" s="90"/>
      <c r="N80" s="90"/>
      <c r="O80" s="149">
        <f t="shared" si="26"/>
        <v>4.5474735088646412E-13</v>
      </c>
    </row>
    <row r="81" spans="1:15">
      <c r="A81" s="79"/>
      <c r="B81" s="74"/>
      <c r="C81" s="85"/>
      <c r="D81" s="86"/>
      <c r="E81" s="86"/>
      <c r="F81" s="644"/>
      <c r="G81" s="86"/>
      <c r="H81" s="72"/>
      <c r="I81" s="86"/>
      <c r="J81" s="86"/>
      <c r="K81" s="85"/>
      <c r="L81" s="85"/>
      <c r="M81" s="74"/>
      <c r="N81" s="70"/>
      <c r="O81" s="149">
        <f t="shared" si="26"/>
        <v>0</v>
      </c>
    </row>
    <row r="82" spans="1:15">
      <c r="A82" s="95">
        <v>59340</v>
      </c>
      <c r="B82" s="74" t="s">
        <v>63</v>
      </c>
      <c r="C82" s="1094">
        <f>IFERROR(VLOOKUP(A82,'2025 IS'!$A$47:$AE$227,31,FALSE),0)</f>
        <v>3240.0299999999979</v>
      </c>
      <c r="D82" s="1097"/>
      <c r="E82" s="1095">
        <f t="shared" ref="E82" si="45">SUM(C82:D82)</f>
        <v>3240.0299999999979</v>
      </c>
      <c r="F82" s="1096"/>
      <c r="G82" s="1097"/>
      <c r="H82" s="1100"/>
      <c r="I82" s="1095">
        <f t="shared" ref="I82" si="46">E82+G82</f>
        <v>3240.0299999999979</v>
      </c>
      <c r="J82" s="1095"/>
      <c r="K82" s="1094">
        <f>I82*Ratios!$B$25</f>
        <v>2878.2676317704527</v>
      </c>
      <c r="L82" s="1094">
        <f t="shared" ref="L82" si="47">I82-K82</f>
        <v>361.76236822954525</v>
      </c>
      <c r="M82" s="74" t="s">
        <v>135</v>
      </c>
      <c r="N82" s="70"/>
      <c r="O82" s="149">
        <f t="shared" si="26"/>
        <v>0</v>
      </c>
    </row>
    <row r="83" spans="1:15">
      <c r="A83" s="105">
        <v>45300</v>
      </c>
      <c r="B83" s="101" t="s">
        <v>166</v>
      </c>
      <c r="C83" s="88">
        <f>SUM(C82:C82)</f>
        <v>3240.0299999999979</v>
      </c>
      <c r="D83" s="88">
        <f>SUM(D82:D82)</f>
        <v>0</v>
      </c>
      <c r="E83" s="88">
        <f>SUM(E82:E82)</f>
        <v>3240.0299999999979</v>
      </c>
      <c r="F83" s="645"/>
      <c r="G83" s="88">
        <f>SUM(G82:G82)</f>
        <v>0</v>
      </c>
      <c r="H83" s="98"/>
      <c r="I83" s="88">
        <f>SUM(I82:I82)</f>
        <v>3240.0299999999979</v>
      </c>
      <c r="J83" s="88"/>
      <c r="K83" s="88">
        <f>SUM(K82:K82)</f>
        <v>2878.2676317704527</v>
      </c>
      <c r="L83" s="88">
        <f>SUM(L82:L82)</f>
        <v>361.76236822954525</v>
      </c>
      <c r="M83" s="90"/>
      <c r="N83" s="69"/>
      <c r="O83" s="149">
        <f t="shared" si="26"/>
        <v>0</v>
      </c>
    </row>
    <row r="84" spans="1:15">
      <c r="A84" s="95"/>
      <c r="B84" s="74"/>
      <c r="C84" s="85"/>
      <c r="D84" s="86"/>
      <c r="E84" s="86"/>
      <c r="F84" s="644"/>
      <c r="G84" s="86"/>
      <c r="H84" s="72"/>
      <c r="I84" s="86"/>
      <c r="J84" s="86"/>
      <c r="K84" s="85"/>
      <c r="L84" s="85"/>
      <c r="M84" s="74"/>
      <c r="N84" s="70"/>
      <c r="O84" s="149">
        <f t="shared" si="26"/>
        <v>0</v>
      </c>
    </row>
    <row r="85" spans="1:15">
      <c r="A85" s="79">
        <v>57370</v>
      </c>
      <c r="B85" s="74" t="s">
        <v>167</v>
      </c>
      <c r="C85" s="1094">
        <f>IFERROR(VLOOKUP(A85,'2025 IS'!$A$47:$AE$227,31,FALSE),0)</f>
        <v>150</v>
      </c>
      <c r="D85" s="1097"/>
      <c r="E85" s="1095">
        <f t="shared" ref="E85" si="48">SUM(C85:D85)</f>
        <v>150</v>
      </c>
      <c r="F85" s="1096"/>
      <c r="G85" s="1097"/>
      <c r="H85" s="1100"/>
      <c r="I85" s="1095">
        <f t="shared" ref="I85" si="49">E85+G85</f>
        <v>150</v>
      </c>
      <c r="J85" s="1095"/>
      <c r="K85" s="1094">
        <f>I85*Ratios!$B$25</f>
        <v>133.25189728662025</v>
      </c>
      <c r="L85" s="1094">
        <f t="shared" ref="L85" si="50">I85-K85</f>
        <v>16.748102713379751</v>
      </c>
      <c r="M85" s="74" t="s">
        <v>135</v>
      </c>
      <c r="N85" s="70"/>
      <c r="O85" s="149">
        <f t="shared" si="26"/>
        <v>0</v>
      </c>
    </row>
    <row r="86" spans="1:15">
      <c r="A86" s="97">
        <v>45400</v>
      </c>
      <c r="B86" s="101" t="s">
        <v>168</v>
      </c>
      <c r="C86" s="88">
        <f>SUM(C85:C85)</f>
        <v>150</v>
      </c>
      <c r="D86" s="88">
        <f>SUM(D85:D85)</f>
        <v>0</v>
      </c>
      <c r="E86" s="88">
        <f>SUM(E85:E85)</f>
        <v>150</v>
      </c>
      <c r="F86" s="645"/>
      <c r="G86" s="88">
        <f>SUM(G85:G85)</f>
        <v>0</v>
      </c>
      <c r="H86" s="98"/>
      <c r="I86" s="88">
        <f>SUM(I85:I85)</f>
        <v>150</v>
      </c>
      <c r="J86" s="88"/>
      <c r="K86" s="88">
        <f>SUM(K85:K85)</f>
        <v>133.25189728662025</v>
      </c>
      <c r="L86" s="88">
        <f>SUM(L85:L85)</f>
        <v>16.748102713379751</v>
      </c>
      <c r="M86" s="90"/>
      <c r="N86" s="69"/>
      <c r="O86" s="149">
        <f t="shared" si="26"/>
        <v>0</v>
      </c>
    </row>
    <row r="87" spans="1:15">
      <c r="A87" s="79"/>
      <c r="B87" s="74"/>
      <c r="C87" s="85"/>
      <c r="D87" s="86"/>
      <c r="E87" s="86"/>
      <c r="F87" s="644"/>
      <c r="G87" s="86"/>
      <c r="H87" s="72"/>
      <c r="I87" s="86"/>
      <c r="J87" s="86"/>
      <c r="K87" s="82"/>
      <c r="L87" s="82"/>
      <c r="M87" s="74"/>
      <c r="N87" s="70"/>
      <c r="O87" s="149">
        <f t="shared" si="26"/>
        <v>0</v>
      </c>
    </row>
    <row r="88" spans="1:15">
      <c r="A88" s="95">
        <v>70010</v>
      </c>
      <c r="B88" s="74" t="s">
        <v>53</v>
      </c>
      <c r="C88" s="82">
        <f>IFERROR(VLOOKUP(A88,'2025 IS'!$A$47:$AE$227,31,FALSE),0)</f>
        <v>24328.480000000003</v>
      </c>
      <c r="D88" s="83">
        <f>'Restating Adj'!G37</f>
        <v>1066.8509238785446</v>
      </c>
      <c r="E88" s="83">
        <f t="shared" ref="E88:E93" si="51">SUM(C88:D88)</f>
        <v>25395.330923878548</v>
      </c>
      <c r="F88" s="644" t="s">
        <v>537</v>
      </c>
      <c r="G88" s="83"/>
      <c r="H88" s="859"/>
      <c r="I88" s="83">
        <f t="shared" ref="I88:I93" si="52">E88+G88</f>
        <v>25395.330923878548</v>
      </c>
      <c r="J88" s="83"/>
      <c r="K88" s="148">
        <f>I88*Ratios!$B$13</f>
        <v>22693.544497879688</v>
      </c>
      <c r="L88" s="148">
        <f t="shared" ref="L88" si="53">I88-K88</f>
        <v>2701.7864259988601</v>
      </c>
      <c r="M88" s="74" t="s">
        <v>1238</v>
      </c>
      <c r="N88" s="70"/>
      <c r="O88" s="149">
        <f t="shared" si="26"/>
        <v>0</v>
      </c>
    </row>
    <row r="89" spans="1:15">
      <c r="A89" s="95">
        <v>70020</v>
      </c>
      <c r="B89" s="74" t="s">
        <v>30</v>
      </c>
      <c r="C89" s="82">
        <f>IFERROR(VLOOKUP(A89,'2025 IS'!$A$47:$AE$227,31,FALSE),0)</f>
        <v>31950.28</v>
      </c>
      <c r="D89" s="83"/>
      <c r="E89" s="83">
        <f t="shared" si="51"/>
        <v>31950.28</v>
      </c>
      <c r="F89" s="644"/>
      <c r="G89" s="83">
        <f>'Pro Forma Adj'!B34</f>
        <v>769.61250000000007</v>
      </c>
      <c r="H89" s="859" t="s">
        <v>1432</v>
      </c>
      <c r="I89" s="83">
        <f t="shared" si="52"/>
        <v>32719.892499999998</v>
      </c>
      <c r="J89" s="83"/>
      <c r="K89" s="82">
        <f>I89*Ratios!$B$13</f>
        <v>29238.852552868626</v>
      </c>
      <c r="L89" s="82">
        <f>I89-K89</f>
        <v>3481.0399471313722</v>
      </c>
      <c r="M89" s="74" t="s">
        <v>1238</v>
      </c>
      <c r="N89" s="70"/>
      <c r="O89" s="149">
        <f t="shared" ref="O89:O130" si="54">I89-K89-L89</f>
        <v>0</v>
      </c>
    </row>
    <row r="90" spans="1:15">
      <c r="A90" s="95">
        <v>70025</v>
      </c>
      <c r="B90" s="74" t="s">
        <v>154</v>
      </c>
      <c r="C90" s="82">
        <f>IFERROR(VLOOKUP(A90,'2025 IS'!$A$47:$AE$227,31,FALSE),0)</f>
        <v>5331.34</v>
      </c>
      <c r="D90" s="86"/>
      <c r="E90" s="83">
        <f t="shared" si="51"/>
        <v>5331.34</v>
      </c>
      <c r="F90" s="644"/>
      <c r="G90" s="86"/>
      <c r="H90" s="72"/>
      <c r="I90" s="83">
        <f t="shared" si="52"/>
        <v>5331.34</v>
      </c>
      <c r="J90" s="83"/>
      <c r="K90" s="148">
        <f>I90*Ratios!$B$13</f>
        <v>4764.1435303985381</v>
      </c>
      <c r="L90" s="148">
        <f t="shared" ref="L90:L93" si="55">I90-K90</f>
        <v>567.19646960146201</v>
      </c>
      <c r="M90" s="74" t="s">
        <v>1238</v>
      </c>
      <c r="N90" s="70"/>
      <c r="O90" s="149">
        <f t="shared" si="54"/>
        <v>0</v>
      </c>
    </row>
    <row r="91" spans="1:15">
      <c r="A91" s="95">
        <v>70036</v>
      </c>
      <c r="B91" s="70" t="s">
        <v>140</v>
      </c>
      <c r="C91" s="82">
        <f>IFERROR(VLOOKUP(A91,'2025 IS'!$A$47:$AE$227,31,FALSE),0)</f>
        <v>3310</v>
      </c>
      <c r="D91" s="86"/>
      <c r="E91" s="83">
        <f t="shared" si="51"/>
        <v>3310</v>
      </c>
      <c r="F91" s="644"/>
      <c r="G91" s="86"/>
      <c r="H91" s="72"/>
      <c r="I91" s="83">
        <f t="shared" si="52"/>
        <v>3310</v>
      </c>
      <c r="J91" s="83"/>
      <c r="K91" s="148">
        <f>I91*Ratios!$B$13</f>
        <v>2957.8520757669103</v>
      </c>
      <c r="L91" s="148">
        <f t="shared" si="55"/>
        <v>352.14792423308973</v>
      </c>
      <c r="M91" s="74" t="s">
        <v>1238</v>
      </c>
      <c r="N91" s="70"/>
      <c r="O91" s="149">
        <f t="shared" si="54"/>
        <v>0</v>
      </c>
    </row>
    <row r="92" spans="1:15">
      <c r="A92" s="95">
        <v>70065</v>
      </c>
      <c r="B92" s="74" t="s">
        <v>169</v>
      </c>
      <c r="C92" s="82">
        <f>IFERROR(VLOOKUP(A92,'2025 IS'!$A$47:$AE$227,31,FALSE),0)</f>
        <v>1285.1199999999999</v>
      </c>
      <c r="D92" s="86"/>
      <c r="E92" s="83">
        <f t="shared" si="51"/>
        <v>1285.1199999999999</v>
      </c>
      <c r="F92" s="644"/>
      <c r="G92" s="86"/>
      <c r="H92" s="72"/>
      <c r="I92" s="83">
        <f t="shared" si="52"/>
        <v>1285.1199999999999</v>
      </c>
      <c r="J92" s="83"/>
      <c r="K92" s="148">
        <f>I92*Ratios!$B$13</f>
        <v>1148.3972385527406</v>
      </c>
      <c r="L92" s="148">
        <f t="shared" si="55"/>
        <v>136.72276144725924</v>
      </c>
      <c r="M92" s="74" t="s">
        <v>1238</v>
      </c>
      <c r="N92" s="70"/>
      <c r="O92" s="149">
        <f t="shared" si="54"/>
        <v>0</v>
      </c>
    </row>
    <row r="93" spans="1:15">
      <c r="A93" s="79">
        <v>70070</v>
      </c>
      <c r="B93" s="74" t="s">
        <v>170</v>
      </c>
      <c r="C93" s="1094">
        <f>IFERROR(VLOOKUP(A93,'2025 IS'!$A$47:$AE$227,31,FALSE),0)</f>
        <v>465.71000000000009</v>
      </c>
      <c r="D93" s="1097"/>
      <c r="E93" s="1095">
        <f t="shared" si="51"/>
        <v>465.71000000000009</v>
      </c>
      <c r="F93" s="1096"/>
      <c r="G93" s="1097"/>
      <c r="H93" s="1100"/>
      <c r="I93" s="1095">
        <f t="shared" si="52"/>
        <v>465.71000000000009</v>
      </c>
      <c r="J93" s="1095"/>
      <c r="K93" s="1094">
        <f>I93*Ratios!$B$13</f>
        <v>416.16353178411123</v>
      </c>
      <c r="L93" s="1094">
        <f t="shared" si="55"/>
        <v>49.546468215888865</v>
      </c>
      <c r="M93" s="74" t="s">
        <v>1238</v>
      </c>
      <c r="N93" s="70"/>
      <c r="O93" s="149">
        <f t="shared" si="54"/>
        <v>0</v>
      </c>
    </row>
    <row r="94" spans="1:15">
      <c r="A94" s="97">
        <v>46130</v>
      </c>
      <c r="B94" s="101" t="s">
        <v>171</v>
      </c>
      <c r="C94" s="88">
        <f>SUM(C88:C93)</f>
        <v>66670.930000000008</v>
      </c>
      <c r="D94" s="88">
        <f>SUM(D88:D93)</f>
        <v>1066.8509238785446</v>
      </c>
      <c r="E94" s="88">
        <f>SUM(E88:E93)</f>
        <v>67737.780923878541</v>
      </c>
      <c r="F94" s="645"/>
      <c r="G94" s="88">
        <f>SUM(G88:G93)</f>
        <v>769.61250000000007</v>
      </c>
      <c r="H94" s="98"/>
      <c r="I94" s="88">
        <f>SUM(I88:I93)</f>
        <v>68507.393423878544</v>
      </c>
      <c r="J94" s="88"/>
      <c r="K94" s="88">
        <f>SUM(K88:K93)</f>
        <v>61218.953427250613</v>
      </c>
      <c r="L94" s="88">
        <f>SUM(L88:L93)</f>
        <v>7288.4399966279325</v>
      </c>
      <c r="M94" s="90"/>
      <c r="N94" s="69"/>
      <c r="O94" s="149">
        <f t="shared" si="54"/>
        <v>0</v>
      </c>
    </row>
    <row r="95" spans="1:15">
      <c r="A95" s="79"/>
      <c r="B95" s="74"/>
      <c r="C95" s="85"/>
      <c r="D95" s="86"/>
      <c r="E95" s="86"/>
      <c r="F95" s="644"/>
      <c r="G95" s="86"/>
      <c r="H95" s="72"/>
      <c r="I95" s="86"/>
      <c r="J95" s="86"/>
      <c r="K95" s="85"/>
      <c r="L95" s="85"/>
      <c r="M95" s="74"/>
      <c r="N95" s="70"/>
      <c r="O95" s="149">
        <f t="shared" si="54"/>
        <v>0</v>
      </c>
    </row>
    <row r="96" spans="1:15">
      <c r="A96" s="79">
        <v>70149</v>
      </c>
      <c r="B96" s="74" t="s">
        <v>172</v>
      </c>
      <c r="C96" s="1094">
        <f>IFERROR(VLOOKUP(A96,'2025 IS'!$A$47:$AE$227,31,FALSE),0)</f>
        <v>33598.81</v>
      </c>
      <c r="D96" s="1095">
        <f>'Restating Adj'!I38</f>
        <v>-6917.4852458360619</v>
      </c>
      <c r="E96" s="1095">
        <f t="shared" ref="E96" si="56">SUM(C96:D96)</f>
        <v>26681.324754163936</v>
      </c>
      <c r="F96" s="1096" t="s">
        <v>539</v>
      </c>
      <c r="G96" s="1095"/>
      <c r="H96" s="1100"/>
      <c r="I96" s="1095">
        <f t="shared" ref="I96" si="57">E96+G96</f>
        <v>26681.324754163936</v>
      </c>
      <c r="J96" s="1095"/>
      <c r="K96" s="1099">
        <f>'Restating Expl'!D120</f>
        <v>23866.111479865867</v>
      </c>
      <c r="L96" s="1099">
        <f>'Restating Expl'!E120</f>
        <v>2815.2132742980657</v>
      </c>
      <c r="M96" s="74" t="s">
        <v>19</v>
      </c>
      <c r="N96" s="74"/>
      <c r="O96" s="149">
        <f t="shared" si="54"/>
        <v>0</v>
      </c>
    </row>
    <row r="97" spans="1:15">
      <c r="A97" s="97">
        <v>46100</v>
      </c>
      <c r="B97" s="101" t="s">
        <v>173</v>
      </c>
      <c r="C97" s="88">
        <f>SUM(C96)</f>
        <v>33598.81</v>
      </c>
      <c r="D97" s="88">
        <f>SUM(D96)</f>
        <v>-6917.4852458360619</v>
      </c>
      <c r="E97" s="88">
        <f>SUM(E96)</f>
        <v>26681.324754163936</v>
      </c>
      <c r="F97" s="645"/>
      <c r="G97" s="88">
        <f>SUM(G96)</f>
        <v>0</v>
      </c>
      <c r="H97" s="98"/>
      <c r="I97" s="88">
        <f>SUM(I96)</f>
        <v>26681.324754163936</v>
      </c>
      <c r="J97" s="88"/>
      <c r="K97" s="88">
        <f>SUM(K96)</f>
        <v>23866.111479865867</v>
      </c>
      <c r="L97" s="88">
        <f>SUM(L96)</f>
        <v>2815.2132742980657</v>
      </c>
      <c r="M97" s="90"/>
      <c r="N97" s="90"/>
      <c r="O97" s="149">
        <f t="shared" si="54"/>
        <v>0</v>
      </c>
    </row>
    <row r="98" spans="1:15">
      <c r="A98" s="79"/>
      <c r="B98" s="74"/>
      <c r="C98" s="85"/>
      <c r="D98" s="86"/>
      <c r="E98" s="86"/>
      <c r="F98" s="644"/>
      <c r="G98" s="86"/>
      <c r="H98" s="72"/>
      <c r="I98" s="86"/>
      <c r="J98" s="86"/>
      <c r="K98" s="85"/>
      <c r="L98" s="85"/>
      <c r="M98" s="74"/>
      <c r="N98" s="70"/>
      <c r="O98" s="149">
        <f t="shared" si="54"/>
        <v>0</v>
      </c>
    </row>
    <row r="99" spans="1:15">
      <c r="A99" s="79">
        <v>70147</v>
      </c>
      <c r="B99" s="74" t="s">
        <v>74</v>
      </c>
      <c r="C99" s="82">
        <f>IFERROR(VLOOKUP(A99,'2025 IS'!$A$47:$AE$227,31,FALSE),0)</f>
        <v>3843.41</v>
      </c>
      <c r="D99" s="86"/>
      <c r="E99" s="83">
        <f t="shared" ref="E99:E106" si="58">SUM(C99:D99)</f>
        <v>3843.41</v>
      </c>
      <c r="F99" s="644"/>
      <c r="G99" s="86"/>
      <c r="H99" s="72"/>
      <c r="I99" s="83">
        <f t="shared" ref="I99:I106" si="59">E99+G99</f>
        <v>3843.41</v>
      </c>
      <c r="J99" s="83"/>
      <c r="K99" s="148">
        <f>I99*Ratios!$B$13</f>
        <v>3434.5130654148943</v>
      </c>
      <c r="L99" s="148">
        <f t="shared" ref="L99:L102" si="60">I99-K99</f>
        <v>408.89693458510556</v>
      </c>
      <c r="M99" s="74" t="s">
        <v>1238</v>
      </c>
      <c r="N99" s="70"/>
      <c r="O99" s="149">
        <f t="shared" si="54"/>
        <v>0</v>
      </c>
    </row>
    <row r="100" spans="1:15">
      <c r="A100" s="79">
        <v>70175</v>
      </c>
      <c r="B100" s="74" t="s">
        <v>49</v>
      </c>
      <c r="C100" s="82">
        <f>IFERROR(VLOOKUP(A100,'2025 IS'!$A$47:$AE$227,31,FALSE),0)</f>
        <v>1684.02</v>
      </c>
      <c r="D100" s="86"/>
      <c r="E100" s="83">
        <f t="shared" ref="E100" si="61">SUM(C100:D100)</f>
        <v>1684.02</v>
      </c>
      <c r="F100" s="644"/>
      <c r="G100" s="86"/>
      <c r="H100" s="72"/>
      <c r="I100" s="83">
        <f t="shared" si="59"/>
        <v>1684.02</v>
      </c>
      <c r="J100" s="83"/>
      <c r="K100" s="148">
        <f>I100*Ratios!$B$13</f>
        <v>1504.8586261731095</v>
      </c>
      <c r="L100" s="148">
        <f t="shared" si="60"/>
        <v>179.16137382689044</v>
      </c>
      <c r="M100" s="74" t="s">
        <v>1238</v>
      </c>
      <c r="N100" s="70"/>
      <c r="O100" s="149">
        <f t="shared" si="54"/>
        <v>0</v>
      </c>
    </row>
    <row r="101" spans="1:15">
      <c r="A101" s="79">
        <v>70185</v>
      </c>
      <c r="B101" s="74" t="s">
        <v>79</v>
      </c>
      <c r="C101" s="82">
        <f>IFERROR(VLOOKUP(A101,'2025 IS'!$A$47:$AE$227,31,FALSE),0)</f>
        <v>677.44999999999993</v>
      </c>
      <c r="D101" s="86"/>
      <c r="E101" s="83">
        <f t="shared" si="58"/>
        <v>677.44999999999993</v>
      </c>
      <c r="F101" s="644"/>
      <c r="G101" s="86"/>
      <c r="H101" s="72"/>
      <c r="I101" s="83">
        <f t="shared" si="59"/>
        <v>677.44999999999993</v>
      </c>
      <c r="J101" s="83"/>
      <c r="K101" s="148">
        <f>I101*Ratios!$B$13</f>
        <v>605.376703543291</v>
      </c>
      <c r="L101" s="148">
        <f t="shared" si="60"/>
        <v>72.073296456708931</v>
      </c>
      <c r="M101" s="74" t="s">
        <v>1238</v>
      </c>
      <c r="N101" s="70"/>
      <c r="O101" s="149">
        <f t="shared" si="54"/>
        <v>0</v>
      </c>
    </row>
    <row r="102" spans="1:15">
      <c r="A102" s="95">
        <v>70210</v>
      </c>
      <c r="B102" s="74" t="s">
        <v>175</v>
      </c>
      <c r="C102" s="82">
        <f>IFERROR(VLOOKUP(A102,'2025 IS'!$A$47:$AE$227,31,FALSE),0)</f>
        <v>2224.6999999999998</v>
      </c>
      <c r="D102" s="86"/>
      <c r="E102" s="83">
        <f t="shared" si="58"/>
        <v>2224.6999999999998</v>
      </c>
      <c r="F102" s="644"/>
      <c r="G102" s="86"/>
      <c r="H102" s="72"/>
      <c r="I102" s="83">
        <f t="shared" si="59"/>
        <v>2224.6999999999998</v>
      </c>
      <c r="J102" s="83"/>
      <c r="K102" s="148">
        <f>I102*Ratios!$B$13</f>
        <v>1988.0161670569923</v>
      </c>
      <c r="L102" s="148">
        <f t="shared" si="60"/>
        <v>236.68383294300747</v>
      </c>
      <c r="M102" s="74" t="s">
        <v>1238</v>
      </c>
      <c r="N102" s="70"/>
      <c r="O102" s="149">
        <f t="shared" si="54"/>
        <v>0</v>
      </c>
    </row>
    <row r="103" spans="1:15">
      <c r="A103" s="79">
        <v>70245</v>
      </c>
      <c r="B103" s="74" t="s">
        <v>176</v>
      </c>
      <c r="C103" s="82">
        <f>IFERROR(VLOOKUP(A103,'2025 IS'!$A$47:$AE$227,31,FALSE),0)</f>
        <v>232.37999999999997</v>
      </c>
      <c r="D103" s="86"/>
      <c r="E103" s="83">
        <f t="shared" si="58"/>
        <v>232.37999999999997</v>
      </c>
      <c r="F103" s="644"/>
      <c r="G103" s="86"/>
      <c r="H103" s="72"/>
      <c r="I103" s="83">
        <f t="shared" si="59"/>
        <v>232.37999999999997</v>
      </c>
      <c r="J103" s="83"/>
      <c r="K103" s="148">
        <f>I103*Ratios!$B$25</f>
        <v>206.43383927643205</v>
      </c>
      <c r="L103" s="148">
        <f t="shared" ref="L103" si="62">I103-K103</f>
        <v>25.946160723567914</v>
      </c>
      <c r="M103" s="74" t="s">
        <v>135</v>
      </c>
      <c r="N103" s="70"/>
      <c r="O103" s="149">
        <f t="shared" si="54"/>
        <v>0</v>
      </c>
    </row>
    <row r="104" spans="1:15">
      <c r="A104" s="79">
        <v>70300</v>
      </c>
      <c r="B104" s="74" t="s">
        <v>177</v>
      </c>
      <c r="C104" s="82">
        <f>IFERROR(VLOOKUP(A104,'2025 IS'!$A$47:$AE$227,31,FALSE),0)</f>
        <v>2899.41</v>
      </c>
      <c r="D104" s="86"/>
      <c r="E104" s="83">
        <f t="shared" si="58"/>
        <v>2899.41</v>
      </c>
      <c r="F104" s="644"/>
      <c r="G104" s="86"/>
      <c r="H104" s="72"/>
      <c r="I104" s="83">
        <f t="shared" si="59"/>
        <v>2899.41</v>
      </c>
      <c r="J104" s="83"/>
      <c r="K104" s="148">
        <f>I104*Ratios!$B$13</f>
        <v>2590.9443767369598</v>
      </c>
      <c r="L104" s="148">
        <f>I104-K104</f>
        <v>308.46562326304002</v>
      </c>
      <c r="M104" s="74" t="s">
        <v>1238</v>
      </c>
      <c r="N104" s="70"/>
      <c r="O104" s="149">
        <f t="shared" si="54"/>
        <v>0</v>
      </c>
    </row>
    <row r="105" spans="1:15">
      <c r="A105" s="79"/>
      <c r="B105" s="74" t="s">
        <v>178</v>
      </c>
      <c r="C105" s="82">
        <f>IFERROR(VLOOKUP(A105,'2025 IS'!$A$47:$AE$227,31,FALSE),0)</f>
        <v>0</v>
      </c>
      <c r="D105" s="86"/>
      <c r="E105" s="83">
        <f t="shared" si="58"/>
        <v>0</v>
      </c>
      <c r="F105" s="644"/>
      <c r="G105" s="83">
        <f>'Pro Forma Adj'!D27</f>
        <v>395.38872459947089</v>
      </c>
      <c r="H105" s="644" t="s">
        <v>1429</v>
      </c>
      <c r="I105" s="83">
        <f t="shared" si="59"/>
        <v>395.38872459947089</v>
      </c>
      <c r="J105" s="83"/>
      <c r="K105" s="85">
        <f>'Pro Forma Adj'!B27</f>
        <v>353.32367365298381</v>
      </c>
      <c r="L105" s="85">
        <f>'Pro Forma Adj'!C27</f>
        <v>42.065050946487133</v>
      </c>
      <c r="M105" s="74" t="s">
        <v>129</v>
      </c>
      <c r="N105" s="70"/>
      <c r="O105" s="149">
        <f t="shared" si="54"/>
        <v>-5.6843418860808015E-14</v>
      </c>
    </row>
    <row r="106" spans="1:15">
      <c r="A106" s="79">
        <v>70320</v>
      </c>
      <c r="B106" s="74" t="s">
        <v>94</v>
      </c>
      <c r="C106" s="1094">
        <f>IFERROR(VLOOKUP(A106,'2025 IS'!$A$47:$AE$227,31,FALSE),0)</f>
        <v>1557.59</v>
      </c>
      <c r="D106" s="1097"/>
      <c r="E106" s="1095">
        <f t="shared" si="58"/>
        <v>1557.59</v>
      </c>
      <c r="F106" s="1096"/>
      <c r="G106" s="1097"/>
      <c r="H106" s="1100"/>
      <c r="I106" s="1095">
        <f t="shared" si="59"/>
        <v>1557.59</v>
      </c>
      <c r="J106" s="1095"/>
      <c r="K106" s="1094">
        <f>I106*Ratios!$B$13</f>
        <v>1391.8794002096017</v>
      </c>
      <c r="L106" s="1094">
        <f>I106-K106</f>
        <v>165.71059979039819</v>
      </c>
      <c r="M106" s="74" t="s">
        <v>1238</v>
      </c>
      <c r="N106" s="70"/>
      <c r="O106" s="149">
        <f t="shared" si="54"/>
        <v>0</v>
      </c>
    </row>
    <row r="107" spans="1:15">
      <c r="A107" s="97">
        <v>46200</v>
      </c>
      <c r="B107" s="101" t="s">
        <v>179</v>
      </c>
      <c r="C107" s="88">
        <f>SUM(C99:C106)</f>
        <v>13118.96</v>
      </c>
      <c r="D107" s="88">
        <f>SUM(D99:D106)</f>
        <v>0</v>
      </c>
      <c r="E107" s="88">
        <f>SUM(E99:E106)</f>
        <v>13118.96</v>
      </c>
      <c r="F107" s="645"/>
      <c r="G107" s="88">
        <f>SUM(G99:G106)</f>
        <v>395.38872459947089</v>
      </c>
      <c r="H107" s="98"/>
      <c r="I107" s="88">
        <f>SUM(I99:I106)</f>
        <v>13514.348724599469</v>
      </c>
      <c r="J107" s="88"/>
      <c r="K107" s="88">
        <f>SUM(K99:K106)</f>
        <v>12075.345852064265</v>
      </c>
      <c r="L107" s="88">
        <f>SUM(L99:L106)</f>
        <v>1439.0028725352058</v>
      </c>
      <c r="M107" s="104"/>
      <c r="N107" s="104"/>
      <c r="O107" s="149">
        <f t="shared" si="54"/>
        <v>-1.8189894035458565E-12</v>
      </c>
    </row>
    <row r="108" spans="1:15">
      <c r="A108" s="79"/>
      <c r="B108" s="74"/>
      <c r="C108" s="85"/>
      <c r="D108" s="86"/>
      <c r="E108" s="86"/>
      <c r="F108" s="644"/>
      <c r="G108" s="86"/>
      <c r="H108" s="72"/>
      <c r="I108" s="86"/>
      <c r="J108" s="86"/>
      <c r="K108" s="85"/>
      <c r="L108" s="85"/>
      <c r="M108" s="74"/>
      <c r="N108" s="70"/>
      <c r="O108" s="149">
        <f t="shared" si="54"/>
        <v>0</v>
      </c>
    </row>
    <row r="109" spans="1:15">
      <c r="A109" s="79">
        <v>70235</v>
      </c>
      <c r="B109" s="74" t="s">
        <v>89</v>
      </c>
      <c r="C109" s="1094">
        <f>IFERROR(VLOOKUP(A109,'2025 IS'!$A$47:$AE$227,31,FALSE),0)</f>
        <v>766.62</v>
      </c>
      <c r="D109" s="1097"/>
      <c r="E109" s="1095">
        <f t="shared" ref="E109" si="63">SUM(C109:D109)</f>
        <v>766.62</v>
      </c>
      <c r="F109" s="1096"/>
      <c r="G109" s="1097"/>
      <c r="H109" s="1100"/>
      <c r="I109" s="1095">
        <f t="shared" ref="I109" si="64">E109+G109</f>
        <v>766.62</v>
      </c>
      <c r="J109" s="1095"/>
      <c r="K109" s="1094">
        <f>I109*Ratios!$B$13</f>
        <v>685.05998740919301</v>
      </c>
      <c r="L109" s="1094">
        <f>I109-K109</f>
        <v>81.560012590806991</v>
      </c>
      <c r="M109" s="74" t="s">
        <v>1238</v>
      </c>
      <c r="N109" s="74"/>
      <c r="O109" s="149">
        <f t="shared" si="54"/>
        <v>0</v>
      </c>
    </row>
    <row r="110" spans="1:15">
      <c r="A110" s="97">
        <v>46300</v>
      </c>
      <c r="B110" s="101" t="s">
        <v>180</v>
      </c>
      <c r="C110" s="88">
        <f>SUM(C109)</f>
        <v>766.62</v>
      </c>
      <c r="D110" s="88">
        <f>SUM(D109)</f>
        <v>0</v>
      </c>
      <c r="E110" s="88">
        <f>SUM(E109)</f>
        <v>766.62</v>
      </c>
      <c r="F110" s="645"/>
      <c r="G110" s="88">
        <f>SUM(G109)</f>
        <v>0</v>
      </c>
      <c r="H110" s="98"/>
      <c r="I110" s="88">
        <f>SUM(I109)</f>
        <v>766.62</v>
      </c>
      <c r="J110" s="88"/>
      <c r="K110" s="88">
        <f>SUM(K109)</f>
        <v>685.05998740919301</v>
      </c>
      <c r="L110" s="88">
        <f>SUM(L109)</f>
        <v>81.560012590806991</v>
      </c>
      <c r="M110" s="90"/>
      <c r="N110" s="90"/>
      <c r="O110" s="149">
        <f t="shared" si="54"/>
        <v>0</v>
      </c>
    </row>
    <row r="111" spans="1:15">
      <c r="A111" s="79"/>
      <c r="B111" s="74"/>
      <c r="C111" s="85"/>
      <c r="D111" s="86"/>
      <c r="E111" s="86"/>
      <c r="F111" s="644"/>
      <c r="G111" s="86"/>
      <c r="H111" s="72"/>
      <c r="I111" s="86"/>
      <c r="J111" s="86"/>
      <c r="K111" s="85"/>
      <c r="L111" s="85"/>
      <c r="M111" s="74"/>
      <c r="N111" s="70"/>
      <c r="O111" s="149">
        <f t="shared" si="54"/>
        <v>0</v>
      </c>
    </row>
    <row r="112" spans="1:15">
      <c r="A112" s="79">
        <v>70165</v>
      </c>
      <c r="B112" s="74" t="s">
        <v>181</v>
      </c>
      <c r="C112" s="1094">
        <f>IFERROR(VLOOKUP(A112,'2025 IS'!$A$47:$AE$227,31,FALSE),0)</f>
        <v>6026.59</v>
      </c>
      <c r="D112" s="1097"/>
      <c r="E112" s="1095">
        <f t="shared" ref="E112" si="65">SUM(C112:D112)</f>
        <v>6026.59</v>
      </c>
      <c r="F112" s="1096"/>
      <c r="G112" s="1097"/>
      <c r="H112" s="1100"/>
      <c r="I112" s="1095">
        <f t="shared" ref="I112" si="66">E112+G112</f>
        <v>6026.59</v>
      </c>
      <c r="J112" s="1095"/>
      <c r="K112" s="1094">
        <f>I112*Ratios!$B$13</f>
        <v>5385.4265079444422</v>
      </c>
      <c r="L112" s="1094">
        <f>I112-K112</f>
        <v>641.16349205555798</v>
      </c>
      <c r="M112" s="74" t="s">
        <v>1238</v>
      </c>
      <c r="N112" s="70"/>
      <c r="O112" s="149">
        <f t="shared" si="54"/>
        <v>0</v>
      </c>
    </row>
    <row r="113" spans="1:15">
      <c r="A113" s="97">
        <v>46410</v>
      </c>
      <c r="B113" s="101" t="s">
        <v>181</v>
      </c>
      <c r="C113" s="88">
        <f>SUM(C112:C112)</f>
        <v>6026.59</v>
      </c>
      <c r="D113" s="88">
        <f>SUM(D112:D112)</f>
        <v>0</v>
      </c>
      <c r="E113" s="88">
        <f>SUM(E112:E112)</f>
        <v>6026.59</v>
      </c>
      <c r="F113" s="645"/>
      <c r="G113" s="88">
        <f>SUM(G112:G112)</f>
        <v>0</v>
      </c>
      <c r="H113" s="98"/>
      <c r="I113" s="88">
        <f>SUM(I112:I112)</f>
        <v>6026.59</v>
      </c>
      <c r="J113" s="88"/>
      <c r="K113" s="88">
        <f>SUM(K112:K112)</f>
        <v>5385.4265079444422</v>
      </c>
      <c r="L113" s="88">
        <f>SUM(L112:L112)</f>
        <v>641.16349205555798</v>
      </c>
      <c r="M113" s="90"/>
      <c r="N113" s="69"/>
      <c r="O113" s="149">
        <f t="shared" si="54"/>
        <v>0</v>
      </c>
    </row>
    <row r="114" spans="1:15">
      <c r="A114" s="79"/>
      <c r="B114" s="74"/>
      <c r="C114" s="85"/>
      <c r="D114" s="86"/>
      <c r="E114" s="86"/>
      <c r="F114" s="644"/>
      <c r="G114" s="86"/>
      <c r="H114" s="72"/>
      <c r="I114" s="86"/>
      <c r="J114" s="86"/>
      <c r="K114" s="85"/>
      <c r="L114" s="85"/>
      <c r="M114" s="74"/>
      <c r="N114" s="70"/>
      <c r="O114" s="149">
        <f t="shared" si="54"/>
        <v>0</v>
      </c>
    </row>
    <row r="115" spans="1:15">
      <c r="A115" s="79">
        <v>50060</v>
      </c>
      <c r="B115" s="74" t="s">
        <v>35</v>
      </c>
      <c r="C115" s="82">
        <f>IFERROR(VLOOKUP(A115,'2025 IS'!$A$47:$AE$227,31,FALSE),0)</f>
        <v>29487.920000000006</v>
      </c>
      <c r="D115" s="83"/>
      <c r="E115" s="83">
        <f t="shared" ref="E115:E118" si="67">SUM(C115:D115)</f>
        <v>29487.920000000006</v>
      </c>
      <c r="F115" s="644"/>
      <c r="G115" s="86"/>
      <c r="H115" s="72"/>
      <c r="I115" s="83">
        <f t="shared" ref="I115:I118" si="68">E115+G115</f>
        <v>29487.920000000006</v>
      </c>
      <c r="J115" s="83"/>
      <c r="K115" s="148">
        <f>I115*Ratios!$B$25</f>
        <v>26195.475246907168</v>
      </c>
      <c r="L115" s="148">
        <f t="shared" ref="L115:L117" si="69">I115-K115</f>
        <v>3292.4447530928373</v>
      </c>
      <c r="M115" s="74" t="s">
        <v>135</v>
      </c>
      <c r="N115" s="74"/>
      <c r="O115" s="149">
        <f t="shared" si="54"/>
        <v>0</v>
      </c>
    </row>
    <row r="116" spans="1:15">
      <c r="A116" s="79">
        <v>52060</v>
      </c>
      <c r="B116" s="74" t="s">
        <v>35</v>
      </c>
      <c r="C116" s="82">
        <f>IFERROR(VLOOKUP(A116,'2025 IS'!$A$47:$AE$227,31,FALSE),0)</f>
        <v>5951.36</v>
      </c>
      <c r="D116" s="86"/>
      <c r="E116" s="83">
        <f t="shared" si="67"/>
        <v>5951.36</v>
      </c>
      <c r="F116" s="644"/>
      <c r="G116" s="86"/>
      <c r="H116" s="72"/>
      <c r="I116" s="83">
        <f t="shared" si="68"/>
        <v>5951.36</v>
      </c>
      <c r="J116" s="83"/>
      <c r="K116" s="148">
        <f>I116*Ratios!$B$25</f>
        <v>5286.8667429046682</v>
      </c>
      <c r="L116" s="148">
        <f t="shared" si="69"/>
        <v>664.4932570953315</v>
      </c>
      <c r="M116" s="74" t="s">
        <v>135</v>
      </c>
      <c r="N116" s="74"/>
      <c r="O116" s="149">
        <f t="shared" si="54"/>
        <v>0</v>
      </c>
    </row>
    <row r="117" spans="1:15">
      <c r="A117" s="79">
        <v>56060</v>
      </c>
      <c r="B117" s="74" t="s">
        <v>35</v>
      </c>
      <c r="C117" s="82">
        <f>IFERROR(VLOOKUP(A117,'2025 IS'!$A$47:$AE$227,31,FALSE),0)</f>
        <v>8842.58</v>
      </c>
      <c r="D117" s="83"/>
      <c r="E117" s="83">
        <f>SUM(C117:D117)</f>
        <v>8842.58</v>
      </c>
      <c r="F117" s="644"/>
      <c r="G117" s="83"/>
      <c r="H117" s="100"/>
      <c r="I117" s="83">
        <f t="shared" si="68"/>
        <v>8842.58</v>
      </c>
      <c r="J117" s="83"/>
      <c r="K117" s="148">
        <f>I117*Ratios!$B$25</f>
        <v>7855.2704127248162</v>
      </c>
      <c r="L117" s="148">
        <f t="shared" si="69"/>
        <v>987.30958727518373</v>
      </c>
      <c r="M117" s="74" t="s">
        <v>135</v>
      </c>
      <c r="N117" s="70"/>
      <c r="O117" s="149">
        <f t="shared" si="54"/>
        <v>0</v>
      </c>
    </row>
    <row r="118" spans="1:15">
      <c r="A118" s="79">
        <v>70060</v>
      </c>
      <c r="B118" s="74" t="s">
        <v>35</v>
      </c>
      <c r="C118" s="1094">
        <f>IFERROR(VLOOKUP(A118,'2025 IS'!$A$47:$AE$227,31,FALSE),0)</f>
        <v>17104.190000000002</v>
      </c>
      <c r="D118" s="1095"/>
      <c r="E118" s="1095">
        <f t="shared" si="67"/>
        <v>17104.190000000002</v>
      </c>
      <c r="F118" s="1096"/>
      <c r="G118" s="1097"/>
      <c r="H118" s="1100"/>
      <c r="I118" s="1095">
        <f t="shared" si="68"/>
        <v>17104.190000000002</v>
      </c>
      <c r="J118" s="1095"/>
      <c r="K118" s="1094">
        <f>I118*Ratios!$B$13</f>
        <v>15284.490602964241</v>
      </c>
      <c r="L118" s="1094">
        <f>I118-K118</f>
        <v>1819.6993970357616</v>
      </c>
      <c r="M118" s="74" t="s">
        <v>1238</v>
      </c>
      <c r="N118" s="74"/>
      <c r="O118" s="149">
        <f t="shared" si="54"/>
        <v>0</v>
      </c>
    </row>
    <row r="119" spans="1:15">
      <c r="A119" s="97">
        <v>46500</v>
      </c>
      <c r="B119" s="101" t="s">
        <v>182</v>
      </c>
      <c r="C119" s="88">
        <f>SUM(C115:C118)</f>
        <v>61386.05000000001</v>
      </c>
      <c r="D119" s="88">
        <f>SUM(D115:D118)</f>
        <v>0</v>
      </c>
      <c r="E119" s="88">
        <f>SUM(E115:E118)</f>
        <v>61386.05000000001</v>
      </c>
      <c r="F119" s="645"/>
      <c r="G119" s="88">
        <f>SUM(G115:G118)</f>
        <v>0</v>
      </c>
      <c r="H119" s="98"/>
      <c r="I119" s="88">
        <f>SUM(I115:I118)</f>
        <v>61386.05000000001</v>
      </c>
      <c r="J119" s="88"/>
      <c r="K119" s="88">
        <f>SUM(K115:K118)</f>
        <v>54622.103005500889</v>
      </c>
      <c r="L119" s="88">
        <f>SUM(L115:L118)</f>
        <v>6763.9469944991142</v>
      </c>
      <c r="M119" s="90"/>
      <c r="N119" s="90"/>
      <c r="O119" s="149">
        <f t="shared" si="54"/>
        <v>7.2759576141834259E-12</v>
      </c>
    </row>
    <row r="120" spans="1:15">
      <c r="A120" s="79"/>
      <c r="B120" s="74"/>
      <c r="C120" s="85"/>
      <c r="D120" s="86"/>
      <c r="E120" s="86"/>
      <c r="F120" s="644"/>
      <c r="G120" s="86"/>
      <c r="H120" s="72"/>
      <c r="I120" s="86"/>
      <c r="J120" s="86"/>
      <c r="K120" s="85"/>
      <c r="L120" s="85"/>
      <c r="M120" s="74"/>
      <c r="N120" s="74"/>
      <c r="O120" s="149">
        <f t="shared" si="54"/>
        <v>0</v>
      </c>
    </row>
    <row r="121" spans="1:15">
      <c r="A121" s="79">
        <v>70116</v>
      </c>
      <c r="B121" s="74" t="s">
        <v>183</v>
      </c>
      <c r="C121" s="1094">
        <f>IFERROR(VLOOKUP(A121,'2025 IS'!$A$47:$AE$227,31,FALSE),0)</f>
        <v>136.65</v>
      </c>
      <c r="D121" s="1097"/>
      <c r="E121" s="1095">
        <f t="shared" ref="E121" si="70">SUM(C121:D121)</f>
        <v>136.65</v>
      </c>
      <c r="F121" s="1096"/>
      <c r="G121" s="1097"/>
      <c r="H121" s="1100"/>
      <c r="I121" s="1095">
        <f t="shared" ref="I121" si="71">E121+G121</f>
        <v>136.65</v>
      </c>
      <c r="J121" s="1095"/>
      <c r="K121" s="1094">
        <f>I121*Ratios!$B$13</f>
        <v>122.11192935152518</v>
      </c>
      <c r="L121" s="1094">
        <f>I121-K121</f>
        <v>14.538070648474829</v>
      </c>
      <c r="M121" s="74" t="s">
        <v>1238</v>
      </c>
      <c r="N121" s="70"/>
      <c r="O121" s="149">
        <f t="shared" si="54"/>
        <v>0</v>
      </c>
    </row>
    <row r="122" spans="1:15">
      <c r="A122" s="97">
        <v>46510</v>
      </c>
      <c r="B122" s="101" t="s">
        <v>183</v>
      </c>
      <c r="C122" s="88">
        <f>SUM(C121:C121)</f>
        <v>136.65</v>
      </c>
      <c r="D122" s="88">
        <f>SUM(D121:D121)</f>
        <v>0</v>
      </c>
      <c r="E122" s="88">
        <f>SUM(E121:E121)</f>
        <v>136.65</v>
      </c>
      <c r="F122" s="645"/>
      <c r="G122" s="85">
        <f>SUM(G121:G121)</f>
        <v>0</v>
      </c>
      <c r="H122" s="98"/>
      <c r="I122" s="88">
        <f>SUM(I121:I121)</f>
        <v>136.65</v>
      </c>
      <c r="J122" s="88"/>
      <c r="K122" s="88">
        <f>SUM(K121:K121)</f>
        <v>122.11192935152518</v>
      </c>
      <c r="L122" s="88">
        <f>SUM(L121:L121)</f>
        <v>14.538070648474829</v>
      </c>
      <c r="M122" s="90"/>
      <c r="N122" s="90"/>
      <c r="O122" s="149">
        <f t="shared" si="54"/>
        <v>0</v>
      </c>
    </row>
    <row r="123" spans="1:15">
      <c r="A123" s="79"/>
      <c r="B123" s="74"/>
      <c r="C123" s="85"/>
      <c r="D123" s="86"/>
      <c r="E123" s="86"/>
      <c r="F123" s="644"/>
      <c r="G123" s="86"/>
      <c r="H123" s="72"/>
      <c r="I123" s="86"/>
      <c r="J123" s="86"/>
      <c r="K123" s="85"/>
      <c r="L123" s="85"/>
      <c r="M123" s="74"/>
      <c r="N123" s="70"/>
      <c r="O123" s="149">
        <f t="shared" si="54"/>
        <v>0</v>
      </c>
    </row>
    <row r="124" spans="1:15">
      <c r="A124" s="79">
        <v>70310</v>
      </c>
      <c r="B124" s="74" t="s">
        <v>93</v>
      </c>
      <c r="C124" s="1094">
        <f>IFERROR(VLOOKUP(A124,'2025 IS'!$A$47:$AE$227,31,FALSE),0)</f>
        <v>16199</v>
      </c>
      <c r="D124" s="1095">
        <f>'Restating Adj'!J44</f>
        <v>-9411.39</v>
      </c>
      <c r="E124" s="1095">
        <f t="shared" ref="E124" si="72">SUM(C124:D124)</f>
        <v>6787.6100000000006</v>
      </c>
      <c r="F124" s="1096" t="s">
        <v>540</v>
      </c>
      <c r="G124" s="1097"/>
      <c r="H124" s="1100"/>
      <c r="I124" s="1095">
        <f t="shared" ref="I124" si="73">E124+G124</f>
        <v>6787.6100000000006</v>
      </c>
      <c r="J124" s="1095"/>
      <c r="K124" s="1099">
        <f>I124*Ratios!B13</f>
        <v>6065.4822743191062</v>
      </c>
      <c r="L124" s="1099">
        <f>I124*Ratios!C13</f>
        <v>722.12772568089463</v>
      </c>
      <c r="M124" s="74" t="s">
        <v>1238</v>
      </c>
      <c r="N124" s="70"/>
      <c r="O124" s="149">
        <f t="shared" si="54"/>
        <v>0</v>
      </c>
    </row>
    <row r="125" spans="1:15">
      <c r="A125" s="97">
        <v>46700</v>
      </c>
      <c r="B125" s="101" t="s">
        <v>184</v>
      </c>
      <c r="C125" s="88">
        <f>SUM(C124:C124)</f>
        <v>16199</v>
      </c>
      <c r="D125" s="88">
        <f>SUM(D124:D124)</f>
        <v>-9411.39</v>
      </c>
      <c r="E125" s="88">
        <f>SUM(E124:E124)</f>
        <v>6787.6100000000006</v>
      </c>
      <c r="F125" s="645"/>
      <c r="G125" s="88">
        <f>SUM(G124:G124)</f>
        <v>0</v>
      </c>
      <c r="H125" s="98"/>
      <c r="I125" s="88">
        <f>SUM(I124:I124)</f>
        <v>6787.6100000000006</v>
      </c>
      <c r="J125" s="88"/>
      <c r="K125" s="88">
        <f>SUM(K124:K124)</f>
        <v>6065.4822743191062</v>
      </c>
      <c r="L125" s="88">
        <f>SUM(L124:L124)</f>
        <v>722.12772568089463</v>
      </c>
      <c r="M125" s="90"/>
      <c r="N125" s="90"/>
      <c r="O125" s="149">
        <f t="shared" si="54"/>
        <v>0</v>
      </c>
    </row>
    <row r="126" spans="1:15">
      <c r="A126" s="79"/>
      <c r="B126" s="74"/>
      <c r="C126" s="85"/>
      <c r="D126" s="86"/>
      <c r="E126" s="86"/>
      <c r="F126" s="644"/>
      <c r="G126" s="86"/>
      <c r="H126" s="72"/>
      <c r="I126" s="86"/>
      <c r="J126" s="86"/>
      <c r="K126" s="85"/>
      <c r="L126" s="85"/>
      <c r="M126" s="74"/>
      <c r="N126" s="70"/>
      <c r="O126" s="149">
        <f t="shared" si="54"/>
        <v>0</v>
      </c>
    </row>
    <row r="127" spans="1:15">
      <c r="A127" s="79">
        <v>70086</v>
      </c>
      <c r="B127" s="74" t="s">
        <v>157</v>
      </c>
      <c r="C127" s="82">
        <f>IFERROR(VLOOKUP(A127,'2025 IS'!$A$47:$AE$227,31,FALSE),0)</f>
        <v>149</v>
      </c>
      <c r="D127" s="86"/>
      <c r="E127" s="83">
        <f t="shared" ref="E127:E141" si="74">SUM(C127:D127)</f>
        <v>149</v>
      </c>
      <c r="F127" s="644"/>
      <c r="G127" s="86"/>
      <c r="H127" s="72"/>
      <c r="I127" s="83">
        <f t="shared" ref="I127:I141" si="75">E127+G127</f>
        <v>149</v>
      </c>
      <c r="J127" s="83"/>
      <c r="K127" s="148">
        <f>I127*Ratios!$B$25</f>
        <v>132.36355130470943</v>
      </c>
      <c r="L127" s="148">
        <f t="shared" ref="L127:L128" si="76">I127-K127</f>
        <v>16.636448695290568</v>
      </c>
      <c r="M127" s="74" t="s">
        <v>135</v>
      </c>
      <c r="N127" s="74"/>
      <c r="O127" s="149">
        <f t="shared" si="54"/>
        <v>0</v>
      </c>
    </row>
    <row r="128" spans="1:15">
      <c r="A128" s="95">
        <v>70095</v>
      </c>
      <c r="B128" s="74" t="s">
        <v>185</v>
      </c>
      <c r="C128" s="82">
        <f>IFERROR(VLOOKUP(A128,'2025 IS'!$A$47:$AE$227,31,FALSE),0)</f>
        <v>964.3</v>
      </c>
      <c r="D128" s="83"/>
      <c r="E128" s="83">
        <f t="shared" si="74"/>
        <v>964.3</v>
      </c>
      <c r="F128" s="644"/>
      <c r="G128" s="86"/>
      <c r="H128" s="72"/>
      <c r="I128" s="83">
        <f t="shared" si="75"/>
        <v>964.3</v>
      </c>
      <c r="J128" s="83"/>
      <c r="K128" s="148">
        <f>I128*Ratios!$B$25</f>
        <v>856.63203035658591</v>
      </c>
      <c r="L128" s="148">
        <f t="shared" si="76"/>
        <v>107.66796964341404</v>
      </c>
      <c r="M128" s="74" t="s">
        <v>135</v>
      </c>
      <c r="N128" s="74"/>
      <c r="O128" s="149">
        <f t="shared" si="54"/>
        <v>0</v>
      </c>
    </row>
    <row r="129" spans="1:15">
      <c r="A129" s="95">
        <v>70110</v>
      </c>
      <c r="B129" s="74" t="s">
        <v>72</v>
      </c>
      <c r="C129" s="82">
        <f>IFERROR(VLOOKUP(A129,'2025 IS'!$A$47:$AE$227,31,FALSE),0)</f>
        <v>920</v>
      </c>
      <c r="D129" s="83">
        <f>'Restating Adj'!E45</f>
        <v>-920</v>
      </c>
      <c r="E129" s="83">
        <f t="shared" si="74"/>
        <v>0</v>
      </c>
      <c r="F129" s="644" t="s">
        <v>535</v>
      </c>
      <c r="G129" s="86"/>
      <c r="H129" s="72"/>
      <c r="I129" s="83">
        <f t="shared" si="75"/>
        <v>0</v>
      </c>
      <c r="J129" s="83"/>
      <c r="K129" s="82"/>
      <c r="L129" s="82"/>
      <c r="M129" s="74" t="s">
        <v>129</v>
      </c>
      <c r="N129" s="74"/>
      <c r="O129" s="149">
        <f t="shared" si="54"/>
        <v>0</v>
      </c>
    </row>
    <row r="130" spans="1:15">
      <c r="A130" s="79">
        <v>70148</v>
      </c>
      <c r="B130" s="74" t="s">
        <v>188</v>
      </c>
      <c r="C130" s="82">
        <f>IFERROR(VLOOKUP(A130,'2025 IS'!$A$47:$AE$227,31,FALSE),0)</f>
        <v>5371.16</v>
      </c>
      <c r="D130" s="83">
        <f>'Restating Adj'!I45</f>
        <v>-1139.4142321549552</v>
      </c>
      <c r="E130" s="83">
        <f t="shared" si="74"/>
        <v>4231.7457678450446</v>
      </c>
      <c r="F130" s="644" t="s">
        <v>539</v>
      </c>
      <c r="G130" s="86"/>
      <c r="H130" s="72"/>
      <c r="I130" s="83">
        <f t="shared" si="75"/>
        <v>4231.7457678450446</v>
      </c>
      <c r="J130" s="83"/>
      <c r="K130" s="148">
        <f>I130*Ratios!$B$13</f>
        <v>3781.5341400417833</v>
      </c>
      <c r="L130" s="148">
        <f>I130-K130</f>
        <v>450.21162780326131</v>
      </c>
      <c r="M130" s="74" t="s">
        <v>1238</v>
      </c>
      <c r="N130" s="74"/>
      <c r="O130" s="149">
        <f t="shared" si="54"/>
        <v>0</v>
      </c>
    </row>
    <row r="131" spans="1:15">
      <c r="A131" s="79">
        <v>70150</v>
      </c>
      <c r="B131" s="74" t="s">
        <v>220</v>
      </c>
      <c r="C131" s="82">
        <f>IFERROR(VLOOKUP(A131,'2025 IS'!$A$47:$AE$227,31,FALSE),0)</f>
        <v>1537.6499999999999</v>
      </c>
      <c r="D131" s="83"/>
      <c r="E131" s="83">
        <f t="shared" ref="E131" si="77">SUM(C131:D131)</f>
        <v>1537.6499999999999</v>
      </c>
      <c r="F131" s="644"/>
      <c r="G131" s="86"/>
      <c r="H131" s="72"/>
      <c r="I131" s="83">
        <f t="shared" si="75"/>
        <v>1537.6499999999999</v>
      </c>
      <c r="J131" s="83"/>
      <c r="K131" s="148">
        <f>I131*Ratios!$B$25</f>
        <v>1365.9651990851439</v>
      </c>
      <c r="L131" s="148">
        <f t="shared" ref="L131" si="78">I131-K131</f>
        <v>171.68480091485594</v>
      </c>
      <c r="M131" s="74" t="s">
        <v>135</v>
      </c>
      <c r="N131" s="74"/>
      <c r="O131" s="149">
        <f t="shared" ref="O131:O173" si="79">I131-K131-L131</f>
        <v>0</v>
      </c>
    </row>
    <row r="132" spans="1:15">
      <c r="A132" s="79">
        <v>70167</v>
      </c>
      <c r="B132" s="74" t="s">
        <v>189</v>
      </c>
      <c r="C132" s="82">
        <f>IFERROR(VLOOKUP(A132,'2025 IS'!$A$47:$AE$227,31,FALSE),0)</f>
        <v>2505.16</v>
      </c>
      <c r="D132" s="83"/>
      <c r="E132" s="83">
        <f t="shared" si="74"/>
        <v>2505.16</v>
      </c>
      <c r="F132" s="644"/>
      <c r="G132" s="86"/>
      <c r="H132" s="72"/>
      <c r="I132" s="83">
        <f t="shared" si="75"/>
        <v>2505.16</v>
      </c>
      <c r="J132" s="83"/>
      <c r="K132" s="148">
        <f>I132*Ratios!$B$13</f>
        <v>2238.6382797970491</v>
      </c>
      <c r="L132" s="148">
        <f>I132-K132</f>
        <v>266.52172020295075</v>
      </c>
      <c r="M132" s="74" t="s">
        <v>1238</v>
      </c>
      <c r="N132" s="74"/>
      <c r="O132" s="149">
        <f t="shared" si="79"/>
        <v>0</v>
      </c>
    </row>
    <row r="133" spans="1:15">
      <c r="A133" s="95">
        <v>70201</v>
      </c>
      <c r="B133" s="74" t="s">
        <v>81</v>
      </c>
      <c r="C133" s="82">
        <f>IFERROR(VLOOKUP(A133,'2025 IS'!$A$47:$AE$227,31,FALSE),0)</f>
        <v>1274.94</v>
      </c>
      <c r="D133" s="86"/>
      <c r="E133" s="83">
        <f t="shared" si="74"/>
        <v>1274.94</v>
      </c>
      <c r="F133" s="644"/>
      <c r="G133" s="86"/>
      <c r="H133" s="72"/>
      <c r="I133" s="83">
        <f t="shared" si="75"/>
        <v>1274.94</v>
      </c>
      <c r="J133" s="83"/>
      <c r="K133" s="148">
        <f>I133*Ratios!$B$25</f>
        <v>1132.5878261773576</v>
      </c>
      <c r="L133" s="148">
        <f t="shared" ref="L133:L136" si="80">I133-K133</f>
        <v>142.3521738226425</v>
      </c>
      <c r="M133" s="74" t="s">
        <v>135</v>
      </c>
      <c r="N133" s="74"/>
      <c r="O133" s="149">
        <f t="shared" si="79"/>
        <v>0</v>
      </c>
    </row>
    <row r="134" spans="1:15">
      <c r="A134" s="95">
        <v>70202</v>
      </c>
      <c r="B134" s="74" t="s">
        <v>191</v>
      </c>
      <c r="C134" s="82">
        <f>IFERROR(VLOOKUP(A134,'2025 IS'!$A$47:$AE$227,31,FALSE),0)</f>
        <v>410.63</v>
      </c>
      <c r="D134" s="86"/>
      <c r="E134" s="83">
        <f t="shared" si="74"/>
        <v>410.63</v>
      </c>
      <c r="F134" s="644"/>
      <c r="G134" s="86"/>
      <c r="H134" s="72"/>
      <c r="I134" s="83">
        <f t="shared" si="75"/>
        <v>410.63</v>
      </c>
      <c r="J134" s="83"/>
      <c r="K134" s="148">
        <f>I134*Ratios!$B$25</f>
        <v>364.78151055203244</v>
      </c>
      <c r="L134" s="148">
        <f t="shared" si="80"/>
        <v>45.848489447967552</v>
      </c>
      <c r="M134" s="74" t="s">
        <v>135</v>
      </c>
      <c r="N134" s="74"/>
      <c r="O134" s="149">
        <f t="shared" si="79"/>
        <v>0</v>
      </c>
    </row>
    <row r="135" spans="1:15">
      <c r="A135" s="95">
        <v>70203</v>
      </c>
      <c r="B135" s="74" t="s">
        <v>83</v>
      </c>
      <c r="C135" s="82">
        <f>IFERROR(VLOOKUP(A135,'2025 IS'!$A$47:$AE$227,31,FALSE),0)</f>
        <v>950.48</v>
      </c>
      <c r="D135" s="86"/>
      <c r="E135" s="83">
        <f t="shared" si="74"/>
        <v>950.48</v>
      </c>
      <c r="F135" s="644"/>
      <c r="G135" s="86"/>
      <c r="H135" s="72"/>
      <c r="I135" s="83">
        <f t="shared" si="75"/>
        <v>950.48</v>
      </c>
      <c r="J135" s="83"/>
      <c r="K135" s="148">
        <f>I135*Ratios!$B$25</f>
        <v>844.35508888657876</v>
      </c>
      <c r="L135" s="148">
        <f t="shared" si="80"/>
        <v>106.12491111342126</v>
      </c>
      <c r="M135" s="74" t="s">
        <v>135</v>
      </c>
      <c r="N135" s="74"/>
      <c r="O135" s="149">
        <f t="shared" si="79"/>
        <v>0</v>
      </c>
    </row>
    <row r="136" spans="1:15">
      <c r="A136" s="95">
        <v>70205</v>
      </c>
      <c r="B136" s="74" t="s">
        <v>192</v>
      </c>
      <c r="C136" s="82">
        <f>IFERROR(VLOOKUP(A136,'2025 IS'!$A$47:$AE$227,31,FALSE),0)</f>
        <v>1531.3299999999997</v>
      </c>
      <c r="D136" s="86"/>
      <c r="E136" s="83">
        <f t="shared" si="74"/>
        <v>1531.3299999999997</v>
      </c>
      <c r="F136" s="644"/>
      <c r="G136" s="86"/>
      <c r="H136" s="72"/>
      <c r="I136" s="83">
        <f t="shared" si="75"/>
        <v>1531.3299999999997</v>
      </c>
      <c r="J136" s="83"/>
      <c r="K136" s="148">
        <f>I136*Ratios!$B$25</f>
        <v>1360.3508524794674</v>
      </c>
      <c r="L136" s="148">
        <f t="shared" si="80"/>
        <v>170.97914752053225</v>
      </c>
      <c r="M136" s="74" t="s">
        <v>135</v>
      </c>
      <c r="N136" s="74"/>
      <c r="O136" s="149">
        <f t="shared" si="79"/>
        <v>0</v>
      </c>
    </row>
    <row r="137" spans="1:15">
      <c r="A137" s="95">
        <v>70214</v>
      </c>
      <c r="B137" s="74" t="s">
        <v>86</v>
      </c>
      <c r="C137" s="82">
        <f>IFERROR(VLOOKUP(A137,'2025 IS'!$A$47:$AE$227,31,FALSE),0)</f>
        <v>3432.96</v>
      </c>
      <c r="D137" s="86"/>
      <c r="E137" s="83">
        <f t="shared" si="74"/>
        <v>3432.96</v>
      </c>
      <c r="F137" s="644"/>
      <c r="G137" s="86"/>
      <c r="H137" s="72"/>
      <c r="I137" s="83">
        <f t="shared" si="75"/>
        <v>3432.96</v>
      </c>
      <c r="J137" s="83"/>
      <c r="K137" s="148">
        <f>I137*Ratios!$B$13</f>
        <v>3067.7304719108074</v>
      </c>
      <c r="L137" s="148">
        <f>I137-K137</f>
        <v>365.22952808919263</v>
      </c>
      <c r="M137" s="74" t="s">
        <v>1238</v>
      </c>
      <c r="N137" s="74"/>
      <c r="O137" s="149">
        <f t="shared" si="79"/>
        <v>0</v>
      </c>
    </row>
    <row r="138" spans="1:15">
      <c r="A138" s="95">
        <v>70230</v>
      </c>
      <c r="B138" s="74" t="s">
        <v>88</v>
      </c>
      <c r="C138" s="82">
        <f>IFERROR(VLOOKUP(A138,'2025 IS'!$A$47:$AE$227,31,FALSE),0)</f>
        <v>2031.25</v>
      </c>
      <c r="D138" s="83"/>
      <c r="E138" s="83">
        <f t="shared" si="74"/>
        <v>2031.25</v>
      </c>
      <c r="F138" s="644"/>
      <c r="G138" s="86"/>
      <c r="H138" s="72"/>
      <c r="I138" s="83">
        <f t="shared" si="75"/>
        <v>2031.25</v>
      </c>
      <c r="J138" s="83"/>
      <c r="K138" s="148">
        <f>I138*Ratios!$B$25</f>
        <v>1804.4527757563158</v>
      </c>
      <c r="L138" s="148">
        <f t="shared" ref="L138:L140" si="81">I138-K138</f>
        <v>226.79722424368424</v>
      </c>
      <c r="M138" s="74" t="s">
        <v>135</v>
      </c>
      <c r="N138" s="74"/>
      <c r="O138" s="149">
        <f t="shared" si="79"/>
        <v>0</v>
      </c>
    </row>
    <row r="139" spans="1:15">
      <c r="A139" s="95">
        <v>70255</v>
      </c>
      <c r="B139" s="74" t="s">
        <v>194</v>
      </c>
      <c r="C139" s="82">
        <f>IFERROR(VLOOKUP(A139,'2025 IS'!$A$47:$AE$227,31,FALSE),0)</f>
        <v>185.27</v>
      </c>
      <c r="D139" s="83"/>
      <c r="E139" s="83">
        <f t="shared" si="74"/>
        <v>185.27</v>
      </c>
      <c r="F139" s="644"/>
      <c r="G139" s="86"/>
      <c r="H139" s="72"/>
      <c r="I139" s="83">
        <f t="shared" si="75"/>
        <v>185.27</v>
      </c>
      <c r="J139" s="83"/>
      <c r="K139" s="148">
        <f>I139*Ratios!$B$13</f>
        <v>165.55929126203489</v>
      </c>
      <c r="L139" s="148">
        <f t="shared" si="81"/>
        <v>19.71070873796512</v>
      </c>
      <c r="M139" s="74" t="s">
        <v>1238</v>
      </c>
      <c r="N139" s="74"/>
      <c r="O139" s="149">
        <f t="shared" si="79"/>
        <v>0</v>
      </c>
    </row>
    <row r="140" spans="1:15">
      <c r="A140" s="95">
        <v>70335</v>
      </c>
      <c r="B140" s="74" t="s">
        <v>196</v>
      </c>
      <c r="C140" s="82">
        <f>IFERROR(VLOOKUP(A140,'2025 IS'!$A$47:$AE$227,31,FALSE),0)</f>
        <v>-0.09</v>
      </c>
      <c r="D140" s="86"/>
      <c r="E140" s="83">
        <f t="shared" si="74"/>
        <v>-0.09</v>
      </c>
      <c r="F140" s="644"/>
      <c r="G140" s="86"/>
      <c r="H140" s="72"/>
      <c r="I140" s="83">
        <f t="shared" si="75"/>
        <v>-0.09</v>
      </c>
      <c r="J140" s="83"/>
      <c r="K140" s="148">
        <f>I140*Ratios!$B$13</f>
        <v>-8.0424980912091215E-2</v>
      </c>
      <c r="L140" s="148">
        <f t="shared" si="81"/>
        <v>-9.5750190879087815E-3</v>
      </c>
      <c r="M140" s="74" t="s">
        <v>1238</v>
      </c>
      <c r="N140" s="74"/>
      <c r="O140" s="149">
        <f t="shared" si="79"/>
        <v>0</v>
      </c>
    </row>
    <row r="141" spans="1:15">
      <c r="A141" s="95">
        <v>70336</v>
      </c>
      <c r="B141" s="74" t="s">
        <v>197</v>
      </c>
      <c r="C141" s="1094">
        <f>IFERROR(VLOOKUP(A141,'2025 IS'!$A$47:$AE$227,31,FALSE),0)</f>
        <v>87.32</v>
      </c>
      <c r="D141" s="1097"/>
      <c r="E141" s="1095">
        <f t="shared" si="74"/>
        <v>87.32</v>
      </c>
      <c r="F141" s="1096"/>
      <c r="G141" s="1097"/>
      <c r="H141" s="1100"/>
      <c r="I141" s="1095">
        <f t="shared" si="75"/>
        <v>87.32</v>
      </c>
      <c r="J141" s="1095"/>
      <c r="K141" s="1094">
        <f>I141*Ratios!$B$25</f>
        <v>77.570371140451186</v>
      </c>
      <c r="L141" s="1094">
        <f t="shared" ref="L141" si="82">I141-K141</f>
        <v>9.7496288595488068</v>
      </c>
      <c r="M141" s="74" t="s">
        <v>135</v>
      </c>
      <c r="N141" s="74"/>
      <c r="O141" s="149">
        <f t="shared" si="79"/>
        <v>0</v>
      </c>
    </row>
    <row r="142" spans="1:15">
      <c r="A142" s="97">
        <v>46900</v>
      </c>
      <c r="B142" s="101" t="s">
        <v>199</v>
      </c>
      <c r="C142" s="88">
        <f>SUM(C127:C141)</f>
        <v>21351.360000000001</v>
      </c>
      <c r="D142" s="88">
        <f>SUM(D127:D141)</f>
        <v>-2059.4142321549552</v>
      </c>
      <c r="E142" s="88">
        <f>SUM(E127:E141)</f>
        <v>19291.945767845045</v>
      </c>
      <c r="F142" s="645"/>
      <c r="G142" s="88">
        <f>SUM(G127:G141)</f>
        <v>0</v>
      </c>
      <c r="H142" s="98"/>
      <c r="I142" s="88">
        <f>SUM(I127:I141)</f>
        <v>19291.945767845045</v>
      </c>
      <c r="J142" s="88"/>
      <c r="K142" s="88">
        <f>SUM(K127:K141)</f>
        <v>17192.440963769404</v>
      </c>
      <c r="L142" s="88">
        <f>SUM(L127:L141)</f>
        <v>2099.5048040756387</v>
      </c>
      <c r="M142" s="90"/>
      <c r="N142" s="69"/>
      <c r="O142" s="149">
        <f t="shared" si="79"/>
        <v>0</v>
      </c>
    </row>
    <row r="143" spans="1:15">
      <c r="A143" s="79"/>
      <c r="B143" s="74"/>
      <c r="C143" s="85"/>
      <c r="D143" s="86"/>
      <c r="E143" s="86"/>
      <c r="F143" s="644"/>
      <c r="G143" s="86"/>
      <c r="H143" s="72"/>
      <c r="I143" s="86"/>
      <c r="J143" s="86"/>
      <c r="K143" s="85"/>
      <c r="L143" s="85"/>
      <c r="M143" s="74"/>
      <c r="N143" s="70"/>
      <c r="O143" s="149">
        <f t="shared" si="79"/>
        <v>0</v>
      </c>
    </row>
    <row r="144" spans="1:15">
      <c r="A144" s="79">
        <v>51260</v>
      </c>
      <c r="B144" s="74" t="s">
        <v>200</v>
      </c>
      <c r="C144" s="148">
        <f>IFERROR(VLOOKUP(A144,'2025 IS'!$A$47:$AE$227,31,FALSE),0)</f>
        <v>97097.290000000008</v>
      </c>
      <c r="D144" s="83">
        <f>'Restating Adj'!M47</f>
        <v>-26933.530504445953</v>
      </c>
      <c r="E144" s="83">
        <f t="shared" ref="E144:E150" si="83">SUM(C144:D144)</f>
        <v>70163.759495554055</v>
      </c>
      <c r="F144" s="644"/>
      <c r="G144" s="86"/>
      <c r="H144" s="72"/>
      <c r="I144" s="83">
        <f t="shared" ref="I144:I150" si="84">E144+G144</f>
        <v>70163.759495554055</v>
      </c>
      <c r="J144" s="83"/>
      <c r="K144" s="148">
        <f>I144*Ratios!$B$25</f>
        <v>62329.6938236313</v>
      </c>
      <c r="L144" s="148">
        <f t="shared" ref="L144:L149" si="85">I144-K144</f>
        <v>7834.0656719227554</v>
      </c>
      <c r="M144" s="74" t="s">
        <v>135</v>
      </c>
      <c r="N144" s="70"/>
      <c r="O144" s="149">
        <f t="shared" si="79"/>
        <v>0</v>
      </c>
    </row>
    <row r="145" spans="1:15">
      <c r="A145" s="79">
        <v>54260</v>
      </c>
      <c r="B145" s="74" t="s">
        <v>202</v>
      </c>
      <c r="C145" s="148">
        <f>IFERROR(VLOOKUP(A145,'2025 IS'!$A$47:$AE$227,31,FALSE),0)</f>
        <v>14512.49</v>
      </c>
      <c r="D145" s="83">
        <f>'Restating Adj'!M48</f>
        <v>5706.2733333330052</v>
      </c>
      <c r="E145" s="83">
        <f t="shared" si="83"/>
        <v>20218.763333333005</v>
      </c>
      <c r="F145" s="644"/>
      <c r="G145" s="86"/>
      <c r="H145" s="72"/>
      <c r="I145" s="83">
        <f t="shared" si="84"/>
        <v>20218.763333333005</v>
      </c>
      <c r="J145" s="83"/>
      <c r="K145" s="148">
        <f>I145*Ratios!$B$13</f>
        <v>18067.707279437742</v>
      </c>
      <c r="L145" s="148">
        <f>I145-K145</f>
        <v>2151.0560538952632</v>
      </c>
      <c r="M145" s="74" t="s">
        <v>1238</v>
      </c>
      <c r="N145" s="70"/>
      <c r="O145" s="149">
        <f t="shared" si="79"/>
        <v>0</v>
      </c>
    </row>
    <row r="146" spans="1:15">
      <c r="A146" s="79"/>
      <c r="B146" s="74" t="s">
        <v>203</v>
      </c>
      <c r="C146" s="148">
        <f>IFERROR(VLOOKUP(A146,'2025 IS'!$A$47:$AE$227,31,FALSE),0)</f>
        <v>0</v>
      </c>
      <c r="D146" s="83">
        <f>'Restating Adj'!M49</f>
        <v>0</v>
      </c>
      <c r="E146" s="83">
        <f t="shared" si="83"/>
        <v>0</v>
      </c>
      <c r="F146" s="644"/>
      <c r="G146" s="86"/>
      <c r="H146" s="72"/>
      <c r="I146" s="83">
        <f t="shared" si="84"/>
        <v>0</v>
      </c>
      <c r="J146" s="83"/>
      <c r="K146" s="148">
        <f>I146*Ratios!$B$25</f>
        <v>0</v>
      </c>
      <c r="L146" s="148">
        <f t="shared" si="85"/>
        <v>0</v>
      </c>
      <c r="M146" s="74" t="s">
        <v>135</v>
      </c>
      <c r="N146" s="70"/>
      <c r="O146" s="149">
        <f t="shared" si="79"/>
        <v>0</v>
      </c>
    </row>
    <row r="147" spans="1:15">
      <c r="A147" s="79">
        <v>57260</v>
      </c>
      <c r="B147" s="74" t="s">
        <v>204</v>
      </c>
      <c r="C147" s="148">
        <f>IFERROR(VLOOKUP(A147,'2025 IS'!$A$47:$AE$227,31,FALSE),0)</f>
        <v>0</v>
      </c>
      <c r="D147" s="83">
        <f>'Restating Adj'!M50</f>
        <v>8473.7921633339938</v>
      </c>
      <c r="E147" s="83">
        <f t="shared" si="83"/>
        <v>8473.7921633339938</v>
      </c>
      <c r="F147" s="644"/>
      <c r="G147" s="86"/>
      <c r="H147" s="72"/>
      <c r="I147" s="83">
        <f t="shared" si="84"/>
        <v>8473.7921633339938</v>
      </c>
      <c r="J147" s="83"/>
      <c r="K147" s="148">
        <f>I147*Ratios!$B$25</f>
        <v>7527.6592198449925</v>
      </c>
      <c r="L147" s="148">
        <f t="shared" si="85"/>
        <v>946.13294348900126</v>
      </c>
      <c r="M147" s="74" t="s">
        <v>135</v>
      </c>
      <c r="N147" s="70"/>
      <c r="O147" s="149">
        <f t="shared" si="79"/>
        <v>0</v>
      </c>
    </row>
    <row r="148" spans="1:15">
      <c r="A148" s="79">
        <v>70260</v>
      </c>
      <c r="B148" s="74" t="s">
        <v>205</v>
      </c>
      <c r="C148" s="148">
        <f>IFERROR(VLOOKUP(A148,'2025 IS'!$A$47:$AE$227,31,FALSE),0)</f>
        <v>1780.8400000000001</v>
      </c>
      <c r="D148" s="83">
        <f>'Restating Adj'!M51</f>
        <v>-71.796000000000276</v>
      </c>
      <c r="E148" s="83">
        <f t="shared" si="83"/>
        <v>1709.0439999999999</v>
      </c>
      <c r="F148" s="644"/>
      <c r="G148" s="86"/>
      <c r="H148" s="72"/>
      <c r="I148" s="83">
        <f t="shared" si="84"/>
        <v>1709.0439999999999</v>
      </c>
      <c r="J148" s="83"/>
      <c r="K148" s="148">
        <f>I148*Ratios!$B$13</f>
        <v>1527.2203453102668</v>
      </c>
      <c r="L148" s="148">
        <f>I148-K148</f>
        <v>181.82365468973308</v>
      </c>
      <c r="M148" s="74" t="s">
        <v>1238</v>
      </c>
      <c r="N148" s="70"/>
      <c r="O148" s="149">
        <f t="shared" si="79"/>
        <v>0</v>
      </c>
    </row>
    <row r="149" spans="1:15">
      <c r="A149" s="79"/>
      <c r="B149" s="74" t="s">
        <v>206</v>
      </c>
      <c r="C149" s="82">
        <f>IFERROR(VLOOKUP(A149,'2025 IS'!$A$47:$AE$227,31,FALSE),0)</f>
        <v>0</v>
      </c>
      <c r="D149" s="83"/>
      <c r="E149" s="83">
        <f t="shared" si="83"/>
        <v>0</v>
      </c>
      <c r="F149" s="644"/>
      <c r="G149" s="86"/>
      <c r="H149" s="72"/>
      <c r="I149" s="83">
        <f t="shared" si="84"/>
        <v>0</v>
      </c>
      <c r="J149" s="83"/>
      <c r="K149" s="148">
        <f>I149*Ratios!$B$25</f>
        <v>0</v>
      </c>
      <c r="L149" s="148">
        <f t="shared" si="85"/>
        <v>0</v>
      </c>
      <c r="M149" s="74" t="s">
        <v>135</v>
      </c>
      <c r="N149" s="70"/>
      <c r="O149" s="149">
        <f t="shared" si="79"/>
        <v>0</v>
      </c>
    </row>
    <row r="150" spans="1:15">
      <c r="A150" s="79">
        <v>91010</v>
      </c>
      <c r="B150" s="74" t="s">
        <v>207</v>
      </c>
      <c r="C150" s="1094">
        <f>IFERROR(VLOOKUP(A150,'2025 IS'!$A$47:$AE$227,31,FALSE),0)</f>
        <v>10736.51</v>
      </c>
      <c r="D150" s="1095"/>
      <c r="E150" s="1095">
        <f t="shared" si="83"/>
        <v>10736.51</v>
      </c>
      <c r="F150" s="1096"/>
      <c r="G150" s="1095"/>
      <c r="H150" s="1098"/>
      <c r="I150" s="1095">
        <f t="shared" si="84"/>
        <v>10736.51</v>
      </c>
      <c r="J150" s="1095"/>
      <c r="K150" s="1094">
        <f>I150*Ratios!$B$25</f>
        <v>9537.7355182451411</v>
      </c>
      <c r="L150" s="1094">
        <f t="shared" ref="L150" si="86">I150-K150</f>
        <v>1198.7744817548592</v>
      </c>
      <c r="M150" s="74" t="s">
        <v>135</v>
      </c>
      <c r="N150" s="74"/>
      <c r="O150" s="149">
        <f t="shared" si="79"/>
        <v>0</v>
      </c>
    </row>
    <row r="151" spans="1:15">
      <c r="A151" s="97"/>
      <c r="B151" s="101" t="s">
        <v>1</v>
      </c>
      <c r="C151" s="88">
        <f>SUM(C144:C150)</f>
        <v>124127.13</v>
      </c>
      <c r="D151" s="88">
        <f>SUM(D144:D150)</f>
        <v>-12825.261007778956</v>
      </c>
      <c r="E151" s="88">
        <f>SUM(E144:E150)</f>
        <v>111301.86899222103</v>
      </c>
      <c r="F151" s="645"/>
      <c r="G151" s="88">
        <f>SUM(G144:G150)</f>
        <v>0</v>
      </c>
      <c r="H151" s="98"/>
      <c r="I151" s="88">
        <f>SUM(I144:I150)</f>
        <v>111301.86899222103</v>
      </c>
      <c r="J151" s="88"/>
      <c r="K151" s="88">
        <f>SUM(K144:K150)</f>
        <v>98990.016186469453</v>
      </c>
      <c r="L151" s="88">
        <f>SUM(L144:L150)</f>
        <v>12311.852805751612</v>
      </c>
      <c r="M151" s="90"/>
      <c r="N151" s="90"/>
      <c r="O151" s="149">
        <f t="shared" si="79"/>
        <v>-3.2741809263825417E-11</v>
      </c>
    </row>
    <row r="152" spans="1:15">
      <c r="A152" s="79"/>
      <c r="B152" s="74"/>
      <c r="C152" s="85"/>
      <c r="D152" s="86"/>
      <c r="E152" s="86"/>
      <c r="F152" s="644"/>
      <c r="G152" s="86"/>
      <c r="H152" s="72"/>
      <c r="I152" s="86"/>
      <c r="J152" s="86"/>
      <c r="K152" s="85"/>
      <c r="L152" s="85"/>
      <c r="M152" s="74"/>
      <c r="N152" s="70"/>
      <c r="O152" s="149">
        <f t="shared" si="79"/>
        <v>0</v>
      </c>
    </row>
    <row r="153" spans="1:15">
      <c r="A153" s="79">
        <v>57280</v>
      </c>
      <c r="B153" s="74" t="s">
        <v>58</v>
      </c>
      <c r="C153" s="1094">
        <f>IFERROR(VLOOKUP(A153,'2025 IS'!$A$47:$AE$227,31,FALSE),0)</f>
        <v>1752.6399999999999</v>
      </c>
      <c r="D153" s="1097"/>
      <c r="E153" s="1095">
        <f t="shared" ref="E153" si="87">SUM(C153:D153)</f>
        <v>1752.6399999999999</v>
      </c>
      <c r="F153" s="1096"/>
      <c r="G153" s="1097"/>
      <c r="H153" s="1100"/>
      <c r="I153" s="1095">
        <f t="shared" ref="I153" si="88">E153+G153</f>
        <v>1752.6399999999999</v>
      </c>
      <c r="J153" s="1095"/>
      <c r="K153" s="1094">
        <f>I153*Ratios!$B$25</f>
        <v>1556.9507017361473</v>
      </c>
      <c r="L153" s="1094">
        <f t="shared" ref="L153" si="89">I153-K153</f>
        <v>195.68929826385261</v>
      </c>
      <c r="M153" s="74" t="s">
        <v>135</v>
      </c>
      <c r="N153" s="70"/>
      <c r="O153" s="149">
        <f t="shared" si="79"/>
        <v>0</v>
      </c>
    </row>
    <row r="154" spans="1:15">
      <c r="A154" s="97">
        <v>52000</v>
      </c>
      <c r="B154" s="101" t="s">
        <v>208</v>
      </c>
      <c r="C154" s="88">
        <f>SUM(C153:C153)</f>
        <v>1752.6399999999999</v>
      </c>
      <c r="D154" s="88">
        <f>SUM(D153:D153)</f>
        <v>0</v>
      </c>
      <c r="E154" s="88">
        <f>SUM(E153:E153)</f>
        <v>1752.6399999999999</v>
      </c>
      <c r="F154" s="645"/>
      <c r="G154" s="88">
        <f>SUM(G153:G153)</f>
        <v>0</v>
      </c>
      <c r="H154" s="98"/>
      <c r="I154" s="88">
        <f>SUM(I153:I153)</f>
        <v>1752.6399999999999</v>
      </c>
      <c r="J154" s="88"/>
      <c r="K154" s="88">
        <f>SUM(K153:K153)</f>
        <v>1556.9507017361473</v>
      </c>
      <c r="L154" s="88">
        <f>SUM(L153:L153)</f>
        <v>195.68929826385261</v>
      </c>
      <c r="M154" s="90"/>
      <c r="N154" s="69"/>
      <c r="O154" s="149">
        <f t="shared" si="79"/>
        <v>0</v>
      </c>
    </row>
    <row r="155" spans="1:15">
      <c r="A155" s="79"/>
      <c r="B155" s="74"/>
      <c r="C155" s="85"/>
      <c r="D155" s="86"/>
      <c r="E155" s="86"/>
      <c r="F155" s="644"/>
      <c r="G155" s="86"/>
      <c r="H155" s="72"/>
      <c r="I155" s="86"/>
      <c r="J155" s="86"/>
      <c r="K155" s="85"/>
      <c r="L155" s="85"/>
      <c r="M155" s="74"/>
      <c r="N155" s="70"/>
      <c r="O155" s="149">
        <f t="shared" si="79"/>
        <v>0</v>
      </c>
    </row>
    <row r="156" spans="1:15">
      <c r="A156" s="79">
        <v>43001</v>
      </c>
      <c r="B156" s="74" t="s">
        <v>209</v>
      </c>
      <c r="C156" s="1094">
        <f>IFERROR(VLOOKUP(A156,'2025 IS'!$A$47:$AE$227,31,FALSE),0)</f>
        <v>13798.150000000001</v>
      </c>
      <c r="D156" s="1095">
        <f>'Restating Adj'!L54</f>
        <v>1115.4389315328444</v>
      </c>
      <c r="E156" s="1095">
        <f t="shared" ref="E156" si="90">SUM(C156:D156)</f>
        <v>14913.588931532846</v>
      </c>
      <c r="F156" s="1096" t="s">
        <v>542</v>
      </c>
      <c r="G156" s="1095"/>
      <c r="H156" s="1100"/>
      <c r="I156" s="1095">
        <f t="shared" ref="I156" si="91">E156+G156</f>
        <v>14913.588931532846</v>
      </c>
      <c r="J156" s="1095"/>
      <c r="K156" s="1099">
        <f>'Restating Expl'!D78</f>
        <v>13340.018881532844</v>
      </c>
      <c r="L156" s="1099">
        <f>'Restating Expl'!E78</f>
        <v>1573.5700499999998</v>
      </c>
      <c r="M156" s="74" t="s">
        <v>19</v>
      </c>
      <c r="N156" s="70"/>
      <c r="O156" s="149">
        <f t="shared" si="79"/>
        <v>2.2737367544323206E-12</v>
      </c>
    </row>
    <row r="157" spans="1:15">
      <c r="A157" s="97">
        <v>52030</v>
      </c>
      <c r="B157" s="101" t="s">
        <v>210</v>
      </c>
      <c r="C157" s="88">
        <f>SUM(C156)</f>
        <v>13798.150000000001</v>
      </c>
      <c r="D157" s="88">
        <f>SUM(D156)</f>
        <v>1115.4389315328444</v>
      </c>
      <c r="E157" s="88">
        <f>SUM(E156)</f>
        <v>14913.588931532846</v>
      </c>
      <c r="F157" s="645"/>
      <c r="G157" s="88">
        <f>SUM(G156)</f>
        <v>0</v>
      </c>
      <c r="H157" s="98"/>
      <c r="I157" s="88">
        <f>SUM(I156)</f>
        <v>14913.588931532846</v>
      </c>
      <c r="J157" s="88"/>
      <c r="K157" s="88">
        <f>SUM(K156)</f>
        <v>13340.018881532844</v>
      </c>
      <c r="L157" s="88">
        <f>SUM(L156)</f>
        <v>1573.5700499999998</v>
      </c>
      <c r="M157" s="90"/>
      <c r="N157" s="90"/>
      <c r="O157" s="149">
        <f t="shared" si="79"/>
        <v>2.2737367544323206E-12</v>
      </c>
    </row>
    <row r="158" spans="1:15">
      <c r="A158" s="79"/>
      <c r="B158" s="74"/>
      <c r="C158" s="85"/>
      <c r="D158" s="86"/>
      <c r="E158" s="86"/>
      <c r="F158" s="644"/>
      <c r="G158" s="86"/>
      <c r="H158" s="72"/>
      <c r="I158" s="86"/>
      <c r="J158" s="86"/>
      <c r="K158" s="85"/>
      <c r="L158" s="85"/>
      <c r="M158" s="74"/>
      <c r="N158" s="70"/>
      <c r="O158" s="149">
        <f t="shared" si="79"/>
        <v>0</v>
      </c>
    </row>
    <row r="159" spans="1:15">
      <c r="A159" s="79">
        <v>51295</v>
      </c>
      <c r="B159" s="74" t="s">
        <v>40</v>
      </c>
      <c r="C159" s="82">
        <f>IFERROR(VLOOKUP(A159,'2025 IS'!$A$47:$AE$227,31,FALSE),0)</f>
        <v>9493.69</v>
      </c>
      <c r="D159" s="86"/>
      <c r="E159" s="83">
        <f t="shared" ref="E159:E160" si="92">SUM(C159:D159)</f>
        <v>9493.69</v>
      </c>
      <c r="F159" s="644"/>
      <c r="G159" s="86"/>
      <c r="H159" s="72"/>
      <c r="I159" s="83">
        <f t="shared" ref="I159:I160" si="93">E159+G159</f>
        <v>9493.69</v>
      </c>
      <c r="J159" s="83"/>
      <c r="K159" s="148">
        <f>I159*Ratios!$B$25</f>
        <v>8433.6813650067579</v>
      </c>
      <c r="L159" s="148">
        <f t="shared" ref="L159:L160" si="94">I159-K159</f>
        <v>1060.0086349932426</v>
      </c>
      <c r="M159" s="74" t="s">
        <v>135</v>
      </c>
      <c r="N159" s="70"/>
      <c r="O159" s="149">
        <f t="shared" si="79"/>
        <v>0</v>
      </c>
    </row>
    <row r="160" spans="1:15">
      <c r="A160" s="79">
        <v>57357</v>
      </c>
      <c r="B160" s="74" t="s">
        <v>60</v>
      </c>
      <c r="C160" s="1094">
        <f>IFERROR(VLOOKUP(A160,'2025 IS'!$A$47:$AE$227,31,FALSE),0)</f>
        <v>1319.83</v>
      </c>
      <c r="D160" s="1097"/>
      <c r="E160" s="1095">
        <f t="shared" si="92"/>
        <v>1319.83</v>
      </c>
      <c r="F160" s="1096"/>
      <c r="G160" s="1097"/>
      <c r="H160" s="1100"/>
      <c r="I160" s="1095">
        <f t="shared" si="93"/>
        <v>1319.83</v>
      </c>
      <c r="J160" s="1095"/>
      <c r="K160" s="1094">
        <f>I160*Ratios!$B$25</f>
        <v>1172.4656773053332</v>
      </c>
      <c r="L160" s="1094">
        <f t="shared" si="94"/>
        <v>147.36432269466673</v>
      </c>
      <c r="M160" s="74" t="s">
        <v>135</v>
      </c>
      <c r="N160" s="70"/>
      <c r="O160" s="149">
        <f t="shared" si="79"/>
        <v>0</v>
      </c>
    </row>
    <row r="161" spans="1:15">
      <c r="A161" s="97">
        <v>52200</v>
      </c>
      <c r="B161" s="101" t="s">
        <v>211</v>
      </c>
      <c r="C161" s="88">
        <f>SUM(C159:C160)</f>
        <v>10813.52</v>
      </c>
      <c r="D161" s="88">
        <f>SUM(D159:D160)</f>
        <v>0</v>
      </c>
      <c r="E161" s="88">
        <f>SUM(E159:E160)</f>
        <v>10813.52</v>
      </c>
      <c r="F161" s="645"/>
      <c r="G161" s="88">
        <f>SUM(G159:G160)</f>
        <v>0</v>
      </c>
      <c r="H161" s="98"/>
      <c r="I161" s="88">
        <f>SUM(I159:I160)</f>
        <v>10813.52</v>
      </c>
      <c r="J161" s="88"/>
      <c r="K161" s="88">
        <f t="shared" ref="K161:L161" si="95">SUM(K159:K160)</f>
        <v>9606.1470423120918</v>
      </c>
      <c r="L161" s="88">
        <f t="shared" si="95"/>
        <v>1207.3729576879093</v>
      </c>
      <c r="M161" s="90"/>
      <c r="N161" s="90"/>
      <c r="O161" s="149">
        <f t="shared" si="79"/>
        <v>0</v>
      </c>
    </row>
    <row r="162" spans="1:15">
      <c r="A162" s="79"/>
      <c r="B162" s="74"/>
      <c r="C162" s="85"/>
      <c r="D162" s="86"/>
      <c r="E162" s="86"/>
      <c r="F162" s="644"/>
      <c r="G162" s="86"/>
      <c r="H162" s="72"/>
      <c r="I162" s="86"/>
      <c r="J162" s="86"/>
      <c r="K162" s="85"/>
      <c r="L162" s="85"/>
      <c r="M162" s="74"/>
      <c r="N162" s="70"/>
      <c r="O162" s="149">
        <f t="shared" si="79"/>
        <v>0</v>
      </c>
    </row>
    <row r="163" spans="1:15">
      <c r="A163" s="79">
        <v>50050</v>
      </c>
      <c r="B163" s="74" t="s">
        <v>34</v>
      </c>
      <c r="C163" s="82">
        <f>IFERROR(VLOOKUP(A163,'2025 IS'!$A$47:$AE$227,31,FALSE),0)</f>
        <v>12846.060000000001</v>
      </c>
      <c r="D163" s="83">
        <f>'Restating Expl'!B43</f>
        <v>21.486748188279449</v>
      </c>
      <c r="E163" s="83">
        <f t="shared" ref="E163:E166" si="96">SUM(C163:D163)</f>
        <v>12867.546748188281</v>
      </c>
      <c r="F163" s="644" t="s">
        <v>536</v>
      </c>
      <c r="G163" s="83">
        <f>'Pro Forma Adj'!B37</f>
        <v>153.43601175000001</v>
      </c>
      <c r="H163" s="859" t="s">
        <v>1432</v>
      </c>
      <c r="I163" s="83">
        <f t="shared" ref="I163:I166" si="97">E163+G163</f>
        <v>13020.982759938281</v>
      </c>
      <c r="J163" s="83"/>
      <c r="K163" s="148">
        <f>I163*Ratios!$B$25</f>
        <v>11567.137715320992</v>
      </c>
      <c r="L163" s="148">
        <f t="shared" ref="L163:L165" si="98">I163-K163</f>
        <v>1453.8450446172883</v>
      </c>
      <c r="M163" s="74" t="s">
        <v>135</v>
      </c>
      <c r="N163" s="70"/>
      <c r="O163" s="149">
        <f t="shared" si="79"/>
        <v>0</v>
      </c>
    </row>
    <row r="164" spans="1:15">
      <c r="A164" s="79">
        <v>52050</v>
      </c>
      <c r="B164" s="74" t="s">
        <v>34</v>
      </c>
      <c r="C164" s="82">
        <f>IFERROR(VLOOKUP(A164,'2025 IS'!$A$47:$AE$227,31,FALSE),0)</f>
        <v>2520.73</v>
      </c>
      <c r="D164" s="83">
        <f>'Restating Expl'!B44</f>
        <v>6.5613889664383569</v>
      </c>
      <c r="E164" s="83">
        <f t="shared" si="96"/>
        <v>2527.2913889664383</v>
      </c>
      <c r="F164" s="644" t="s">
        <v>536</v>
      </c>
      <c r="G164" s="83">
        <f>'Pro Forma Adj'!B38</f>
        <v>44.350129125000002</v>
      </c>
      <c r="H164" s="859" t="s">
        <v>1432</v>
      </c>
      <c r="I164" s="83">
        <f t="shared" si="97"/>
        <v>2571.6415180914382</v>
      </c>
      <c r="J164" s="83"/>
      <c r="K164" s="148">
        <f>I164*Ratios!$B$25</f>
        <v>2284.5074095115233</v>
      </c>
      <c r="L164" s="148">
        <f t="shared" si="98"/>
        <v>287.13410857991494</v>
      </c>
      <c r="M164" s="74" t="s">
        <v>135</v>
      </c>
      <c r="N164" s="70"/>
      <c r="O164" s="149">
        <f t="shared" si="79"/>
        <v>0</v>
      </c>
    </row>
    <row r="165" spans="1:15">
      <c r="A165" s="79">
        <v>56050</v>
      </c>
      <c r="B165" s="74" t="s">
        <v>34</v>
      </c>
      <c r="C165" s="82">
        <f>IFERROR(VLOOKUP(A165,'2025 IS'!$A$47:$AE$227,31,FALSE),0)</f>
        <v>5465.21</v>
      </c>
      <c r="D165" s="83"/>
      <c r="E165" s="83">
        <f>SUM(C165:D165)</f>
        <v>5465.21</v>
      </c>
      <c r="F165" s="644"/>
      <c r="G165" s="83">
        <f>'Pro Forma Adj'!B39</f>
        <v>125.38828124999999</v>
      </c>
      <c r="H165" s="859" t="s">
        <v>1432</v>
      </c>
      <c r="I165" s="83">
        <f t="shared" si="97"/>
        <v>5590.5982812499997</v>
      </c>
      <c r="J165" s="83"/>
      <c r="K165" s="148">
        <f>I165*Ratios!$B$25</f>
        <v>4966.385519625871</v>
      </c>
      <c r="L165" s="148">
        <f t="shared" si="98"/>
        <v>624.21276162412869</v>
      </c>
      <c r="M165" s="74" t="s">
        <v>135</v>
      </c>
      <c r="N165" s="70"/>
      <c r="O165" s="149">
        <f t="shared" si="79"/>
        <v>0</v>
      </c>
    </row>
    <row r="166" spans="1:15">
      <c r="A166" s="79">
        <v>70050</v>
      </c>
      <c r="B166" s="74" t="s">
        <v>34</v>
      </c>
      <c r="C166" s="1094">
        <f>IFERROR(VLOOKUP(A166,'2025 IS'!$A$47:$AE$227,31,FALSE),0)</f>
        <v>6018.9000000000005</v>
      </c>
      <c r="D166" s="1095">
        <f>'Restating Adj'!G57</f>
        <v>81.614095676708658</v>
      </c>
      <c r="E166" s="1095">
        <f t="shared" si="96"/>
        <v>6100.5140956767091</v>
      </c>
      <c r="F166" s="1096" t="s">
        <v>537</v>
      </c>
      <c r="G166" s="1095">
        <f>'Pro Forma Adj'!B40</f>
        <v>58.875356250000003</v>
      </c>
      <c r="H166" s="1104" t="s">
        <v>1432</v>
      </c>
      <c r="I166" s="1095">
        <f t="shared" si="97"/>
        <v>6159.3894519267087</v>
      </c>
      <c r="J166" s="1095"/>
      <c r="K166" s="1094">
        <f>I166*Ratios!$B$13</f>
        <v>5504.097545570462</v>
      </c>
      <c r="L166" s="1094">
        <f>I166-K166</f>
        <v>655.29190635624673</v>
      </c>
      <c r="M166" s="74" t="s">
        <v>1238</v>
      </c>
      <c r="N166" s="70"/>
      <c r="O166" s="149">
        <f t="shared" si="79"/>
        <v>0</v>
      </c>
    </row>
    <row r="167" spans="1:15">
      <c r="A167" s="97">
        <v>52400</v>
      </c>
      <c r="B167" s="101" t="s">
        <v>34</v>
      </c>
      <c r="C167" s="88">
        <f>SUM(C163:C166)</f>
        <v>26850.9</v>
      </c>
      <c r="D167" s="88">
        <f>SUM(D163:D166)</f>
        <v>109.66223283142646</v>
      </c>
      <c r="E167" s="88">
        <f>SUM(E163:E166)</f>
        <v>26960.562232831428</v>
      </c>
      <c r="F167" s="644"/>
      <c r="G167" s="88">
        <f>SUM(G163:G166)</f>
        <v>382.04977837499996</v>
      </c>
      <c r="H167" s="859"/>
      <c r="I167" s="88">
        <f>SUM(I163:I166)</f>
        <v>27342.612011206427</v>
      </c>
      <c r="J167" s="88"/>
      <c r="K167" s="88">
        <f>SUM(K163:K166)</f>
        <v>24322.128190028849</v>
      </c>
      <c r="L167" s="88">
        <f>SUM(L163:L166)</f>
        <v>3020.4838211775786</v>
      </c>
      <c r="M167" s="90"/>
      <c r="N167" s="90"/>
      <c r="O167" s="149">
        <f t="shared" si="79"/>
        <v>0</v>
      </c>
    </row>
    <row r="168" spans="1:15">
      <c r="A168" s="79"/>
      <c r="B168" s="74"/>
      <c r="C168" s="85"/>
      <c r="D168" s="86"/>
      <c r="E168" s="86"/>
      <c r="F168" s="644"/>
      <c r="G168" s="86"/>
      <c r="H168" s="72"/>
      <c r="I168" s="86"/>
      <c r="J168" s="86"/>
      <c r="K168" s="85"/>
      <c r="L168" s="85"/>
      <c r="M168" s="74"/>
      <c r="N168" s="70"/>
      <c r="O168" s="149">
        <f t="shared" si="79"/>
        <v>0</v>
      </c>
    </row>
    <row r="169" spans="1:15">
      <c r="A169" s="79">
        <v>57170</v>
      </c>
      <c r="B169" s="70" t="s">
        <v>213</v>
      </c>
      <c r="C169" s="1094">
        <f>IFERROR(VLOOKUP(A169,'2025 IS'!$A$47:$AE$227,31,FALSE),0)</f>
        <v>10350</v>
      </c>
      <c r="D169" s="1097"/>
      <c r="E169" s="1095">
        <f t="shared" ref="E169" si="99">SUM(C169:D169)</f>
        <v>10350</v>
      </c>
      <c r="F169" s="1096"/>
      <c r="G169" s="1097"/>
      <c r="H169" s="1100"/>
      <c r="I169" s="1095">
        <f t="shared" ref="I169" si="100">E169+G169</f>
        <v>10350</v>
      </c>
      <c r="J169" s="1095"/>
      <c r="K169" s="1094">
        <f>I169*Ratios!$B$25</f>
        <v>9194.3809127767963</v>
      </c>
      <c r="L169" s="1094">
        <f t="shared" ref="L169" si="101">I169-K169</f>
        <v>1155.6190872232037</v>
      </c>
      <c r="M169" s="74" t="s">
        <v>135</v>
      </c>
      <c r="N169" s="70"/>
      <c r="O169" s="149">
        <f t="shared" si="79"/>
        <v>0</v>
      </c>
    </row>
    <row r="170" spans="1:15">
      <c r="A170" s="97">
        <v>53200</v>
      </c>
      <c r="B170" s="68" t="s">
        <v>214</v>
      </c>
      <c r="C170" s="87">
        <f>SUM(C169:C169)</f>
        <v>10350</v>
      </c>
      <c r="D170" s="88">
        <f t="shared" ref="D170:E170" si="102">SUM(D169:D169)</f>
        <v>0</v>
      </c>
      <c r="E170" s="88">
        <f t="shared" si="102"/>
        <v>10350</v>
      </c>
      <c r="F170" s="645"/>
      <c r="G170" s="87">
        <f>SUM(G169:G169)</f>
        <v>0</v>
      </c>
      <c r="H170" s="89"/>
      <c r="I170" s="87">
        <f>SUM(I169:I169)</f>
        <v>10350</v>
      </c>
      <c r="J170" s="87"/>
      <c r="K170" s="87">
        <f>SUM(K169:K169)</f>
        <v>9194.3809127767963</v>
      </c>
      <c r="L170" s="87">
        <f>SUM(L169:L169)</f>
        <v>1155.6190872232037</v>
      </c>
      <c r="M170" s="90"/>
      <c r="N170" s="69"/>
      <c r="O170" s="149">
        <f t="shared" si="79"/>
        <v>0</v>
      </c>
    </row>
    <row r="171" spans="1:15">
      <c r="A171" s="97"/>
      <c r="B171" s="68"/>
      <c r="C171" s="87"/>
      <c r="D171" s="86"/>
      <c r="E171" s="86"/>
      <c r="F171" s="644"/>
      <c r="G171" s="86"/>
      <c r="H171" s="72"/>
      <c r="I171" s="86"/>
      <c r="J171" s="86"/>
      <c r="K171" s="88"/>
      <c r="L171" s="88"/>
      <c r="M171" s="74"/>
      <c r="N171" s="70"/>
      <c r="O171" s="149">
        <f t="shared" si="79"/>
        <v>0</v>
      </c>
    </row>
    <row r="172" spans="1:15" ht="14.25" customHeight="1">
      <c r="A172" s="97">
        <v>80099</v>
      </c>
      <c r="B172" s="74" t="s">
        <v>219</v>
      </c>
      <c r="C172" s="85">
        <f>IFERROR(VLOOKUP(A172,'2025 IS'!$A$47:$AE$227,31,FALSE),0)</f>
        <v>26595.5</v>
      </c>
      <c r="D172" s="85">
        <f>'Restating Expl'!D93</f>
        <v>-26595.5</v>
      </c>
      <c r="E172" s="83">
        <f t="shared" ref="E172" si="103">SUM(C172:D172)</f>
        <v>0</v>
      </c>
      <c r="F172" s="644" t="s">
        <v>535</v>
      </c>
      <c r="G172" s="88"/>
      <c r="H172" s="98"/>
      <c r="I172" s="83"/>
      <c r="J172" s="88"/>
      <c r="K172" s="88"/>
      <c r="L172" s="88"/>
      <c r="M172" s="90"/>
      <c r="N172" s="90"/>
      <c r="O172" s="149">
        <f t="shared" si="79"/>
        <v>0</v>
      </c>
    </row>
    <row r="173" spans="1:15">
      <c r="A173" s="79"/>
      <c r="B173" s="70"/>
      <c r="C173" s="82"/>
      <c r="D173" s="86"/>
      <c r="E173" s="86"/>
      <c r="F173" s="644"/>
      <c r="G173" s="86"/>
      <c r="H173" s="72"/>
      <c r="I173" s="86"/>
      <c r="J173" s="86"/>
      <c r="K173" s="85"/>
      <c r="L173" s="85"/>
      <c r="M173" s="74"/>
      <c r="N173" s="70"/>
      <c r="O173" s="149">
        <f t="shared" si="79"/>
        <v>0</v>
      </c>
    </row>
    <row r="174" spans="1:15">
      <c r="A174" s="79"/>
      <c r="B174" s="68" t="s">
        <v>1</v>
      </c>
      <c r="C174" s="87">
        <f>C20+C28+C35+C38+C41+C44+C48+C52+C60+C63+C67+C73+C77+C80+C83+C86+C94+C97+C107+C110+C113+C119+C122+C125+C142+C151+C154+C157+C161+C167+C170+C172</f>
        <v>1093945.6200000001</v>
      </c>
      <c r="D174" s="87">
        <f>D20+D28+D35+D38+D41+D44+D48+D52+D60+D63+D67+D73+D77+D80+D83+D86+D94+D97+D107+D110+D113+D119+D122+D125+D142+D151+D154+D157+D161+D167+D170+D172</f>
        <v>-58881.893236292337</v>
      </c>
      <c r="E174" s="87">
        <f>E20+E28+E35+E38+E41+E44+E48+E52+E60+E63+E67+E73+E77+E80+E83+E86+E94+E97+E107+E110+E113+E119+E122+E125+E142+E151+E154+E157+E161+E167+E170+E172</f>
        <v>1035063.7267637076</v>
      </c>
      <c r="F174" s="644"/>
      <c r="G174" s="87">
        <f>G20+G28+G35+G38+G41+G44+G48+G52+G60+G63+G67+G73+G77+G80+G83+G86+G94+G97+G107+G110+G113+G119+G122+G125+G142+G151+G154+G157+G161+G167+G170+G172</f>
        <v>11443.458756624104</v>
      </c>
      <c r="H174" s="69"/>
      <c r="I174" s="87">
        <f>I20+I28+I35+I38+I41+I44+I48+I52+I60+I63+I67+I73+I77+I80+I83+I86+I94+I97+I107+I110+I113+I119+I122+I125+I142+I151+I154+I157+I161+I167+I170+I172</f>
        <v>1046507.1855203318</v>
      </c>
      <c r="J174" s="87"/>
      <c r="K174" s="87">
        <f t="shared" ref="K174:L174" si="104">K20+K28+K35+K38+K41+K44+K48+K52+K60+K63+K67+K73+K77+K80+K83+K86+K94+K97+K107+K110+K113+K119+K122+K125+K142+K151+K154+K157+K161+K167+K170+K172</f>
        <v>952334.54822610749</v>
      </c>
      <c r="L174" s="87">
        <f t="shared" si="104"/>
        <v>94173.342294224451</v>
      </c>
      <c r="M174" s="88"/>
      <c r="N174" s="69"/>
      <c r="O174" s="87">
        <f>O20+O28+O35+O38+O41+O44+O48+O52+O60+O63+O67+O73+O77+O80+O83+O86+O94+O97+O107+O110+O113+O119+O122+O125+O142+O151+O154+O157+O161+O167+O170+O172</f>
        <v>-0.70500000005176844</v>
      </c>
    </row>
    <row r="175" spans="1:15">
      <c r="A175" s="79"/>
      <c r="B175" s="68"/>
      <c r="C175" s="87"/>
      <c r="D175" s="71"/>
      <c r="E175" s="71"/>
      <c r="F175" s="644"/>
      <c r="G175" s="71"/>
      <c r="H175" s="72"/>
      <c r="I175" s="71"/>
      <c r="J175" s="71"/>
      <c r="K175" s="73"/>
      <c r="L175" s="73"/>
      <c r="M175" s="74"/>
      <c r="N175" s="70"/>
      <c r="O175" s="70"/>
    </row>
    <row r="176" spans="1:15">
      <c r="A176" s="79"/>
      <c r="B176" s="68" t="s">
        <v>215</v>
      </c>
      <c r="C176" s="106">
        <f>C174/C14</f>
        <v>1.0912279277581975</v>
      </c>
      <c r="D176" s="71"/>
      <c r="E176" s="106">
        <f>E174/E14</f>
        <v>1.0430441619512125</v>
      </c>
      <c r="F176" s="644"/>
      <c r="G176" s="71"/>
      <c r="H176" s="72"/>
      <c r="I176" s="106">
        <f>I174/I14</f>
        <v>1.0525707698443012</v>
      </c>
      <c r="J176" s="106"/>
      <c r="K176" s="106">
        <f>K174/K14</f>
        <v>1.0708394306073261</v>
      </c>
      <c r="L176" s="106">
        <f>L174/L14</f>
        <v>0.89770400397069516</v>
      </c>
      <c r="M176" s="74"/>
      <c r="N176" s="70"/>
      <c r="O176" s="70"/>
    </row>
    <row r="177" spans="1:15">
      <c r="A177" s="79"/>
      <c r="B177" s="70"/>
      <c r="C177" s="69"/>
      <c r="D177" s="71"/>
      <c r="E177" s="69"/>
      <c r="F177" s="644"/>
      <c r="G177" s="71"/>
      <c r="H177" s="72"/>
      <c r="I177" s="69"/>
      <c r="J177" s="71"/>
      <c r="K177" s="73"/>
      <c r="L177" s="73"/>
      <c r="M177" s="74"/>
      <c r="N177" s="70"/>
      <c r="O177" s="70"/>
    </row>
    <row r="178" spans="1:15">
      <c r="A178" s="79"/>
      <c r="B178" s="68" t="s">
        <v>216</v>
      </c>
      <c r="C178" s="87">
        <f>C14-C174</f>
        <v>-91455.130000000121</v>
      </c>
      <c r="D178" s="71"/>
      <c r="E178" s="87">
        <f>E14-E174</f>
        <v>-42714.826763707562</v>
      </c>
      <c r="F178" s="644"/>
      <c r="G178" s="71"/>
      <c r="H178" s="72"/>
      <c r="I178" s="87">
        <f>I14-I174</f>
        <v>-52267.923418142134</v>
      </c>
      <c r="J178" s="71"/>
      <c r="K178" s="107">
        <f>K14-K174</f>
        <v>-62999.956123917829</v>
      </c>
      <c r="L178" s="107">
        <f>L14-L174</f>
        <v>10731.327705775533</v>
      </c>
      <c r="M178" s="98"/>
      <c r="N178" s="89"/>
      <c r="O178" s="70"/>
    </row>
    <row r="179" spans="1:15">
      <c r="A179" s="79"/>
      <c r="B179" s="70"/>
      <c r="C179" s="69"/>
      <c r="D179" s="71"/>
      <c r="E179" s="71"/>
      <c r="F179" s="644"/>
      <c r="G179" s="71"/>
      <c r="H179" s="72"/>
      <c r="I179" s="71"/>
      <c r="J179" s="71"/>
      <c r="K179" s="73"/>
      <c r="L179" s="73"/>
      <c r="M179" s="74"/>
      <c r="N179" s="70"/>
      <c r="O179" s="70"/>
    </row>
    <row r="180" spans="1:15">
      <c r="A180" s="97"/>
      <c r="B180" s="68" t="s">
        <v>217</v>
      </c>
      <c r="C180" s="88"/>
      <c r="D180" s="71"/>
      <c r="E180" s="71"/>
      <c r="F180" s="644"/>
      <c r="G180" s="71"/>
      <c r="H180" s="72"/>
      <c r="I180" s="71">
        <f>'Depr Summary'!H32</f>
        <v>631454.64963595103</v>
      </c>
      <c r="J180" s="71"/>
      <c r="K180" s="148">
        <f>I180*Ratios!$B$25</f>
        <v>560950.20076299016</v>
      </c>
      <c r="L180" s="148">
        <f>I180-K180</f>
        <v>70504.448872960871</v>
      </c>
      <c r="M180" s="599"/>
      <c r="N180" s="68"/>
      <c r="O180" s="68"/>
    </row>
    <row r="182" spans="1:15">
      <c r="C182" s="111"/>
      <c r="G182" s="85">
        <f>C174+D174+G174-K174-L174</f>
        <v>-0.70499999998719431</v>
      </c>
    </row>
  </sheetData>
  <pageMargins left="0.7" right="0.7" top="0.75" bottom="0.75" header="0.3" footer="0.3"/>
  <pageSetup scale="94" fitToHeight="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U67"/>
  <sheetViews>
    <sheetView zoomScaleNormal="100" workbookViewId="0">
      <selection activeCell="A55" sqref="A55:XFD55"/>
    </sheetView>
  </sheetViews>
  <sheetFormatPr defaultRowHeight="12"/>
  <cols>
    <col min="1" max="1" width="5.28515625" style="1057" bestFit="1" customWidth="1"/>
    <col min="2" max="2" width="23.5703125" style="1057" customWidth="1"/>
    <col min="3" max="3" width="8.42578125" style="1059" bestFit="1" customWidth="1"/>
    <col min="4" max="4" width="9.140625" style="1059" bestFit="1" customWidth="1"/>
    <col min="5" max="5" width="12.140625" style="1059" bestFit="1" customWidth="1"/>
    <col min="6" max="6" width="8.7109375" style="1059" bestFit="1" customWidth="1"/>
    <col min="7" max="7" width="12.140625" style="1059" bestFit="1" customWidth="1"/>
    <col min="8" max="8" width="2.28515625" style="1059" customWidth="1"/>
    <col min="9" max="9" width="9" style="1059" bestFit="1" customWidth="1"/>
    <col min="10" max="10" width="8.140625" style="1059" bestFit="1" customWidth="1"/>
    <col min="11" max="11" width="8.42578125" style="1059" bestFit="1" customWidth="1"/>
    <col min="12" max="12" width="1.7109375" style="1059" customWidth="1"/>
    <col min="13" max="13" width="9" style="1059" bestFit="1" customWidth="1"/>
    <col min="14" max="14" width="8.140625" style="1059" bestFit="1" customWidth="1"/>
    <col min="15" max="15" width="6.85546875" style="1059" bestFit="1" customWidth="1"/>
    <col min="16" max="16" width="1.5703125" style="1059" customWidth="1"/>
    <col min="17" max="17" width="15.140625" style="1060" customWidth="1"/>
    <col min="18" max="18" width="12.5703125" style="1061" customWidth="1"/>
    <col min="19" max="19" width="12.28515625" style="1061" customWidth="1"/>
    <col min="20" max="20" width="11.85546875" style="1061" customWidth="1"/>
    <col min="21" max="22" width="9.140625" style="1061"/>
    <col min="23" max="260" width="9.140625" style="1057"/>
    <col min="261" max="261" width="23.5703125" style="1057" customWidth="1"/>
    <col min="262" max="262" width="11.85546875" style="1057" customWidth="1"/>
    <col min="263" max="263" width="12.140625" style="1057" customWidth="1"/>
    <col min="264" max="264" width="13.7109375" style="1057" customWidth="1"/>
    <col min="265" max="265" width="10.5703125" style="1057" customWidth="1"/>
    <col min="266" max="269" width="11.28515625" style="1057" customWidth="1"/>
    <col min="270" max="270" width="9.85546875" style="1057" bestFit="1" customWidth="1"/>
    <col min="271" max="271" width="9.140625" style="1057"/>
    <col min="272" max="272" width="1.5703125" style="1057" customWidth="1"/>
    <col min="273" max="273" width="15.140625" style="1057" customWidth="1"/>
    <col min="274" max="274" width="12.5703125" style="1057" customWidth="1"/>
    <col min="275" max="275" width="12.28515625" style="1057" customWidth="1"/>
    <col min="276" max="276" width="11.85546875" style="1057" customWidth="1"/>
    <col min="277" max="516" width="9.140625" style="1057"/>
    <col min="517" max="517" width="23.5703125" style="1057" customWidth="1"/>
    <col min="518" max="518" width="11.85546875" style="1057" customWidth="1"/>
    <col min="519" max="519" width="12.140625" style="1057" customWidth="1"/>
    <col min="520" max="520" width="13.7109375" style="1057" customWidth="1"/>
    <col min="521" max="521" width="10.5703125" style="1057" customWidth="1"/>
    <col min="522" max="525" width="11.28515625" style="1057" customWidth="1"/>
    <col min="526" max="526" width="9.85546875" style="1057" bestFit="1" customWidth="1"/>
    <col min="527" max="527" width="9.140625" style="1057"/>
    <col min="528" max="528" width="1.5703125" style="1057" customWidth="1"/>
    <col min="529" max="529" width="15.140625" style="1057" customWidth="1"/>
    <col min="530" max="530" width="12.5703125" style="1057" customWidth="1"/>
    <col min="531" max="531" width="12.28515625" style="1057" customWidth="1"/>
    <col min="532" max="532" width="11.85546875" style="1057" customWidth="1"/>
    <col min="533" max="772" width="9.140625" style="1057"/>
    <col min="773" max="773" width="23.5703125" style="1057" customWidth="1"/>
    <col min="774" max="774" width="11.85546875" style="1057" customWidth="1"/>
    <col min="775" max="775" width="12.140625" style="1057" customWidth="1"/>
    <col min="776" max="776" width="13.7109375" style="1057" customWidth="1"/>
    <col min="777" max="777" width="10.5703125" style="1057" customWidth="1"/>
    <col min="778" max="781" width="11.28515625" style="1057" customWidth="1"/>
    <col min="782" max="782" width="9.85546875" style="1057" bestFit="1" customWidth="1"/>
    <col min="783" max="783" width="9.140625" style="1057"/>
    <col min="784" max="784" width="1.5703125" style="1057" customWidth="1"/>
    <col min="785" max="785" width="15.140625" style="1057" customWidth="1"/>
    <col min="786" max="786" width="12.5703125" style="1057" customWidth="1"/>
    <col min="787" max="787" width="12.28515625" style="1057" customWidth="1"/>
    <col min="788" max="788" width="11.85546875" style="1057" customWidth="1"/>
    <col min="789" max="1028" width="9.140625" style="1057"/>
    <col min="1029" max="1029" width="23.5703125" style="1057" customWidth="1"/>
    <col min="1030" max="1030" width="11.85546875" style="1057" customWidth="1"/>
    <col min="1031" max="1031" width="12.140625" style="1057" customWidth="1"/>
    <col min="1032" max="1032" width="13.7109375" style="1057" customWidth="1"/>
    <col min="1033" max="1033" width="10.5703125" style="1057" customWidth="1"/>
    <col min="1034" max="1037" width="11.28515625" style="1057" customWidth="1"/>
    <col min="1038" max="1038" width="9.85546875" style="1057" bestFit="1" customWidth="1"/>
    <col min="1039" max="1039" width="9.140625" style="1057"/>
    <col min="1040" max="1040" width="1.5703125" style="1057" customWidth="1"/>
    <col min="1041" max="1041" width="15.140625" style="1057" customWidth="1"/>
    <col min="1042" max="1042" width="12.5703125" style="1057" customWidth="1"/>
    <col min="1043" max="1043" width="12.28515625" style="1057" customWidth="1"/>
    <col min="1044" max="1044" width="11.85546875" style="1057" customWidth="1"/>
    <col min="1045" max="1284" width="9.140625" style="1057"/>
    <col min="1285" max="1285" width="23.5703125" style="1057" customWidth="1"/>
    <col min="1286" max="1286" width="11.85546875" style="1057" customWidth="1"/>
    <col min="1287" max="1287" width="12.140625" style="1057" customWidth="1"/>
    <col min="1288" max="1288" width="13.7109375" style="1057" customWidth="1"/>
    <col min="1289" max="1289" width="10.5703125" style="1057" customWidth="1"/>
    <col min="1290" max="1293" width="11.28515625" style="1057" customWidth="1"/>
    <col min="1294" max="1294" width="9.85546875" style="1057" bestFit="1" customWidth="1"/>
    <col min="1295" max="1295" width="9.140625" style="1057"/>
    <col min="1296" max="1296" width="1.5703125" style="1057" customWidth="1"/>
    <col min="1297" max="1297" width="15.140625" style="1057" customWidth="1"/>
    <col min="1298" max="1298" width="12.5703125" style="1057" customWidth="1"/>
    <col min="1299" max="1299" width="12.28515625" style="1057" customWidth="1"/>
    <col min="1300" max="1300" width="11.85546875" style="1057" customWidth="1"/>
    <col min="1301" max="1540" width="9.140625" style="1057"/>
    <col min="1541" max="1541" width="23.5703125" style="1057" customWidth="1"/>
    <col min="1542" max="1542" width="11.85546875" style="1057" customWidth="1"/>
    <col min="1543" max="1543" width="12.140625" style="1057" customWidth="1"/>
    <col min="1544" max="1544" width="13.7109375" style="1057" customWidth="1"/>
    <col min="1545" max="1545" width="10.5703125" style="1057" customWidth="1"/>
    <col min="1546" max="1549" width="11.28515625" style="1057" customWidth="1"/>
    <col min="1550" max="1550" width="9.85546875" style="1057" bestFit="1" customWidth="1"/>
    <col min="1551" max="1551" width="9.140625" style="1057"/>
    <col min="1552" max="1552" width="1.5703125" style="1057" customWidth="1"/>
    <col min="1553" max="1553" width="15.140625" style="1057" customWidth="1"/>
    <col min="1554" max="1554" width="12.5703125" style="1057" customWidth="1"/>
    <col min="1555" max="1555" width="12.28515625" style="1057" customWidth="1"/>
    <col min="1556" max="1556" width="11.85546875" style="1057" customWidth="1"/>
    <col min="1557" max="1796" width="9.140625" style="1057"/>
    <col min="1797" max="1797" width="23.5703125" style="1057" customWidth="1"/>
    <col min="1798" max="1798" width="11.85546875" style="1057" customWidth="1"/>
    <col min="1799" max="1799" width="12.140625" style="1057" customWidth="1"/>
    <col min="1800" max="1800" width="13.7109375" style="1057" customWidth="1"/>
    <col min="1801" max="1801" width="10.5703125" style="1057" customWidth="1"/>
    <col min="1802" max="1805" width="11.28515625" style="1057" customWidth="1"/>
    <col min="1806" max="1806" width="9.85546875" style="1057" bestFit="1" customWidth="1"/>
    <col min="1807" max="1807" width="9.140625" style="1057"/>
    <col min="1808" max="1808" width="1.5703125" style="1057" customWidth="1"/>
    <col min="1809" max="1809" width="15.140625" style="1057" customWidth="1"/>
    <col min="1810" max="1810" width="12.5703125" style="1057" customWidth="1"/>
    <col min="1811" max="1811" width="12.28515625" style="1057" customWidth="1"/>
    <col min="1812" max="1812" width="11.85546875" style="1057" customWidth="1"/>
    <col min="1813" max="2052" width="9.140625" style="1057"/>
    <col min="2053" max="2053" width="23.5703125" style="1057" customWidth="1"/>
    <col min="2054" max="2054" width="11.85546875" style="1057" customWidth="1"/>
    <col min="2055" max="2055" width="12.140625" style="1057" customWidth="1"/>
    <col min="2056" max="2056" width="13.7109375" style="1057" customWidth="1"/>
    <col min="2057" max="2057" width="10.5703125" style="1057" customWidth="1"/>
    <col min="2058" max="2061" width="11.28515625" style="1057" customWidth="1"/>
    <col min="2062" max="2062" width="9.85546875" style="1057" bestFit="1" customWidth="1"/>
    <col min="2063" max="2063" width="9.140625" style="1057"/>
    <col min="2064" max="2064" width="1.5703125" style="1057" customWidth="1"/>
    <col min="2065" max="2065" width="15.140625" style="1057" customWidth="1"/>
    <col min="2066" max="2066" width="12.5703125" style="1057" customWidth="1"/>
    <col min="2067" max="2067" width="12.28515625" style="1057" customWidth="1"/>
    <col min="2068" max="2068" width="11.85546875" style="1057" customWidth="1"/>
    <col min="2069" max="2308" width="9.140625" style="1057"/>
    <col min="2309" max="2309" width="23.5703125" style="1057" customWidth="1"/>
    <col min="2310" max="2310" width="11.85546875" style="1057" customWidth="1"/>
    <col min="2311" max="2311" width="12.140625" style="1057" customWidth="1"/>
    <col min="2312" max="2312" width="13.7109375" style="1057" customWidth="1"/>
    <col min="2313" max="2313" width="10.5703125" style="1057" customWidth="1"/>
    <col min="2314" max="2317" width="11.28515625" style="1057" customWidth="1"/>
    <col min="2318" max="2318" width="9.85546875" style="1057" bestFit="1" customWidth="1"/>
    <col min="2319" max="2319" width="9.140625" style="1057"/>
    <col min="2320" max="2320" width="1.5703125" style="1057" customWidth="1"/>
    <col min="2321" max="2321" width="15.140625" style="1057" customWidth="1"/>
    <col min="2322" max="2322" width="12.5703125" style="1057" customWidth="1"/>
    <col min="2323" max="2323" width="12.28515625" style="1057" customWidth="1"/>
    <col min="2324" max="2324" width="11.85546875" style="1057" customWidth="1"/>
    <col min="2325" max="2564" width="9.140625" style="1057"/>
    <col min="2565" max="2565" width="23.5703125" style="1057" customWidth="1"/>
    <col min="2566" max="2566" width="11.85546875" style="1057" customWidth="1"/>
    <col min="2567" max="2567" width="12.140625" style="1057" customWidth="1"/>
    <col min="2568" max="2568" width="13.7109375" style="1057" customWidth="1"/>
    <col min="2569" max="2569" width="10.5703125" style="1057" customWidth="1"/>
    <col min="2570" max="2573" width="11.28515625" style="1057" customWidth="1"/>
    <col min="2574" max="2574" width="9.85546875" style="1057" bestFit="1" customWidth="1"/>
    <col min="2575" max="2575" width="9.140625" style="1057"/>
    <col min="2576" max="2576" width="1.5703125" style="1057" customWidth="1"/>
    <col min="2577" max="2577" width="15.140625" style="1057" customWidth="1"/>
    <col min="2578" max="2578" width="12.5703125" style="1057" customWidth="1"/>
    <col min="2579" max="2579" width="12.28515625" style="1057" customWidth="1"/>
    <col min="2580" max="2580" width="11.85546875" style="1057" customWidth="1"/>
    <col min="2581" max="2820" width="9.140625" style="1057"/>
    <col min="2821" max="2821" width="23.5703125" style="1057" customWidth="1"/>
    <col min="2822" max="2822" width="11.85546875" style="1057" customWidth="1"/>
    <col min="2823" max="2823" width="12.140625" style="1057" customWidth="1"/>
    <col min="2824" max="2824" width="13.7109375" style="1057" customWidth="1"/>
    <col min="2825" max="2825" width="10.5703125" style="1057" customWidth="1"/>
    <col min="2826" max="2829" width="11.28515625" style="1057" customWidth="1"/>
    <col min="2830" max="2830" width="9.85546875" style="1057" bestFit="1" customWidth="1"/>
    <col min="2831" max="2831" width="9.140625" style="1057"/>
    <col min="2832" max="2832" width="1.5703125" style="1057" customWidth="1"/>
    <col min="2833" max="2833" width="15.140625" style="1057" customWidth="1"/>
    <col min="2834" max="2834" width="12.5703125" style="1057" customWidth="1"/>
    <col min="2835" max="2835" width="12.28515625" style="1057" customWidth="1"/>
    <col min="2836" max="2836" width="11.85546875" style="1057" customWidth="1"/>
    <col min="2837" max="3076" width="9.140625" style="1057"/>
    <col min="3077" max="3077" width="23.5703125" style="1057" customWidth="1"/>
    <col min="3078" max="3078" width="11.85546875" style="1057" customWidth="1"/>
    <col min="3079" max="3079" width="12.140625" style="1057" customWidth="1"/>
    <col min="3080" max="3080" width="13.7109375" style="1057" customWidth="1"/>
    <col min="3081" max="3081" width="10.5703125" style="1057" customWidth="1"/>
    <col min="3082" max="3085" width="11.28515625" style="1057" customWidth="1"/>
    <col min="3086" max="3086" width="9.85546875" style="1057" bestFit="1" customWidth="1"/>
    <col min="3087" max="3087" width="9.140625" style="1057"/>
    <col min="3088" max="3088" width="1.5703125" style="1057" customWidth="1"/>
    <col min="3089" max="3089" width="15.140625" style="1057" customWidth="1"/>
    <col min="3090" max="3090" width="12.5703125" style="1057" customWidth="1"/>
    <col min="3091" max="3091" width="12.28515625" style="1057" customWidth="1"/>
    <col min="3092" max="3092" width="11.85546875" style="1057" customWidth="1"/>
    <col min="3093" max="3332" width="9.140625" style="1057"/>
    <col min="3333" max="3333" width="23.5703125" style="1057" customWidth="1"/>
    <col min="3334" max="3334" width="11.85546875" style="1057" customWidth="1"/>
    <col min="3335" max="3335" width="12.140625" style="1057" customWidth="1"/>
    <col min="3336" max="3336" width="13.7109375" style="1057" customWidth="1"/>
    <col min="3337" max="3337" width="10.5703125" style="1057" customWidth="1"/>
    <col min="3338" max="3341" width="11.28515625" style="1057" customWidth="1"/>
    <col min="3342" max="3342" width="9.85546875" style="1057" bestFit="1" customWidth="1"/>
    <col min="3343" max="3343" width="9.140625" style="1057"/>
    <col min="3344" max="3344" width="1.5703125" style="1057" customWidth="1"/>
    <col min="3345" max="3345" width="15.140625" style="1057" customWidth="1"/>
    <col min="3346" max="3346" width="12.5703125" style="1057" customWidth="1"/>
    <col min="3347" max="3347" width="12.28515625" style="1057" customWidth="1"/>
    <col min="3348" max="3348" width="11.85546875" style="1057" customWidth="1"/>
    <col min="3349" max="3588" width="9.140625" style="1057"/>
    <col min="3589" max="3589" width="23.5703125" style="1057" customWidth="1"/>
    <col min="3590" max="3590" width="11.85546875" style="1057" customWidth="1"/>
    <col min="3591" max="3591" width="12.140625" style="1057" customWidth="1"/>
    <col min="3592" max="3592" width="13.7109375" style="1057" customWidth="1"/>
    <col min="3593" max="3593" width="10.5703125" style="1057" customWidth="1"/>
    <col min="3594" max="3597" width="11.28515625" style="1057" customWidth="1"/>
    <col min="3598" max="3598" width="9.85546875" style="1057" bestFit="1" customWidth="1"/>
    <col min="3599" max="3599" width="9.140625" style="1057"/>
    <col min="3600" max="3600" width="1.5703125" style="1057" customWidth="1"/>
    <col min="3601" max="3601" width="15.140625" style="1057" customWidth="1"/>
    <col min="3602" max="3602" width="12.5703125" style="1057" customWidth="1"/>
    <col min="3603" max="3603" width="12.28515625" style="1057" customWidth="1"/>
    <col min="3604" max="3604" width="11.85546875" style="1057" customWidth="1"/>
    <col min="3605" max="3844" width="9.140625" style="1057"/>
    <col min="3845" max="3845" width="23.5703125" style="1057" customWidth="1"/>
    <col min="3846" max="3846" width="11.85546875" style="1057" customWidth="1"/>
    <col min="3847" max="3847" width="12.140625" style="1057" customWidth="1"/>
    <col min="3848" max="3848" width="13.7109375" style="1057" customWidth="1"/>
    <col min="3849" max="3849" width="10.5703125" style="1057" customWidth="1"/>
    <col min="3850" max="3853" width="11.28515625" style="1057" customWidth="1"/>
    <col min="3854" max="3854" width="9.85546875" style="1057" bestFit="1" customWidth="1"/>
    <col min="3855" max="3855" width="9.140625" style="1057"/>
    <col min="3856" max="3856" width="1.5703125" style="1057" customWidth="1"/>
    <col min="3857" max="3857" width="15.140625" style="1057" customWidth="1"/>
    <col min="3858" max="3858" width="12.5703125" style="1057" customWidth="1"/>
    <col min="3859" max="3859" width="12.28515625" style="1057" customWidth="1"/>
    <col min="3860" max="3860" width="11.85546875" style="1057" customWidth="1"/>
    <col min="3861" max="4100" width="9.140625" style="1057"/>
    <col min="4101" max="4101" width="23.5703125" style="1057" customWidth="1"/>
    <col min="4102" max="4102" width="11.85546875" style="1057" customWidth="1"/>
    <col min="4103" max="4103" width="12.140625" style="1057" customWidth="1"/>
    <col min="4104" max="4104" width="13.7109375" style="1057" customWidth="1"/>
    <col min="4105" max="4105" width="10.5703125" style="1057" customWidth="1"/>
    <col min="4106" max="4109" width="11.28515625" style="1057" customWidth="1"/>
    <col min="4110" max="4110" width="9.85546875" style="1057" bestFit="1" customWidth="1"/>
    <col min="4111" max="4111" width="9.140625" style="1057"/>
    <col min="4112" max="4112" width="1.5703125" style="1057" customWidth="1"/>
    <col min="4113" max="4113" width="15.140625" style="1057" customWidth="1"/>
    <col min="4114" max="4114" width="12.5703125" style="1057" customWidth="1"/>
    <col min="4115" max="4115" width="12.28515625" style="1057" customWidth="1"/>
    <col min="4116" max="4116" width="11.85546875" style="1057" customWidth="1"/>
    <col min="4117" max="4356" width="9.140625" style="1057"/>
    <col min="4357" max="4357" width="23.5703125" style="1057" customWidth="1"/>
    <col min="4358" max="4358" width="11.85546875" style="1057" customWidth="1"/>
    <col min="4359" max="4359" width="12.140625" style="1057" customWidth="1"/>
    <col min="4360" max="4360" width="13.7109375" style="1057" customWidth="1"/>
    <col min="4361" max="4361" width="10.5703125" style="1057" customWidth="1"/>
    <col min="4362" max="4365" width="11.28515625" style="1057" customWidth="1"/>
    <col min="4366" max="4366" width="9.85546875" style="1057" bestFit="1" customWidth="1"/>
    <col min="4367" max="4367" width="9.140625" style="1057"/>
    <col min="4368" max="4368" width="1.5703125" style="1057" customWidth="1"/>
    <col min="4369" max="4369" width="15.140625" style="1057" customWidth="1"/>
    <col min="4370" max="4370" width="12.5703125" style="1057" customWidth="1"/>
    <col min="4371" max="4371" width="12.28515625" style="1057" customWidth="1"/>
    <col min="4372" max="4372" width="11.85546875" style="1057" customWidth="1"/>
    <col min="4373" max="4612" width="9.140625" style="1057"/>
    <col min="4613" max="4613" width="23.5703125" style="1057" customWidth="1"/>
    <col min="4614" max="4614" width="11.85546875" style="1057" customWidth="1"/>
    <col min="4615" max="4615" width="12.140625" style="1057" customWidth="1"/>
    <col min="4616" max="4616" width="13.7109375" style="1057" customWidth="1"/>
    <col min="4617" max="4617" width="10.5703125" style="1057" customWidth="1"/>
    <col min="4618" max="4621" width="11.28515625" style="1057" customWidth="1"/>
    <col min="4622" max="4622" width="9.85546875" style="1057" bestFit="1" customWidth="1"/>
    <col min="4623" max="4623" width="9.140625" style="1057"/>
    <col min="4624" max="4624" width="1.5703125" style="1057" customWidth="1"/>
    <col min="4625" max="4625" width="15.140625" style="1057" customWidth="1"/>
    <col min="4626" max="4626" width="12.5703125" style="1057" customWidth="1"/>
    <col min="4627" max="4627" width="12.28515625" style="1057" customWidth="1"/>
    <col min="4628" max="4628" width="11.85546875" style="1057" customWidth="1"/>
    <col min="4629" max="4868" width="9.140625" style="1057"/>
    <col min="4869" max="4869" width="23.5703125" style="1057" customWidth="1"/>
    <col min="4870" max="4870" width="11.85546875" style="1057" customWidth="1"/>
    <col min="4871" max="4871" width="12.140625" style="1057" customWidth="1"/>
    <col min="4872" max="4872" width="13.7109375" style="1057" customWidth="1"/>
    <col min="4873" max="4873" width="10.5703125" style="1057" customWidth="1"/>
    <col min="4874" max="4877" width="11.28515625" style="1057" customWidth="1"/>
    <col min="4878" max="4878" width="9.85546875" style="1057" bestFit="1" customWidth="1"/>
    <col min="4879" max="4879" width="9.140625" style="1057"/>
    <col min="4880" max="4880" width="1.5703125" style="1057" customWidth="1"/>
    <col min="4881" max="4881" width="15.140625" style="1057" customWidth="1"/>
    <col min="4882" max="4882" width="12.5703125" style="1057" customWidth="1"/>
    <col min="4883" max="4883" width="12.28515625" style="1057" customWidth="1"/>
    <col min="4884" max="4884" width="11.85546875" style="1057" customWidth="1"/>
    <col min="4885" max="5124" width="9.140625" style="1057"/>
    <col min="5125" max="5125" width="23.5703125" style="1057" customWidth="1"/>
    <col min="5126" max="5126" width="11.85546875" style="1057" customWidth="1"/>
    <col min="5127" max="5127" width="12.140625" style="1057" customWidth="1"/>
    <col min="5128" max="5128" width="13.7109375" style="1057" customWidth="1"/>
    <col min="5129" max="5129" width="10.5703125" style="1057" customWidth="1"/>
    <col min="5130" max="5133" width="11.28515625" style="1057" customWidth="1"/>
    <col min="5134" max="5134" width="9.85546875" style="1057" bestFit="1" customWidth="1"/>
    <col min="5135" max="5135" width="9.140625" style="1057"/>
    <col min="5136" max="5136" width="1.5703125" style="1057" customWidth="1"/>
    <col min="5137" max="5137" width="15.140625" style="1057" customWidth="1"/>
    <col min="5138" max="5138" width="12.5703125" style="1057" customWidth="1"/>
    <col min="5139" max="5139" width="12.28515625" style="1057" customWidth="1"/>
    <col min="5140" max="5140" width="11.85546875" style="1057" customWidth="1"/>
    <col min="5141" max="5380" width="9.140625" style="1057"/>
    <col min="5381" max="5381" width="23.5703125" style="1057" customWidth="1"/>
    <col min="5382" max="5382" width="11.85546875" style="1057" customWidth="1"/>
    <col min="5383" max="5383" width="12.140625" style="1057" customWidth="1"/>
    <col min="5384" max="5384" width="13.7109375" style="1057" customWidth="1"/>
    <col min="5385" max="5385" width="10.5703125" style="1057" customWidth="1"/>
    <col min="5386" max="5389" width="11.28515625" style="1057" customWidth="1"/>
    <col min="5390" max="5390" width="9.85546875" style="1057" bestFit="1" customWidth="1"/>
    <col min="5391" max="5391" width="9.140625" style="1057"/>
    <col min="5392" max="5392" width="1.5703125" style="1057" customWidth="1"/>
    <col min="5393" max="5393" width="15.140625" style="1057" customWidth="1"/>
    <col min="5394" max="5394" width="12.5703125" style="1057" customWidth="1"/>
    <col min="5395" max="5395" width="12.28515625" style="1057" customWidth="1"/>
    <col min="5396" max="5396" width="11.85546875" style="1057" customWidth="1"/>
    <col min="5397" max="5636" width="9.140625" style="1057"/>
    <col min="5637" max="5637" width="23.5703125" style="1057" customWidth="1"/>
    <col min="5638" max="5638" width="11.85546875" style="1057" customWidth="1"/>
    <col min="5639" max="5639" width="12.140625" style="1057" customWidth="1"/>
    <col min="5640" max="5640" width="13.7109375" style="1057" customWidth="1"/>
    <col min="5641" max="5641" width="10.5703125" style="1057" customWidth="1"/>
    <col min="5642" max="5645" width="11.28515625" style="1057" customWidth="1"/>
    <col min="5646" max="5646" width="9.85546875" style="1057" bestFit="1" customWidth="1"/>
    <col min="5647" max="5647" width="9.140625" style="1057"/>
    <col min="5648" max="5648" width="1.5703125" style="1057" customWidth="1"/>
    <col min="5649" max="5649" width="15.140625" style="1057" customWidth="1"/>
    <col min="5650" max="5650" width="12.5703125" style="1057" customWidth="1"/>
    <col min="5651" max="5651" width="12.28515625" style="1057" customWidth="1"/>
    <col min="5652" max="5652" width="11.85546875" style="1057" customWidth="1"/>
    <col min="5653" max="5892" width="9.140625" style="1057"/>
    <col min="5893" max="5893" width="23.5703125" style="1057" customWidth="1"/>
    <col min="5894" max="5894" width="11.85546875" style="1057" customWidth="1"/>
    <col min="5895" max="5895" width="12.140625" style="1057" customWidth="1"/>
    <col min="5896" max="5896" width="13.7109375" style="1057" customWidth="1"/>
    <col min="5897" max="5897" width="10.5703125" style="1057" customWidth="1"/>
    <col min="5898" max="5901" width="11.28515625" style="1057" customWidth="1"/>
    <col min="5902" max="5902" width="9.85546875" style="1057" bestFit="1" customWidth="1"/>
    <col min="5903" max="5903" width="9.140625" style="1057"/>
    <col min="5904" max="5904" width="1.5703125" style="1057" customWidth="1"/>
    <col min="5905" max="5905" width="15.140625" style="1057" customWidth="1"/>
    <col min="5906" max="5906" width="12.5703125" style="1057" customWidth="1"/>
    <col min="5907" max="5907" width="12.28515625" style="1057" customWidth="1"/>
    <col min="5908" max="5908" width="11.85546875" style="1057" customWidth="1"/>
    <col min="5909" max="6148" width="9.140625" style="1057"/>
    <col min="6149" max="6149" width="23.5703125" style="1057" customWidth="1"/>
    <col min="6150" max="6150" width="11.85546875" style="1057" customWidth="1"/>
    <col min="6151" max="6151" width="12.140625" style="1057" customWidth="1"/>
    <col min="6152" max="6152" width="13.7109375" style="1057" customWidth="1"/>
    <col min="6153" max="6153" width="10.5703125" style="1057" customWidth="1"/>
    <col min="6154" max="6157" width="11.28515625" style="1057" customWidth="1"/>
    <col min="6158" max="6158" width="9.85546875" style="1057" bestFit="1" customWidth="1"/>
    <col min="6159" max="6159" width="9.140625" style="1057"/>
    <col min="6160" max="6160" width="1.5703125" style="1057" customWidth="1"/>
    <col min="6161" max="6161" width="15.140625" style="1057" customWidth="1"/>
    <col min="6162" max="6162" width="12.5703125" style="1057" customWidth="1"/>
    <col min="6163" max="6163" width="12.28515625" style="1057" customWidth="1"/>
    <col min="6164" max="6164" width="11.85546875" style="1057" customWidth="1"/>
    <col min="6165" max="6404" width="9.140625" style="1057"/>
    <col min="6405" max="6405" width="23.5703125" style="1057" customWidth="1"/>
    <col min="6406" max="6406" width="11.85546875" style="1057" customWidth="1"/>
    <col min="6407" max="6407" width="12.140625" style="1057" customWidth="1"/>
    <col min="6408" max="6408" width="13.7109375" style="1057" customWidth="1"/>
    <col min="6409" max="6409" width="10.5703125" style="1057" customWidth="1"/>
    <col min="6410" max="6413" width="11.28515625" style="1057" customWidth="1"/>
    <col min="6414" max="6414" width="9.85546875" style="1057" bestFit="1" customWidth="1"/>
    <col min="6415" max="6415" width="9.140625" style="1057"/>
    <col min="6416" max="6416" width="1.5703125" style="1057" customWidth="1"/>
    <col min="6417" max="6417" width="15.140625" style="1057" customWidth="1"/>
    <col min="6418" max="6418" width="12.5703125" style="1057" customWidth="1"/>
    <col min="6419" max="6419" width="12.28515625" style="1057" customWidth="1"/>
    <col min="6420" max="6420" width="11.85546875" style="1057" customWidth="1"/>
    <col min="6421" max="6660" width="9.140625" style="1057"/>
    <col min="6661" max="6661" width="23.5703125" style="1057" customWidth="1"/>
    <col min="6662" max="6662" width="11.85546875" style="1057" customWidth="1"/>
    <col min="6663" max="6663" width="12.140625" style="1057" customWidth="1"/>
    <col min="6664" max="6664" width="13.7109375" style="1057" customWidth="1"/>
    <col min="6665" max="6665" width="10.5703125" style="1057" customWidth="1"/>
    <col min="6666" max="6669" width="11.28515625" style="1057" customWidth="1"/>
    <col min="6670" max="6670" width="9.85546875" style="1057" bestFit="1" customWidth="1"/>
    <col min="6671" max="6671" width="9.140625" style="1057"/>
    <col min="6672" max="6672" width="1.5703125" style="1057" customWidth="1"/>
    <col min="6673" max="6673" width="15.140625" style="1057" customWidth="1"/>
    <col min="6674" max="6674" width="12.5703125" style="1057" customWidth="1"/>
    <col min="6675" max="6675" width="12.28515625" style="1057" customWidth="1"/>
    <col min="6676" max="6676" width="11.85546875" style="1057" customWidth="1"/>
    <col min="6677" max="6916" width="9.140625" style="1057"/>
    <col min="6917" max="6917" width="23.5703125" style="1057" customWidth="1"/>
    <col min="6918" max="6918" width="11.85546875" style="1057" customWidth="1"/>
    <col min="6919" max="6919" width="12.140625" style="1057" customWidth="1"/>
    <col min="6920" max="6920" width="13.7109375" style="1057" customWidth="1"/>
    <col min="6921" max="6921" width="10.5703125" style="1057" customWidth="1"/>
    <col min="6922" max="6925" width="11.28515625" style="1057" customWidth="1"/>
    <col min="6926" max="6926" width="9.85546875" style="1057" bestFit="1" customWidth="1"/>
    <col min="6927" max="6927" width="9.140625" style="1057"/>
    <col min="6928" max="6928" width="1.5703125" style="1057" customWidth="1"/>
    <col min="6929" max="6929" width="15.140625" style="1057" customWidth="1"/>
    <col min="6930" max="6930" width="12.5703125" style="1057" customWidth="1"/>
    <col min="6931" max="6931" width="12.28515625" style="1057" customWidth="1"/>
    <col min="6932" max="6932" width="11.85546875" style="1057" customWidth="1"/>
    <col min="6933" max="7172" width="9.140625" style="1057"/>
    <col min="7173" max="7173" width="23.5703125" style="1057" customWidth="1"/>
    <col min="7174" max="7174" width="11.85546875" style="1057" customWidth="1"/>
    <col min="7175" max="7175" width="12.140625" style="1057" customWidth="1"/>
    <col min="7176" max="7176" width="13.7109375" style="1057" customWidth="1"/>
    <col min="7177" max="7177" width="10.5703125" style="1057" customWidth="1"/>
    <col min="7178" max="7181" width="11.28515625" style="1057" customWidth="1"/>
    <col min="7182" max="7182" width="9.85546875" style="1057" bestFit="1" customWidth="1"/>
    <col min="7183" max="7183" width="9.140625" style="1057"/>
    <col min="7184" max="7184" width="1.5703125" style="1057" customWidth="1"/>
    <col min="7185" max="7185" width="15.140625" style="1057" customWidth="1"/>
    <col min="7186" max="7186" width="12.5703125" style="1057" customWidth="1"/>
    <col min="7187" max="7187" width="12.28515625" style="1057" customWidth="1"/>
    <col min="7188" max="7188" width="11.85546875" style="1057" customWidth="1"/>
    <col min="7189" max="7428" width="9.140625" style="1057"/>
    <col min="7429" max="7429" width="23.5703125" style="1057" customWidth="1"/>
    <col min="7430" max="7430" width="11.85546875" style="1057" customWidth="1"/>
    <col min="7431" max="7431" width="12.140625" style="1057" customWidth="1"/>
    <col min="7432" max="7432" width="13.7109375" style="1057" customWidth="1"/>
    <col min="7433" max="7433" width="10.5703125" style="1057" customWidth="1"/>
    <col min="7434" max="7437" width="11.28515625" style="1057" customWidth="1"/>
    <col min="7438" max="7438" width="9.85546875" style="1057" bestFit="1" customWidth="1"/>
    <col min="7439" max="7439" width="9.140625" style="1057"/>
    <col min="7440" max="7440" width="1.5703125" style="1057" customWidth="1"/>
    <col min="7441" max="7441" width="15.140625" style="1057" customWidth="1"/>
    <col min="7442" max="7442" width="12.5703125" style="1057" customWidth="1"/>
    <col min="7443" max="7443" width="12.28515625" style="1057" customWidth="1"/>
    <col min="7444" max="7444" width="11.85546875" style="1057" customWidth="1"/>
    <col min="7445" max="7684" width="9.140625" style="1057"/>
    <col min="7685" max="7685" width="23.5703125" style="1057" customWidth="1"/>
    <col min="7686" max="7686" width="11.85546875" style="1057" customWidth="1"/>
    <col min="7687" max="7687" width="12.140625" style="1057" customWidth="1"/>
    <col min="7688" max="7688" width="13.7109375" style="1057" customWidth="1"/>
    <col min="7689" max="7689" width="10.5703125" style="1057" customWidth="1"/>
    <col min="7690" max="7693" width="11.28515625" style="1057" customWidth="1"/>
    <col min="7694" max="7694" width="9.85546875" style="1057" bestFit="1" customWidth="1"/>
    <col min="7695" max="7695" width="9.140625" style="1057"/>
    <col min="7696" max="7696" width="1.5703125" style="1057" customWidth="1"/>
    <col min="7697" max="7697" width="15.140625" style="1057" customWidth="1"/>
    <col min="7698" max="7698" width="12.5703125" style="1057" customWidth="1"/>
    <col min="7699" max="7699" width="12.28515625" style="1057" customWidth="1"/>
    <col min="7700" max="7700" width="11.85546875" style="1057" customWidth="1"/>
    <col min="7701" max="7940" width="9.140625" style="1057"/>
    <col min="7941" max="7941" width="23.5703125" style="1057" customWidth="1"/>
    <col min="7942" max="7942" width="11.85546875" style="1057" customWidth="1"/>
    <col min="7943" max="7943" width="12.140625" style="1057" customWidth="1"/>
    <col min="7944" max="7944" width="13.7109375" style="1057" customWidth="1"/>
    <col min="7945" max="7945" width="10.5703125" style="1057" customWidth="1"/>
    <col min="7946" max="7949" width="11.28515625" style="1057" customWidth="1"/>
    <col min="7950" max="7950" width="9.85546875" style="1057" bestFit="1" customWidth="1"/>
    <col min="7951" max="7951" width="9.140625" style="1057"/>
    <col min="7952" max="7952" width="1.5703125" style="1057" customWidth="1"/>
    <col min="7953" max="7953" width="15.140625" style="1057" customWidth="1"/>
    <col min="7954" max="7954" width="12.5703125" style="1057" customWidth="1"/>
    <col min="7955" max="7955" width="12.28515625" style="1057" customWidth="1"/>
    <col min="7956" max="7956" width="11.85546875" style="1057" customWidth="1"/>
    <col min="7957" max="8196" width="9.140625" style="1057"/>
    <col min="8197" max="8197" width="23.5703125" style="1057" customWidth="1"/>
    <col min="8198" max="8198" width="11.85546875" style="1057" customWidth="1"/>
    <col min="8199" max="8199" width="12.140625" style="1057" customWidth="1"/>
    <col min="8200" max="8200" width="13.7109375" style="1057" customWidth="1"/>
    <col min="8201" max="8201" width="10.5703125" style="1057" customWidth="1"/>
    <col min="8202" max="8205" width="11.28515625" style="1057" customWidth="1"/>
    <col min="8206" max="8206" width="9.85546875" style="1057" bestFit="1" customWidth="1"/>
    <col min="8207" max="8207" width="9.140625" style="1057"/>
    <col min="8208" max="8208" width="1.5703125" style="1057" customWidth="1"/>
    <col min="8209" max="8209" width="15.140625" style="1057" customWidth="1"/>
    <col min="8210" max="8210" width="12.5703125" style="1057" customWidth="1"/>
    <col min="8211" max="8211" width="12.28515625" style="1057" customWidth="1"/>
    <col min="8212" max="8212" width="11.85546875" style="1057" customWidth="1"/>
    <col min="8213" max="8452" width="9.140625" style="1057"/>
    <col min="8453" max="8453" width="23.5703125" style="1057" customWidth="1"/>
    <col min="8454" max="8454" width="11.85546875" style="1057" customWidth="1"/>
    <col min="8455" max="8455" width="12.140625" style="1057" customWidth="1"/>
    <col min="8456" max="8456" width="13.7109375" style="1057" customWidth="1"/>
    <col min="8457" max="8457" width="10.5703125" style="1057" customWidth="1"/>
    <col min="8458" max="8461" width="11.28515625" style="1057" customWidth="1"/>
    <col min="8462" max="8462" width="9.85546875" style="1057" bestFit="1" customWidth="1"/>
    <col min="8463" max="8463" width="9.140625" style="1057"/>
    <col min="8464" max="8464" width="1.5703125" style="1057" customWidth="1"/>
    <col min="8465" max="8465" width="15.140625" style="1057" customWidth="1"/>
    <col min="8466" max="8466" width="12.5703125" style="1057" customWidth="1"/>
    <col min="8467" max="8467" width="12.28515625" style="1057" customWidth="1"/>
    <col min="8468" max="8468" width="11.85546875" style="1057" customWidth="1"/>
    <col min="8469" max="8708" width="9.140625" style="1057"/>
    <col min="8709" max="8709" width="23.5703125" style="1057" customWidth="1"/>
    <col min="8710" max="8710" width="11.85546875" style="1057" customWidth="1"/>
    <col min="8711" max="8711" width="12.140625" style="1057" customWidth="1"/>
    <col min="8712" max="8712" width="13.7109375" style="1057" customWidth="1"/>
    <col min="8713" max="8713" width="10.5703125" style="1057" customWidth="1"/>
    <col min="8714" max="8717" width="11.28515625" style="1057" customWidth="1"/>
    <col min="8718" max="8718" width="9.85546875" style="1057" bestFit="1" customWidth="1"/>
    <col min="8719" max="8719" width="9.140625" style="1057"/>
    <col min="8720" max="8720" width="1.5703125" style="1057" customWidth="1"/>
    <col min="8721" max="8721" width="15.140625" style="1057" customWidth="1"/>
    <col min="8722" max="8722" width="12.5703125" style="1057" customWidth="1"/>
    <col min="8723" max="8723" width="12.28515625" style="1057" customWidth="1"/>
    <col min="8724" max="8724" width="11.85546875" style="1057" customWidth="1"/>
    <col min="8725" max="8964" width="9.140625" style="1057"/>
    <col min="8965" max="8965" width="23.5703125" style="1057" customWidth="1"/>
    <col min="8966" max="8966" width="11.85546875" style="1057" customWidth="1"/>
    <col min="8967" max="8967" width="12.140625" style="1057" customWidth="1"/>
    <col min="8968" max="8968" width="13.7109375" style="1057" customWidth="1"/>
    <col min="8969" max="8969" width="10.5703125" style="1057" customWidth="1"/>
    <col min="8970" max="8973" width="11.28515625" style="1057" customWidth="1"/>
    <col min="8974" max="8974" width="9.85546875" style="1057" bestFit="1" customWidth="1"/>
    <col min="8975" max="8975" width="9.140625" style="1057"/>
    <col min="8976" max="8976" width="1.5703125" style="1057" customWidth="1"/>
    <col min="8977" max="8977" width="15.140625" style="1057" customWidth="1"/>
    <col min="8978" max="8978" width="12.5703125" style="1057" customWidth="1"/>
    <col min="8979" max="8979" width="12.28515625" style="1057" customWidth="1"/>
    <col min="8980" max="8980" width="11.85546875" style="1057" customWidth="1"/>
    <col min="8981" max="9220" width="9.140625" style="1057"/>
    <col min="9221" max="9221" width="23.5703125" style="1057" customWidth="1"/>
    <col min="9222" max="9222" width="11.85546875" style="1057" customWidth="1"/>
    <col min="9223" max="9223" width="12.140625" style="1057" customWidth="1"/>
    <col min="9224" max="9224" width="13.7109375" style="1057" customWidth="1"/>
    <col min="9225" max="9225" width="10.5703125" style="1057" customWidth="1"/>
    <col min="9226" max="9229" width="11.28515625" style="1057" customWidth="1"/>
    <col min="9230" max="9230" width="9.85546875" style="1057" bestFit="1" customWidth="1"/>
    <col min="9231" max="9231" width="9.140625" style="1057"/>
    <col min="9232" max="9232" width="1.5703125" style="1057" customWidth="1"/>
    <col min="9233" max="9233" width="15.140625" style="1057" customWidth="1"/>
    <col min="9234" max="9234" width="12.5703125" style="1057" customWidth="1"/>
    <col min="9235" max="9235" width="12.28515625" style="1057" customWidth="1"/>
    <col min="9236" max="9236" width="11.85546875" style="1057" customWidth="1"/>
    <col min="9237" max="9476" width="9.140625" style="1057"/>
    <col min="9477" max="9477" width="23.5703125" style="1057" customWidth="1"/>
    <col min="9478" max="9478" width="11.85546875" style="1057" customWidth="1"/>
    <col min="9479" max="9479" width="12.140625" style="1057" customWidth="1"/>
    <col min="9480" max="9480" width="13.7109375" style="1057" customWidth="1"/>
    <col min="9481" max="9481" width="10.5703125" style="1057" customWidth="1"/>
    <col min="9482" max="9485" width="11.28515625" style="1057" customWidth="1"/>
    <col min="9486" max="9486" width="9.85546875" style="1057" bestFit="1" customWidth="1"/>
    <col min="9487" max="9487" width="9.140625" style="1057"/>
    <col min="9488" max="9488" width="1.5703125" style="1057" customWidth="1"/>
    <col min="9489" max="9489" width="15.140625" style="1057" customWidth="1"/>
    <col min="9490" max="9490" width="12.5703125" style="1057" customWidth="1"/>
    <col min="9491" max="9491" width="12.28515625" style="1057" customWidth="1"/>
    <col min="9492" max="9492" width="11.85546875" style="1057" customWidth="1"/>
    <col min="9493" max="9732" width="9.140625" style="1057"/>
    <col min="9733" max="9733" width="23.5703125" style="1057" customWidth="1"/>
    <col min="9734" max="9734" width="11.85546875" style="1057" customWidth="1"/>
    <col min="9735" max="9735" width="12.140625" style="1057" customWidth="1"/>
    <col min="9736" max="9736" width="13.7109375" style="1057" customWidth="1"/>
    <col min="9737" max="9737" width="10.5703125" style="1057" customWidth="1"/>
    <col min="9738" max="9741" width="11.28515625" style="1057" customWidth="1"/>
    <col min="9742" max="9742" width="9.85546875" style="1057" bestFit="1" customWidth="1"/>
    <col min="9743" max="9743" width="9.140625" style="1057"/>
    <col min="9744" max="9744" width="1.5703125" style="1057" customWidth="1"/>
    <col min="9745" max="9745" width="15.140625" style="1057" customWidth="1"/>
    <col min="9746" max="9746" width="12.5703125" style="1057" customWidth="1"/>
    <col min="9747" max="9747" width="12.28515625" style="1057" customWidth="1"/>
    <col min="9748" max="9748" width="11.85546875" style="1057" customWidth="1"/>
    <col min="9749" max="9988" width="9.140625" style="1057"/>
    <col min="9989" max="9989" width="23.5703125" style="1057" customWidth="1"/>
    <col min="9990" max="9990" width="11.85546875" style="1057" customWidth="1"/>
    <col min="9991" max="9991" width="12.140625" style="1057" customWidth="1"/>
    <col min="9992" max="9992" width="13.7109375" style="1057" customWidth="1"/>
    <col min="9993" max="9993" width="10.5703125" style="1057" customWidth="1"/>
    <col min="9994" max="9997" width="11.28515625" style="1057" customWidth="1"/>
    <col min="9998" max="9998" width="9.85546875" style="1057" bestFit="1" customWidth="1"/>
    <col min="9999" max="9999" width="9.140625" style="1057"/>
    <col min="10000" max="10000" width="1.5703125" style="1057" customWidth="1"/>
    <col min="10001" max="10001" width="15.140625" style="1057" customWidth="1"/>
    <col min="10002" max="10002" width="12.5703125" style="1057" customWidth="1"/>
    <col min="10003" max="10003" width="12.28515625" style="1057" customWidth="1"/>
    <col min="10004" max="10004" width="11.85546875" style="1057" customWidth="1"/>
    <col min="10005" max="10244" width="9.140625" style="1057"/>
    <col min="10245" max="10245" width="23.5703125" style="1057" customWidth="1"/>
    <col min="10246" max="10246" width="11.85546875" style="1057" customWidth="1"/>
    <col min="10247" max="10247" width="12.140625" style="1057" customWidth="1"/>
    <col min="10248" max="10248" width="13.7109375" style="1057" customWidth="1"/>
    <col min="10249" max="10249" width="10.5703125" style="1057" customWidth="1"/>
    <col min="10250" max="10253" width="11.28515625" style="1057" customWidth="1"/>
    <col min="10254" max="10254" width="9.85546875" style="1057" bestFit="1" customWidth="1"/>
    <col min="10255" max="10255" width="9.140625" style="1057"/>
    <col min="10256" max="10256" width="1.5703125" style="1057" customWidth="1"/>
    <col min="10257" max="10257" width="15.140625" style="1057" customWidth="1"/>
    <col min="10258" max="10258" width="12.5703125" style="1057" customWidth="1"/>
    <col min="10259" max="10259" width="12.28515625" style="1057" customWidth="1"/>
    <col min="10260" max="10260" width="11.85546875" style="1057" customWidth="1"/>
    <col min="10261" max="10500" width="9.140625" style="1057"/>
    <col min="10501" max="10501" width="23.5703125" style="1057" customWidth="1"/>
    <col min="10502" max="10502" width="11.85546875" style="1057" customWidth="1"/>
    <col min="10503" max="10503" width="12.140625" style="1057" customWidth="1"/>
    <col min="10504" max="10504" width="13.7109375" style="1057" customWidth="1"/>
    <col min="10505" max="10505" width="10.5703125" style="1057" customWidth="1"/>
    <col min="10506" max="10509" width="11.28515625" style="1057" customWidth="1"/>
    <col min="10510" max="10510" width="9.85546875" style="1057" bestFit="1" customWidth="1"/>
    <col min="10511" max="10511" width="9.140625" style="1057"/>
    <col min="10512" max="10512" width="1.5703125" style="1057" customWidth="1"/>
    <col min="10513" max="10513" width="15.140625" style="1057" customWidth="1"/>
    <col min="10514" max="10514" width="12.5703125" style="1057" customWidth="1"/>
    <col min="10515" max="10515" width="12.28515625" style="1057" customWidth="1"/>
    <col min="10516" max="10516" width="11.85546875" style="1057" customWidth="1"/>
    <col min="10517" max="10756" width="9.140625" style="1057"/>
    <col min="10757" max="10757" width="23.5703125" style="1057" customWidth="1"/>
    <col min="10758" max="10758" width="11.85546875" style="1057" customWidth="1"/>
    <col min="10759" max="10759" width="12.140625" style="1057" customWidth="1"/>
    <col min="10760" max="10760" width="13.7109375" style="1057" customWidth="1"/>
    <col min="10761" max="10761" width="10.5703125" style="1057" customWidth="1"/>
    <col min="10762" max="10765" width="11.28515625" style="1057" customWidth="1"/>
    <col min="10766" max="10766" width="9.85546875" style="1057" bestFit="1" customWidth="1"/>
    <col min="10767" max="10767" width="9.140625" style="1057"/>
    <col min="10768" max="10768" width="1.5703125" style="1057" customWidth="1"/>
    <col min="10769" max="10769" width="15.140625" style="1057" customWidth="1"/>
    <col min="10770" max="10770" width="12.5703125" style="1057" customWidth="1"/>
    <col min="10771" max="10771" width="12.28515625" style="1057" customWidth="1"/>
    <col min="10772" max="10772" width="11.85546875" style="1057" customWidth="1"/>
    <col min="10773" max="11012" width="9.140625" style="1057"/>
    <col min="11013" max="11013" width="23.5703125" style="1057" customWidth="1"/>
    <col min="11014" max="11014" width="11.85546875" style="1057" customWidth="1"/>
    <col min="11015" max="11015" width="12.140625" style="1057" customWidth="1"/>
    <col min="11016" max="11016" width="13.7109375" style="1057" customWidth="1"/>
    <col min="11017" max="11017" width="10.5703125" style="1057" customWidth="1"/>
    <col min="11018" max="11021" width="11.28515625" style="1057" customWidth="1"/>
    <col min="11022" max="11022" width="9.85546875" style="1057" bestFit="1" customWidth="1"/>
    <col min="11023" max="11023" width="9.140625" style="1057"/>
    <col min="11024" max="11024" width="1.5703125" style="1057" customWidth="1"/>
    <col min="11025" max="11025" width="15.140625" style="1057" customWidth="1"/>
    <col min="11026" max="11026" width="12.5703125" style="1057" customWidth="1"/>
    <col min="11027" max="11027" width="12.28515625" style="1057" customWidth="1"/>
    <col min="11028" max="11028" width="11.85546875" style="1057" customWidth="1"/>
    <col min="11029" max="11268" width="9.140625" style="1057"/>
    <col min="11269" max="11269" width="23.5703125" style="1057" customWidth="1"/>
    <col min="11270" max="11270" width="11.85546875" style="1057" customWidth="1"/>
    <col min="11271" max="11271" width="12.140625" style="1057" customWidth="1"/>
    <col min="11272" max="11272" width="13.7109375" style="1057" customWidth="1"/>
    <col min="11273" max="11273" width="10.5703125" style="1057" customWidth="1"/>
    <col min="11274" max="11277" width="11.28515625" style="1057" customWidth="1"/>
    <col min="11278" max="11278" width="9.85546875" style="1057" bestFit="1" customWidth="1"/>
    <col min="11279" max="11279" width="9.140625" style="1057"/>
    <col min="11280" max="11280" width="1.5703125" style="1057" customWidth="1"/>
    <col min="11281" max="11281" width="15.140625" style="1057" customWidth="1"/>
    <col min="11282" max="11282" width="12.5703125" style="1057" customWidth="1"/>
    <col min="11283" max="11283" width="12.28515625" style="1057" customWidth="1"/>
    <col min="11284" max="11284" width="11.85546875" style="1057" customWidth="1"/>
    <col min="11285" max="11524" width="9.140625" style="1057"/>
    <col min="11525" max="11525" width="23.5703125" style="1057" customWidth="1"/>
    <col min="11526" max="11526" width="11.85546875" style="1057" customWidth="1"/>
    <col min="11527" max="11527" width="12.140625" style="1057" customWidth="1"/>
    <col min="11528" max="11528" width="13.7109375" style="1057" customWidth="1"/>
    <col min="11529" max="11529" width="10.5703125" style="1057" customWidth="1"/>
    <col min="11530" max="11533" width="11.28515625" style="1057" customWidth="1"/>
    <col min="11534" max="11534" width="9.85546875" style="1057" bestFit="1" customWidth="1"/>
    <col min="11535" max="11535" width="9.140625" style="1057"/>
    <col min="11536" max="11536" width="1.5703125" style="1057" customWidth="1"/>
    <col min="11537" max="11537" width="15.140625" style="1057" customWidth="1"/>
    <col min="11538" max="11538" width="12.5703125" style="1057" customWidth="1"/>
    <col min="11539" max="11539" width="12.28515625" style="1057" customWidth="1"/>
    <col min="11540" max="11540" width="11.85546875" style="1057" customWidth="1"/>
    <col min="11541" max="11780" width="9.140625" style="1057"/>
    <col min="11781" max="11781" width="23.5703125" style="1057" customWidth="1"/>
    <col min="11782" max="11782" width="11.85546875" style="1057" customWidth="1"/>
    <col min="11783" max="11783" width="12.140625" style="1057" customWidth="1"/>
    <col min="11784" max="11784" width="13.7109375" style="1057" customWidth="1"/>
    <col min="11785" max="11785" width="10.5703125" style="1057" customWidth="1"/>
    <col min="11786" max="11789" width="11.28515625" style="1057" customWidth="1"/>
    <col min="11790" max="11790" width="9.85546875" style="1057" bestFit="1" customWidth="1"/>
    <col min="11791" max="11791" width="9.140625" style="1057"/>
    <col min="11792" max="11792" width="1.5703125" style="1057" customWidth="1"/>
    <col min="11793" max="11793" width="15.140625" style="1057" customWidth="1"/>
    <col min="11794" max="11794" width="12.5703125" style="1057" customWidth="1"/>
    <col min="11795" max="11795" width="12.28515625" style="1057" customWidth="1"/>
    <col min="11796" max="11796" width="11.85546875" style="1057" customWidth="1"/>
    <col min="11797" max="12036" width="9.140625" style="1057"/>
    <col min="12037" max="12037" width="23.5703125" style="1057" customWidth="1"/>
    <col min="12038" max="12038" width="11.85546875" style="1057" customWidth="1"/>
    <col min="12039" max="12039" width="12.140625" style="1057" customWidth="1"/>
    <col min="12040" max="12040" width="13.7109375" style="1057" customWidth="1"/>
    <col min="12041" max="12041" width="10.5703125" style="1057" customWidth="1"/>
    <col min="12042" max="12045" width="11.28515625" style="1057" customWidth="1"/>
    <col min="12046" max="12046" width="9.85546875" style="1057" bestFit="1" customWidth="1"/>
    <col min="12047" max="12047" width="9.140625" style="1057"/>
    <col min="12048" max="12048" width="1.5703125" style="1057" customWidth="1"/>
    <col min="12049" max="12049" width="15.140625" style="1057" customWidth="1"/>
    <col min="12050" max="12050" width="12.5703125" style="1057" customWidth="1"/>
    <col min="12051" max="12051" width="12.28515625" style="1057" customWidth="1"/>
    <col min="12052" max="12052" width="11.85546875" style="1057" customWidth="1"/>
    <col min="12053" max="12292" width="9.140625" style="1057"/>
    <col min="12293" max="12293" width="23.5703125" style="1057" customWidth="1"/>
    <col min="12294" max="12294" width="11.85546875" style="1057" customWidth="1"/>
    <col min="12295" max="12295" width="12.140625" style="1057" customWidth="1"/>
    <col min="12296" max="12296" width="13.7109375" style="1057" customWidth="1"/>
    <col min="12297" max="12297" width="10.5703125" style="1057" customWidth="1"/>
    <col min="12298" max="12301" width="11.28515625" style="1057" customWidth="1"/>
    <col min="12302" max="12302" width="9.85546875" style="1057" bestFit="1" customWidth="1"/>
    <col min="12303" max="12303" width="9.140625" style="1057"/>
    <col min="12304" max="12304" width="1.5703125" style="1057" customWidth="1"/>
    <col min="12305" max="12305" width="15.140625" style="1057" customWidth="1"/>
    <col min="12306" max="12306" width="12.5703125" style="1057" customWidth="1"/>
    <col min="12307" max="12307" width="12.28515625" style="1057" customWidth="1"/>
    <col min="12308" max="12308" width="11.85546875" style="1057" customWidth="1"/>
    <col min="12309" max="12548" width="9.140625" style="1057"/>
    <col min="12549" max="12549" width="23.5703125" style="1057" customWidth="1"/>
    <col min="12550" max="12550" width="11.85546875" style="1057" customWidth="1"/>
    <col min="12551" max="12551" width="12.140625" style="1057" customWidth="1"/>
    <col min="12552" max="12552" width="13.7109375" style="1057" customWidth="1"/>
    <col min="12553" max="12553" width="10.5703125" style="1057" customWidth="1"/>
    <col min="12554" max="12557" width="11.28515625" style="1057" customWidth="1"/>
    <col min="12558" max="12558" width="9.85546875" style="1057" bestFit="1" customWidth="1"/>
    <col min="12559" max="12559" width="9.140625" style="1057"/>
    <col min="12560" max="12560" width="1.5703125" style="1057" customWidth="1"/>
    <col min="12561" max="12561" width="15.140625" style="1057" customWidth="1"/>
    <col min="12562" max="12562" width="12.5703125" style="1057" customWidth="1"/>
    <col min="12563" max="12563" width="12.28515625" style="1057" customWidth="1"/>
    <col min="12564" max="12564" width="11.85546875" style="1057" customWidth="1"/>
    <col min="12565" max="12804" width="9.140625" style="1057"/>
    <col min="12805" max="12805" width="23.5703125" style="1057" customWidth="1"/>
    <col min="12806" max="12806" width="11.85546875" style="1057" customWidth="1"/>
    <col min="12807" max="12807" width="12.140625" style="1057" customWidth="1"/>
    <col min="12808" max="12808" width="13.7109375" style="1057" customWidth="1"/>
    <col min="12809" max="12809" width="10.5703125" style="1057" customWidth="1"/>
    <col min="12810" max="12813" width="11.28515625" style="1057" customWidth="1"/>
    <col min="12814" max="12814" width="9.85546875" style="1057" bestFit="1" customWidth="1"/>
    <col min="12815" max="12815" width="9.140625" style="1057"/>
    <col min="12816" max="12816" width="1.5703125" style="1057" customWidth="1"/>
    <col min="12817" max="12817" width="15.140625" style="1057" customWidth="1"/>
    <col min="12818" max="12818" width="12.5703125" style="1057" customWidth="1"/>
    <col min="12819" max="12819" width="12.28515625" style="1057" customWidth="1"/>
    <col min="12820" max="12820" width="11.85546875" style="1057" customWidth="1"/>
    <col min="12821" max="13060" width="9.140625" style="1057"/>
    <col min="13061" max="13061" width="23.5703125" style="1057" customWidth="1"/>
    <col min="13062" max="13062" width="11.85546875" style="1057" customWidth="1"/>
    <col min="13063" max="13063" width="12.140625" style="1057" customWidth="1"/>
    <col min="13064" max="13064" width="13.7109375" style="1057" customWidth="1"/>
    <col min="13065" max="13065" width="10.5703125" style="1057" customWidth="1"/>
    <col min="13066" max="13069" width="11.28515625" style="1057" customWidth="1"/>
    <col min="13070" max="13070" width="9.85546875" style="1057" bestFit="1" customWidth="1"/>
    <col min="13071" max="13071" width="9.140625" style="1057"/>
    <col min="13072" max="13072" width="1.5703125" style="1057" customWidth="1"/>
    <col min="13073" max="13073" width="15.140625" style="1057" customWidth="1"/>
    <col min="13074" max="13074" width="12.5703125" style="1057" customWidth="1"/>
    <col min="13075" max="13075" width="12.28515625" style="1057" customWidth="1"/>
    <col min="13076" max="13076" width="11.85546875" style="1057" customWidth="1"/>
    <col min="13077" max="13316" width="9.140625" style="1057"/>
    <col min="13317" max="13317" width="23.5703125" style="1057" customWidth="1"/>
    <col min="13318" max="13318" width="11.85546875" style="1057" customWidth="1"/>
    <col min="13319" max="13319" width="12.140625" style="1057" customWidth="1"/>
    <col min="13320" max="13320" width="13.7109375" style="1057" customWidth="1"/>
    <col min="13321" max="13321" width="10.5703125" style="1057" customWidth="1"/>
    <col min="13322" max="13325" width="11.28515625" style="1057" customWidth="1"/>
    <col min="13326" max="13326" width="9.85546875" style="1057" bestFit="1" customWidth="1"/>
    <col min="13327" max="13327" width="9.140625" style="1057"/>
    <col min="13328" max="13328" width="1.5703125" style="1057" customWidth="1"/>
    <col min="13329" max="13329" width="15.140625" style="1057" customWidth="1"/>
    <col min="13330" max="13330" width="12.5703125" style="1057" customWidth="1"/>
    <col min="13331" max="13331" width="12.28515625" style="1057" customWidth="1"/>
    <col min="13332" max="13332" width="11.85546875" style="1057" customWidth="1"/>
    <col min="13333" max="13572" width="9.140625" style="1057"/>
    <col min="13573" max="13573" width="23.5703125" style="1057" customWidth="1"/>
    <col min="13574" max="13574" width="11.85546875" style="1057" customWidth="1"/>
    <col min="13575" max="13575" width="12.140625" style="1057" customWidth="1"/>
    <col min="13576" max="13576" width="13.7109375" style="1057" customWidth="1"/>
    <col min="13577" max="13577" width="10.5703125" style="1057" customWidth="1"/>
    <col min="13578" max="13581" width="11.28515625" style="1057" customWidth="1"/>
    <col min="13582" max="13582" width="9.85546875" style="1057" bestFit="1" customWidth="1"/>
    <col min="13583" max="13583" width="9.140625" style="1057"/>
    <col min="13584" max="13584" width="1.5703125" style="1057" customWidth="1"/>
    <col min="13585" max="13585" width="15.140625" style="1057" customWidth="1"/>
    <col min="13586" max="13586" width="12.5703125" style="1057" customWidth="1"/>
    <col min="13587" max="13587" width="12.28515625" style="1057" customWidth="1"/>
    <col min="13588" max="13588" width="11.85546875" style="1057" customWidth="1"/>
    <col min="13589" max="13828" width="9.140625" style="1057"/>
    <col min="13829" max="13829" width="23.5703125" style="1057" customWidth="1"/>
    <col min="13830" max="13830" width="11.85546875" style="1057" customWidth="1"/>
    <col min="13831" max="13831" width="12.140625" style="1057" customWidth="1"/>
    <col min="13832" max="13832" width="13.7109375" style="1057" customWidth="1"/>
    <col min="13833" max="13833" width="10.5703125" style="1057" customWidth="1"/>
    <col min="13834" max="13837" width="11.28515625" style="1057" customWidth="1"/>
    <col min="13838" max="13838" width="9.85546875" style="1057" bestFit="1" customWidth="1"/>
    <col min="13839" max="13839" width="9.140625" style="1057"/>
    <col min="13840" max="13840" width="1.5703125" style="1057" customWidth="1"/>
    <col min="13841" max="13841" width="15.140625" style="1057" customWidth="1"/>
    <col min="13842" max="13842" width="12.5703125" style="1057" customWidth="1"/>
    <col min="13843" max="13843" width="12.28515625" style="1057" customWidth="1"/>
    <col min="13844" max="13844" width="11.85546875" style="1057" customWidth="1"/>
    <col min="13845" max="14084" width="9.140625" style="1057"/>
    <col min="14085" max="14085" width="23.5703125" style="1057" customWidth="1"/>
    <col min="14086" max="14086" width="11.85546875" style="1057" customWidth="1"/>
    <col min="14087" max="14087" width="12.140625" style="1057" customWidth="1"/>
    <col min="14088" max="14088" width="13.7109375" style="1057" customWidth="1"/>
    <col min="14089" max="14089" width="10.5703125" style="1057" customWidth="1"/>
    <col min="14090" max="14093" width="11.28515625" style="1057" customWidth="1"/>
    <col min="14094" max="14094" width="9.85546875" style="1057" bestFit="1" customWidth="1"/>
    <col min="14095" max="14095" width="9.140625" style="1057"/>
    <col min="14096" max="14096" width="1.5703125" style="1057" customWidth="1"/>
    <col min="14097" max="14097" width="15.140625" style="1057" customWidth="1"/>
    <col min="14098" max="14098" width="12.5703125" style="1057" customWidth="1"/>
    <col min="14099" max="14099" width="12.28515625" style="1057" customWidth="1"/>
    <col min="14100" max="14100" width="11.85546875" style="1057" customWidth="1"/>
    <col min="14101" max="14340" width="9.140625" style="1057"/>
    <col min="14341" max="14341" width="23.5703125" style="1057" customWidth="1"/>
    <col min="14342" max="14342" width="11.85546875" style="1057" customWidth="1"/>
    <col min="14343" max="14343" width="12.140625" style="1057" customWidth="1"/>
    <col min="14344" max="14344" width="13.7109375" style="1057" customWidth="1"/>
    <col min="14345" max="14345" width="10.5703125" style="1057" customWidth="1"/>
    <col min="14346" max="14349" width="11.28515625" style="1057" customWidth="1"/>
    <col min="14350" max="14350" width="9.85546875" style="1057" bestFit="1" customWidth="1"/>
    <col min="14351" max="14351" width="9.140625" style="1057"/>
    <col min="14352" max="14352" width="1.5703125" style="1057" customWidth="1"/>
    <col min="14353" max="14353" width="15.140625" style="1057" customWidth="1"/>
    <col min="14354" max="14354" width="12.5703125" style="1057" customWidth="1"/>
    <col min="14355" max="14355" width="12.28515625" style="1057" customWidth="1"/>
    <col min="14356" max="14356" width="11.85546875" style="1057" customWidth="1"/>
    <col min="14357" max="14596" width="9.140625" style="1057"/>
    <col min="14597" max="14597" width="23.5703125" style="1057" customWidth="1"/>
    <col min="14598" max="14598" width="11.85546875" style="1057" customWidth="1"/>
    <col min="14599" max="14599" width="12.140625" style="1057" customWidth="1"/>
    <col min="14600" max="14600" width="13.7109375" style="1057" customWidth="1"/>
    <col min="14601" max="14601" width="10.5703125" style="1057" customWidth="1"/>
    <col min="14602" max="14605" width="11.28515625" style="1057" customWidth="1"/>
    <col min="14606" max="14606" width="9.85546875" style="1057" bestFit="1" customWidth="1"/>
    <col min="14607" max="14607" width="9.140625" style="1057"/>
    <col min="14608" max="14608" width="1.5703125" style="1057" customWidth="1"/>
    <col min="14609" max="14609" width="15.140625" style="1057" customWidth="1"/>
    <col min="14610" max="14610" width="12.5703125" style="1057" customWidth="1"/>
    <col min="14611" max="14611" width="12.28515625" style="1057" customWidth="1"/>
    <col min="14612" max="14612" width="11.85546875" style="1057" customWidth="1"/>
    <col min="14613" max="14852" width="9.140625" style="1057"/>
    <col min="14853" max="14853" width="23.5703125" style="1057" customWidth="1"/>
    <col min="14854" max="14854" width="11.85546875" style="1057" customWidth="1"/>
    <col min="14855" max="14855" width="12.140625" style="1057" customWidth="1"/>
    <col min="14856" max="14856" width="13.7109375" style="1057" customWidth="1"/>
    <col min="14857" max="14857" width="10.5703125" style="1057" customWidth="1"/>
    <col min="14858" max="14861" width="11.28515625" style="1057" customWidth="1"/>
    <col min="14862" max="14862" width="9.85546875" style="1057" bestFit="1" customWidth="1"/>
    <col min="14863" max="14863" width="9.140625" style="1057"/>
    <col min="14864" max="14864" width="1.5703125" style="1057" customWidth="1"/>
    <col min="14865" max="14865" width="15.140625" style="1057" customWidth="1"/>
    <col min="14866" max="14866" width="12.5703125" style="1057" customWidth="1"/>
    <col min="14867" max="14867" width="12.28515625" style="1057" customWidth="1"/>
    <col min="14868" max="14868" width="11.85546875" style="1057" customWidth="1"/>
    <col min="14869" max="15108" width="9.140625" style="1057"/>
    <col min="15109" max="15109" width="23.5703125" style="1057" customWidth="1"/>
    <col min="15110" max="15110" width="11.85546875" style="1057" customWidth="1"/>
    <col min="15111" max="15111" width="12.140625" style="1057" customWidth="1"/>
    <col min="15112" max="15112" width="13.7109375" style="1057" customWidth="1"/>
    <col min="15113" max="15113" width="10.5703125" style="1057" customWidth="1"/>
    <col min="15114" max="15117" width="11.28515625" style="1057" customWidth="1"/>
    <col min="15118" max="15118" width="9.85546875" style="1057" bestFit="1" customWidth="1"/>
    <col min="15119" max="15119" width="9.140625" style="1057"/>
    <col min="15120" max="15120" width="1.5703125" style="1057" customWidth="1"/>
    <col min="15121" max="15121" width="15.140625" style="1057" customWidth="1"/>
    <col min="15122" max="15122" width="12.5703125" style="1057" customWidth="1"/>
    <col min="15123" max="15123" width="12.28515625" style="1057" customWidth="1"/>
    <col min="15124" max="15124" width="11.85546875" style="1057" customWidth="1"/>
    <col min="15125" max="15364" width="9.140625" style="1057"/>
    <col min="15365" max="15365" width="23.5703125" style="1057" customWidth="1"/>
    <col min="15366" max="15366" width="11.85546875" style="1057" customWidth="1"/>
    <col min="15367" max="15367" width="12.140625" style="1057" customWidth="1"/>
    <col min="15368" max="15368" width="13.7109375" style="1057" customWidth="1"/>
    <col min="15369" max="15369" width="10.5703125" style="1057" customWidth="1"/>
    <col min="15370" max="15373" width="11.28515625" style="1057" customWidth="1"/>
    <col min="15374" max="15374" width="9.85546875" style="1057" bestFit="1" customWidth="1"/>
    <col min="15375" max="15375" width="9.140625" style="1057"/>
    <col min="15376" max="15376" width="1.5703125" style="1057" customWidth="1"/>
    <col min="15377" max="15377" width="15.140625" style="1057" customWidth="1"/>
    <col min="15378" max="15378" width="12.5703125" style="1057" customWidth="1"/>
    <col min="15379" max="15379" width="12.28515625" style="1057" customWidth="1"/>
    <col min="15380" max="15380" width="11.85546875" style="1057" customWidth="1"/>
    <col min="15381" max="15620" width="9.140625" style="1057"/>
    <col min="15621" max="15621" width="23.5703125" style="1057" customWidth="1"/>
    <col min="15622" max="15622" width="11.85546875" style="1057" customWidth="1"/>
    <col min="15623" max="15623" width="12.140625" style="1057" customWidth="1"/>
    <col min="15624" max="15624" width="13.7109375" style="1057" customWidth="1"/>
    <col min="15625" max="15625" width="10.5703125" style="1057" customWidth="1"/>
    <col min="15626" max="15629" width="11.28515625" style="1057" customWidth="1"/>
    <col min="15630" max="15630" width="9.85546875" style="1057" bestFit="1" customWidth="1"/>
    <col min="15631" max="15631" width="9.140625" style="1057"/>
    <col min="15632" max="15632" width="1.5703125" style="1057" customWidth="1"/>
    <col min="15633" max="15633" width="15.140625" style="1057" customWidth="1"/>
    <col min="15634" max="15634" width="12.5703125" style="1057" customWidth="1"/>
    <col min="15635" max="15635" width="12.28515625" style="1057" customWidth="1"/>
    <col min="15636" max="15636" width="11.85546875" style="1057" customWidth="1"/>
    <col min="15637" max="15876" width="9.140625" style="1057"/>
    <col min="15877" max="15877" width="23.5703125" style="1057" customWidth="1"/>
    <col min="15878" max="15878" width="11.85546875" style="1057" customWidth="1"/>
    <col min="15879" max="15879" width="12.140625" style="1057" customWidth="1"/>
    <col min="15880" max="15880" width="13.7109375" style="1057" customWidth="1"/>
    <col min="15881" max="15881" width="10.5703125" style="1057" customWidth="1"/>
    <col min="15882" max="15885" width="11.28515625" style="1057" customWidth="1"/>
    <col min="15886" max="15886" width="9.85546875" style="1057" bestFit="1" customWidth="1"/>
    <col min="15887" max="15887" width="9.140625" style="1057"/>
    <col min="15888" max="15888" width="1.5703125" style="1057" customWidth="1"/>
    <col min="15889" max="15889" width="15.140625" style="1057" customWidth="1"/>
    <col min="15890" max="15890" width="12.5703125" style="1057" customWidth="1"/>
    <col min="15891" max="15891" width="12.28515625" style="1057" customWidth="1"/>
    <col min="15892" max="15892" width="11.85546875" style="1057" customWidth="1"/>
    <col min="15893" max="16132" width="9.140625" style="1057"/>
    <col min="16133" max="16133" width="23.5703125" style="1057" customWidth="1"/>
    <col min="16134" max="16134" width="11.85546875" style="1057" customWidth="1"/>
    <col min="16135" max="16135" width="12.140625" style="1057" customWidth="1"/>
    <col min="16136" max="16136" width="13.7109375" style="1057" customWidth="1"/>
    <col min="16137" max="16137" width="10.5703125" style="1057" customWidth="1"/>
    <col min="16138" max="16141" width="11.28515625" style="1057" customWidth="1"/>
    <col min="16142" max="16142" width="9.85546875" style="1057" bestFit="1" customWidth="1"/>
    <col min="16143" max="16143" width="9.140625" style="1057"/>
    <col min="16144" max="16144" width="1.5703125" style="1057" customWidth="1"/>
    <col min="16145" max="16145" width="15.140625" style="1057" customWidth="1"/>
    <col min="16146" max="16146" width="12.5703125" style="1057" customWidth="1"/>
    <col min="16147" max="16147" width="12.28515625" style="1057" customWidth="1"/>
    <col min="16148" max="16148" width="11.85546875" style="1057" customWidth="1"/>
    <col min="16149" max="16384" width="9.140625" style="1057"/>
  </cols>
  <sheetData>
    <row r="1" spans="1:46">
      <c r="A1" s="1058" t="s">
        <v>1456</v>
      </c>
    </row>
    <row r="2" spans="1:46">
      <c r="A2" s="1058" t="s">
        <v>122</v>
      </c>
    </row>
    <row r="3" spans="1:46">
      <c r="A3" s="1058" t="s">
        <v>1457</v>
      </c>
      <c r="D3" s="1060"/>
      <c r="E3" s="1060"/>
      <c r="F3" s="1060"/>
      <c r="G3" s="1060"/>
      <c r="H3" s="1060"/>
    </row>
    <row r="4" spans="1:46">
      <c r="B4" s="1062"/>
      <c r="C4" s="1063"/>
      <c r="D4" s="1063"/>
      <c r="E4" s="1063"/>
      <c r="F4" s="1064" t="s">
        <v>544</v>
      </c>
      <c r="G4" s="1063"/>
      <c r="H4" s="1063"/>
      <c r="I4" s="1063"/>
      <c r="J4" s="1063"/>
      <c r="K4" s="1063"/>
      <c r="L4" s="1063"/>
      <c r="M4" s="1063"/>
      <c r="N4" s="1063"/>
      <c r="O4" s="1063"/>
    </row>
    <row r="5" spans="1:46">
      <c r="B5" s="1062"/>
      <c r="C5" s="1060"/>
      <c r="D5" s="1063" t="s">
        <v>1458</v>
      </c>
      <c r="E5" s="1063" t="s">
        <v>1458</v>
      </c>
      <c r="F5" s="1064" t="s">
        <v>1459</v>
      </c>
      <c r="G5" s="1063" t="s">
        <v>1459</v>
      </c>
      <c r="H5" s="1063"/>
      <c r="I5" s="1063" t="s">
        <v>1476</v>
      </c>
      <c r="J5" s="1063" t="s">
        <v>242</v>
      </c>
      <c r="K5" s="1063" t="s">
        <v>1</v>
      </c>
      <c r="L5" s="1063"/>
      <c r="M5" s="1063" t="s">
        <v>1476</v>
      </c>
      <c r="N5" s="1063" t="s">
        <v>242</v>
      </c>
      <c r="O5" s="1063" t="s">
        <v>1</v>
      </c>
      <c r="R5" s="1065"/>
    </row>
    <row r="6" spans="1:46">
      <c r="B6" s="1062" t="s">
        <v>546</v>
      </c>
      <c r="C6" s="1063" t="s">
        <v>1460</v>
      </c>
      <c r="D6" s="1063" t="s">
        <v>615</v>
      </c>
      <c r="E6" s="1063" t="s">
        <v>1461</v>
      </c>
      <c r="F6" s="1064" t="s">
        <v>615</v>
      </c>
      <c r="G6" s="1063" t="s">
        <v>1461</v>
      </c>
      <c r="H6" s="1063"/>
      <c r="I6" s="1063" t="s">
        <v>374</v>
      </c>
      <c r="J6" s="1063" t="s">
        <v>374</v>
      </c>
      <c r="K6" s="1063" t="s">
        <v>374</v>
      </c>
      <c r="L6" s="1063"/>
      <c r="M6" s="1063" t="s">
        <v>375</v>
      </c>
      <c r="N6" s="1063" t="s">
        <v>375</v>
      </c>
      <c r="O6" s="1063" t="s">
        <v>375</v>
      </c>
      <c r="R6" s="1065"/>
      <c r="S6" s="1065"/>
      <c r="T6" s="1065"/>
    </row>
    <row r="7" spans="1:46">
      <c r="B7" s="1058" t="s">
        <v>127</v>
      </c>
      <c r="F7" s="1066"/>
      <c r="R7" s="1065"/>
    </row>
    <row r="8" spans="1:46">
      <c r="A8" s="1067">
        <v>31100</v>
      </c>
      <c r="B8" s="1068" t="s">
        <v>1462</v>
      </c>
      <c r="C8" s="1069">
        <f>'Consolidated IS'!C8</f>
        <v>380392.66</v>
      </c>
      <c r="D8" s="1069">
        <f>'Consolidated IS'!D8</f>
        <v>-117.40000000025611</v>
      </c>
      <c r="E8" s="1069">
        <f>C8+D8</f>
        <v>380275.25999999972</v>
      </c>
      <c r="F8" s="1069"/>
      <c r="G8" s="1069">
        <f>E8+F8</f>
        <v>380275.25999999972</v>
      </c>
      <c r="H8" s="1069"/>
      <c r="I8" s="1069">
        <f>'Consolidated IS'!K8</f>
        <v>345506.96999999974</v>
      </c>
      <c r="J8" s="1069">
        <f>'G-48 Price Out'!N41</f>
        <v>73978.555683858984</v>
      </c>
      <c r="K8" s="1069">
        <f>I8+J8</f>
        <v>419485.52568385872</v>
      </c>
      <c r="L8" s="1069"/>
      <c r="M8" s="1069">
        <f>'Consolidated IS'!L8</f>
        <v>34768.29</v>
      </c>
      <c r="N8" s="1070">
        <f>'G-51 Price Out'!I41</f>
        <v>132.25151808059101</v>
      </c>
      <c r="O8" s="1070">
        <f>M8+N8</f>
        <v>34900.541518080594</v>
      </c>
      <c r="R8" s="107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row>
    <row r="9" spans="1:46" s="1061" customFormat="1">
      <c r="A9" s="1067">
        <v>31200</v>
      </c>
      <c r="B9" s="1068" t="s">
        <v>638</v>
      </c>
      <c r="C9" s="1069">
        <f>'Consolidated IS'!C9</f>
        <v>402697.34000000008</v>
      </c>
      <c r="D9" s="1069">
        <f>'Consolidated IS'!D9</f>
        <v>-6840.6499999999069</v>
      </c>
      <c r="E9" s="1069">
        <f t="shared" ref="E9:E13" si="0">C9+D9</f>
        <v>395856.69000000018</v>
      </c>
      <c r="F9" s="1069"/>
      <c r="G9" s="1069">
        <f t="shared" ref="G9:G13" si="1">E9+F9</f>
        <v>395856.69000000018</v>
      </c>
      <c r="H9" s="1069"/>
      <c r="I9" s="1069">
        <f>'Consolidated IS'!K9</f>
        <v>348151.18000000017</v>
      </c>
      <c r="J9" s="1069">
        <f>'G-48 Price Out'!N116</f>
        <v>69147.256324830101</v>
      </c>
      <c r="K9" s="1069">
        <f t="shared" ref="K9:K13" si="2">I9+J9</f>
        <v>417298.43632483028</v>
      </c>
      <c r="L9" s="1069"/>
      <c r="M9" s="1069">
        <f>'Consolidated IS'!L9</f>
        <v>47705.509999999987</v>
      </c>
      <c r="N9" s="1070">
        <f>'G-51 Price Out'!I81</f>
        <v>189.0098966043027</v>
      </c>
      <c r="O9" s="1070">
        <f t="shared" ref="O9:O13" si="3">M9+N9</f>
        <v>47894.519896604288</v>
      </c>
      <c r="P9" s="1059"/>
      <c r="Q9" s="1072"/>
    </row>
    <row r="10" spans="1:46">
      <c r="A10" s="1067">
        <v>31300</v>
      </c>
      <c r="B10" s="1068" t="s">
        <v>592</v>
      </c>
      <c r="C10" s="1069">
        <f>'Consolidated IS'!C10</f>
        <v>116194.46</v>
      </c>
      <c r="D10" s="1069">
        <f>'Consolidated IS'!D10</f>
        <v>-361.60000000002037</v>
      </c>
      <c r="E10" s="1069">
        <f t="shared" si="0"/>
        <v>115832.85999999999</v>
      </c>
      <c r="F10" s="1069"/>
      <c r="G10" s="1069">
        <f t="shared" si="1"/>
        <v>115832.85999999999</v>
      </c>
      <c r="H10" s="1069"/>
      <c r="I10" s="1069">
        <f>'Consolidated IS'!K10</f>
        <v>100945.43999999999</v>
      </c>
      <c r="J10" s="1069">
        <f>'G-48 Price Out'!N135</f>
        <v>21271.826147051401</v>
      </c>
      <c r="K10" s="1069">
        <f t="shared" si="2"/>
        <v>122217.26614705138</v>
      </c>
      <c r="L10" s="1069"/>
      <c r="M10" s="1069">
        <f>'Consolidated IS'!L10</f>
        <v>14887.420000000004</v>
      </c>
      <c r="N10" s="1070">
        <f>'G-51 Price Out'!I96</f>
        <v>59.099092278764644</v>
      </c>
      <c r="O10" s="1070">
        <f t="shared" si="3"/>
        <v>14946.519092278768</v>
      </c>
      <c r="R10" s="1073"/>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row>
    <row r="11" spans="1:46">
      <c r="A11" s="1067">
        <v>31330</v>
      </c>
      <c r="B11" s="1068" t="s">
        <v>132</v>
      </c>
      <c r="C11" s="1069">
        <f>'Consolidated IS'!C11</f>
        <v>95797.75</v>
      </c>
      <c r="D11" s="1069">
        <f>'Consolidated IS'!D11</f>
        <v>-635.68999999998778</v>
      </c>
      <c r="E11" s="1069">
        <f t="shared" si="0"/>
        <v>95162.060000000012</v>
      </c>
      <c r="F11" s="1069"/>
      <c r="G11" s="1069">
        <f t="shared" si="1"/>
        <v>95162.060000000012</v>
      </c>
      <c r="H11" s="1069"/>
      <c r="I11" s="1069">
        <f>'Consolidated IS'!K11</f>
        <v>89925.7221021898</v>
      </c>
      <c r="J11" s="1069">
        <f>'Pro Forma Adj'!D12</f>
        <v>1890.3621021897816</v>
      </c>
      <c r="K11" s="1069">
        <f t="shared" si="2"/>
        <v>91816.084204379586</v>
      </c>
      <c r="L11" s="1069"/>
      <c r="M11" s="1069">
        <f>'Consolidated IS'!L11</f>
        <v>7126.7</v>
      </c>
      <c r="N11" s="1070"/>
      <c r="O11" s="1070">
        <f t="shared" si="3"/>
        <v>7126.7</v>
      </c>
      <c r="R11" s="1055"/>
      <c r="S11" s="1074"/>
      <c r="T11" s="1075"/>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row>
    <row r="12" spans="1:46">
      <c r="A12" s="1067">
        <v>38000</v>
      </c>
      <c r="B12" s="1068" t="s">
        <v>1463</v>
      </c>
      <c r="C12" s="1069">
        <f>'Consolidated IS'!C12</f>
        <v>7131.1299999999992</v>
      </c>
      <c r="D12" s="1069">
        <f>'Consolidated IS'!D12</f>
        <v>-1909.099999999999</v>
      </c>
      <c r="E12" s="1069">
        <f t="shared" si="0"/>
        <v>5222.0300000000007</v>
      </c>
      <c r="F12" s="1069"/>
      <c r="G12" s="1069">
        <f t="shared" si="1"/>
        <v>5222.0300000000007</v>
      </c>
      <c r="H12" s="1069"/>
      <c r="I12" s="1069">
        <f>'Consolidated IS'!K12</f>
        <v>4805.2800000000007</v>
      </c>
      <c r="J12" s="1069"/>
      <c r="K12" s="1069">
        <f t="shared" si="2"/>
        <v>4805.2800000000007</v>
      </c>
      <c r="L12" s="1069"/>
      <c r="M12" s="1069">
        <f>'Consolidated IS'!L12</f>
        <v>416.75</v>
      </c>
      <c r="N12" s="1070"/>
      <c r="O12" s="1070">
        <f t="shared" si="3"/>
        <v>416.75</v>
      </c>
      <c r="Q12" s="1072"/>
      <c r="R12" s="1073"/>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row>
    <row r="13" spans="1:46">
      <c r="A13" s="1067">
        <v>38001</v>
      </c>
      <c r="B13" s="1068" t="s">
        <v>1464</v>
      </c>
      <c r="C13" s="1090">
        <f>'Consolidated IS'!C13</f>
        <v>277.14999999999998</v>
      </c>
      <c r="D13" s="1090">
        <f>'Consolidated IS'!D13</f>
        <v>-277.14999999999998</v>
      </c>
      <c r="E13" s="1090">
        <f t="shared" si="0"/>
        <v>0</v>
      </c>
      <c r="F13" s="1090"/>
      <c r="G13" s="1090">
        <f t="shared" si="1"/>
        <v>0</v>
      </c>
      <c r="H13" s="1090"/>
      <c r="I13" s="1090">
        <f>'Consolidated IS'!K13</f>
        <v>0</v>
      </c>
      <c r="J13" s="1090"/>
      <c r="K13" s="1090">
        <f t="shared" si="2"/>
        <v>0</v>
      </c>
      <c r="L13" s="1090"/>
      <c r="M13" s="1090">
        <f>'Consolidated IS'!L13</f>
        <v>0</v>
      </c>
      <c r="N13" s="1091"/>
      <c r="O13" s="1091">
        <f t="shared" si="3"/>
        <v>0</v>
      </c>
      <c r="R13" s="1073"/>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row>
    <row r="14" spans="1:46" s="1058" customFormat="1">
      <c r="A14" s="1067"/>
      <c r="B14" s="1076" t="s">
        <v>1</v>
      </c>
      <c r="C14" s="1056">
        <f>SUM(C8:C13)</f>
        <v>1002490.49</v>
      </c>
      <c r="D14" s="1056">
        <f t="shared" ref="D14:G14" si="4">SUM(D8:D13)</f>
        <v>-10141.590000000169</v>
      </c>
      <c r="E14" s="1056">
        <f t="shared" si="4"/>
        <v>992348.9</v>
      </c>
      <c r="F14" s="1056">
        <f t="shared" si="4"/>
        <v>0</v>
      </c>
      <c r="G14" s="1056">
        <f t="shared" si="4"/>
        <v>992348.9</v>
      </c>
      <c r="H14" s="1056"/>
      <c r="I14" s="1056">
        <f t="shared" ref="I14" si="5">SUM(I8:I13)</f>
        <v>889334.59210218966</v>
      </c>
      <c r="J14" s="1056">
        <f t="shared" ref="J14" si="6">SUM(J8:J13)</f>
        <v>166288.00025793028</v>
      </c>
      <c r="K14" s="1056">
        <f t="shared" ref="K14" si="7">SUM(K8:K13)</f>
        <v>1055622.59236012</v>
      </c>
      <c r="L14" s="1056"/>
      <c r="M14" s="1056">
        <f t="shared" ref="M14" si="8">SUM(M8:M13)</f>
        <v>104904.66999999998</v>
      </c>
      <c r="N14" s="1056">
        <f t="shared" ref="N14" si="9">SUM(N8:N13)</f>
        <v>380.36050696365834</v>
      </c>
      <c r="O14" s="1056">
        <f t="shared" ref="O14" si="10">SUM(O8:O13)</f>
        <v>105285.03050696365</v>
      </c>
      <c r="P14" s="1077"/>
      <c r="Q14" s="1078"/>
      <c r="R14" s="1074"/>
      <c r="S14" s="1074"/>
      <c r="T14" s="1075"/>
      <c r="U14" s="1079"/>
      <c r="V14" s="1079"/>
      <c r="W14" s="1079"/>
      <c r="X14" s="1079"/>
      <c r="Y14" s="1079"/>
      <c r="Z14" s="1079"/>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row>
    <row r="15" spans="1:46">
      <c r="A15" s="1067"/>
      <c r="B15" s="1068"/>
      <c r="C15" s="1080"/>
      <c r="D15" s="1080"/>
      <c r="E15" s="1080"/>
      <c r="F15" s="1080"/>
      <c r="G15" s="1080"/>
      <c r="H15" s="1080"/>
      <c r="I15" s="1080"/>
      <c r="J15" s="1080"/>
      <c r="K15" s="1080"/>
      <c r="L15" s="1080"/>
      <c r="M15" s="1080"/>
      <c r="N15" s="1081"/>
      <c r="O15" s="1081"/>
      <c r="R15" s="1074"/>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row>
    <row r="16" spans="1:46">
      <c r="A16" s="1067"/>
      <c r="B16" s="1068"/>
      <c r="C16" s="1056"/>
      <c r="D16" s="1056"/>
      <c r="E16" s="1056"/>
      <c r="F16" s="1056"/>
      <c r="G16" s="1056"/>
      <c r="H16" s="1056"/>
      <c r="I16" s="1056"/>
      <c r="J16" s="1056"/>
      <c r="K16" s="1056"/>
      <c r="L16" s="1056"/>
      <c r="M16" s="1056"/>
      <c r="N16" s="1082"/>
      <c r="O16" s="1082"/>
      <c r="R16" s="1055"/>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row>
    <row r="17" spans="1:46">
      <c r="A17" s="1081"/>
      <c r="B17" s="1083" t="s">
        <v>134</v>
      </c>
      <c r="C17" s="1080"/>
      <c r="D17" s="1080"/>
      <c r="E17" s="1080"/>
      <c r="F17" s="1080"/>
      <c r="G17" s="1080"/>
      <c r="H17" s="1080"/>
      <c r="I17" s="1080"/>
      <c r="J17" s="1080"/>
      <c r="K17" s="1080"/>
      <c r="L17" s="1080"/>
      <c r="M17" s="1080"/>
      <c r="N17" s="1081"/>
      <c r="O17" s="108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row>
    <row r="18" spans="1:46">
      <c r="A18" s="1068">
        <v>41200</v>
      </c>
      <c r="B18" s="1084" t="s">
        <v>136</v>
      </c>
      <c r="C18" s="1080">
        <f>'Consolidated IS'!C20</f>
        <v>508.37</v>
      </c>
      <c r="D18" s="1080">
        <f>'Consolidated IS'!D20</f>
        <v>0</v>
      </c>
      <c r="E18" s="1069">
        <f t="shared" ref="E18:E57" si="11">C18+D18</f>
        <v>508.37</v>
      </c>
      <c r="F18" s="1080">
        <f>'Consolidated IS'!G20</f>
        <v>0</v>
      </c>
      <c r="G18" s="1069">
        <f t="shared" ref="G18:G57" si="12">E18+F18</f>
        <v>508.37</v>
      </c>
      <c r="H18" s="1080"/>
      <c r="I18" s="1080">
        <f>'Consolidated IS'!K20</f>
        <v>451.6084468239942</v>
      </c>
      <c r="J18" s="1080"/>
      <c r="K18" s="1069">
        <f t="shared" ref="K18:K57" si="13">I18+J18</f>
        <v>451.6084468239942</v>
      </c>
      <c r="L18" s="1069"/>
      <c r="M18" s="1080">
        <f>G18-I18</f>
        <v>56.761553176005805</v>
      </c>
      <c r="N18" s="1081"/>
      <c r="O18" s="1070">
        <f t="shared" ref="O18:O57" si="14">M18+N18</f>
        <v>56.761553176005805</v>
      </c>
      <c r="R18" s="1085"/>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row>
    <row r="19" spans="1:46">
      <c r="A19" s="1086">
        <v>41310</v>
      </c>
      <c r="B19" s="1084" t="s">
        <v>564</v>
      </c>
      <c r="C19" s="1080">
        <f>'Consolidated IS'!C28</f>
        <v>29791.74</v>
      </c>
      <c r="D19" s="1080">
        <f>'Consolidated IS'!D28</f>
        <v>85.769790410958919</v>
      </c>
      <c r="E19" s="1069">
        <f t="shared" si="11"/>
        <v>29877.509790410961</v>
      </c>
      <c r="F19" s="1080">
        <f>'Consolidated IS'!G28</f>
        <v>2005.6995000000002</v>
      </c>
      <c r="G19" s="1069">
        <f t="shared" si="12"/>
        <v>31883.20929041096</v>
      </c>
      <c r="H19" s="1080"/>
      <c r="I19" s="1080">
        <f>'Consolidated IS'!K28</f>
        <v>28323.320863557718</v>
      </c>
      <c r="J19" s="1080"/>
      <c r="K19" s="1069">
        <f t="shared" si="13"/>
        <v>28323.320863557718</v>
      </c>
      <c r="L19" s="1069"/>
      <c r="M19" s="1080">
        <f t="shared" ref="M19:M56" si="15">G19-I19</f>
        <v>3559.888426853242</v>
      </c>
      <c r="N19" s="1081"/>
      <c r="O19" s="1070">
        <f t="shared" si="14"/>
        <v>3559.888426853242</v>
      </c>
      <c r="R19" s="1055"/>
      <c r="T19" s="1055"/>
    </row>
    <row r="20" spans="1:46">
      <c r="A20" s="1086">
        <v>41320</v>
      </c>
      <c r="B20" s="1084" t="s">
        <v>565</v>
      </c>
      <c r="C20" s="1080">
        <f>'Consolidated IS'!C35</f>
        <v>26839.56</v>
      </c>
      <c r="D20" s="1080">
        <f>'Consolidated IS'!D35</f>
        <v>-2652.4800000000005</v>
      </c>
      <c r="E20" s="1069">
        <f t="shared" si="11"/>
        <v>24187.08</v>
      </c>
      <c r="F20" s="1080">
        <f>'Consolidated IS'!G35</f>
        <v>0</v>
      </c>
      <c r="G20" s="1069">
        <f t="shared" si="12"/>
        <v>24187.08</v>
      </c>
      <c r="H20" s="1080"/>
      <c r="I20" s="1080">
        <f>'Consolidated IS'!K35</f>
        <v>21486.495332155115</v>
      </c>
      <c r="J20" s="1080"/>
      <c r="K20" s="1069">
        <f t="shared" si="13"/>
        <v>21486.495332155115</v>
      </c>
      <c r="L20" s="1069"/>
      <c r="M20" s="1080">
        <f t="shared" si="15"/>
        <v>2700.584667844887</v>
      </c>
      <c r="N20" s="1081"/>
      <c r="O20" s="1070">
        <f t="shared" si="14"/>
        <v>2700.584667844887</v>
      </c>
      <c r="R20" s="1055"/>
      <c r="T20" s="1055"/>
    </row>
    <row r="21" spans="1:46">
      <c r="A21" s="1086">
        <v>41330</v>
      </c>
      <c r="B21" s="1084" t="s">
        <v>145</v>
      </c>
      <c r="C21" s="1080">
        <f>'Consolidated IS'!C38</f>
        <v>16243.57</v>
      </c>
      <c r="D21" s="1080">
        <f>'Consolidated IS'!D38</f>
        <v>0</v>
      </c>
      <c r="E21" s="1069">
        <f t="shared" si="11"/>
        <v>16243.57</v>
      </c>
      <c r="F21" s="1080">
        <f>'Consolidated IS'!G38</f>
        <v>0</v>
      </c>
      <c r="G21" s="1069">
        <f t="shared" si="12"/>
        <v>16243.57</v>
      </c>
      <c r="H21" s="1080"/>
      <c r="I21" s="1080">
        <f>'Consolidated IS'!K38</f>
        <v>14429.910141386839</v>
      </c>
      <c r="J21" s="1080"/>
      <c r="K21" s="1069">
        <f t="shared" si="13"/>
        <v>14429.910141386839</v>
      </c>
      <c r="L21" s="1069"/>
      <c r="M21" s="1080">
        <f t="shared" si="15"/>
        <v>1813.6598586131604</v>
      </c>
      <c r="N21" s="1081"/>
      <c r="O21" s="1070">
        <f t="shared" si="14"/>
        <v>1813.6598586131604</v>
      </c>
      <c r="R21" s="1087"/>
    </row>
    <row r="22" spans="1:46">
      <c r="A22" s="1086">
        <v>41340</v>
      </c>
      <c r="B22" s="1084" t="s">
        <v>147</v>
      </c>
      <c r="C22" s="1080">
        <f>'Consolidated IS'!C41</f>
        <v>901.07</v>
      </c>
      <c r="D22" s="1080">
        <f>'Consolidated IS'!D41</f>
        <v>0</v>
      </c>
      <c r="E22" s="1069">
        <f t="shared" si="11"/>
        <v>901.07</v>
      </c>
      <c r="F22" s="1080">
        <f>'Consolidated IS'!G41</f>
        <v>0</v>
      </c>
      <c r="G22" s="1069">
        <f t="shared" si="12"/>
        <v>901.07</v>
      </c>
      <c r="H22" s="1080"/>
      <c r="I22" s="1080">
        <f>'Consolidated IS'!K41</f>
        <v>800.4619139203661</v>
      </c>
      <c r="J22" s="1080"/>
      <c r="K22" s="1069">
        <f t="shared" si="13"/>
        <v>800.4619139203661</v>
      </c>
      <c r="L22" s="1069"/>
      <c r="M22" s="1080">
        <f t="shared" si="15"/>
        <v>100.60808607963395</v>
      </c>
      <c r="N22" s="1081"/>
      <c r="O22" s="1070">
        <f t="shared" si="14"/>
        <v>100.60808607963395</v>
      </c>
      <c r="R22" s="1087"/>
    </row>
    <row r="23" spans="1:46">
      <c r="A23" s="1086">
        <v>41600</v>
      </c>
      <c r="B23" s="1084" t="s">
        <v>567</v>
      </c>
      <c r="C23" s="1080">
        <f>'Consolidated IS'!C44</f>
        <v>14805.239999999998</v>
      </c>
      <c r="D23" s="1080">
        <f>'Consolidated IS'!D44</f>
        <v>0</v>
      </c>
      <c r="E23" s="1069">
        <f t="shared" si="11"/>
        <v>14805.239999999998</v>
      </c>
      <c r="F23" s="1080">
        <f>'Consolidated IS'!G44</f>
        <v>0</v>
      </c>
      <c r="G23" s="1069">
        <f t="shared" si="12"/>
        <v>14805.239999999998</v>
      </c>
      <c r="H23" s="1080"/>
      <c r="I23" s="1080">
        <f>'Consolidated IS'!K44</f>
        <v>13152.175465225075</v>
      </c>
      <c r="J23" s="1080"/>
      <c r="K23" s="1069">
        <f t="shared" si="13"/>
        <v>13152.175465225075</v>
      </c>
      <c r="L23" s="1069"/>
      <c r="M23" s="1080">
        <f t="shared" si="15"/>
        <v>1653.0645347749232</v>
      </c>
      <c r="N23" s="1081"/>
      <c r="O23" s="1070">
        <f t="shared" si="14"/>
        <v>1653.0645347749232</v>
      </c>
      <c r="R23" s="1055"/>
    </row>
    <row r="24" spans="1:46" s="1061" customFormat="1">
      <c r="A24" s="1086">
        <v>41800</v>
      </c>
      <c r="B24" s="1084" t="s">
        <v>568</v>
      </c>
      <c r="C24" s="1080">
        <f>'Consolidated IS'!C48</f>
        <v>7782.2500000000009</v>
      </c>
      <c r="D24" s="1080">
        <f>'Consolidated IS'!D48</f>
        <v>0</v>
      </c>
      <c r="E24" s="1069">
        <f t="shared" si="11"/>
        <v>7782.2500000000009</v>
      </c>
      <c r="F24" s="1080">
        <f>'Consolidated IS'!G48</f>
        <v>0</v>
      </c>
      <c r="G24" s="1069">
        <f t="shared" si="12"/>
        <v>7782.2500000000009</v>
      </c>
      <c r="H24" s="1080"/>
      <c r="I24" s="1080">
        <f>'Consolidated IS'!K48</f>
        <v>6913.3305177253369</v>
      </c>
      <c r="J24" s="1080"/>
      <c r="K24" s="1069">
        <f t="shared" si="13"/>
        <v>6913.3305177253369</v>
      </c>
      <c r="L24" s="1069"/>
      <c r="M24" s="1080">
        <f t="shared" si="15"/>
        <v>868.91948227466401</v>
      </c>
      <c r="N24" s="1081"/>
      <c r="O24" s="1070">
        <f t="shared" si="14"/>
        <v>868.91948227466401</v>
      </c>
      <c r="P24" s="1059"/>
      <c r="Q24" s="1060"/>
      <c r="R24" s="1088"/>
      <c r="S24" s="1055"/>
      <c r="T24" s="1075"/>
    </row>
    <row r="25" spans="1:46" s="1061" customFormat="1">
      <c r="A25" s="1086">
        <v>42100</v>
      </c>
      <c r="B25" s="1084" t="s">
        <v>153</v>
      </c>
      <c r="C25" s="1080">
        <f>'Consolidated IS'!C52</f>
        <v>66274.87</v>
      </c>
      <c r="D25" s="1080">
        <f>'Consolidated IS'!D52</f>
        <v>0</v>
      </c>
      <c r="E25" s="1069">
        <f t="shared" si="11"/>
        <v>66274.87</v>
      </c>
      <c r="F25" s="1080">
        <f>'Consolidated IS'!G52</f>
        <v>1639.0625</v>
      </c>
      <c r="G25" s="1069">
        <f t="shared" si="12"/>
        <v>67913.932499999995</v>
      </c>
      <c r="H25" s="1080"/>
      <c r="I25" s="1080">
        <f>'Consolidated IS'!K52</f>
        <v>60331.069052136401</v>
      </c>
      <c r="J25" s="1080"/>
      <c r="K25" s="1069">
        <f t="shared" si="13"/>
        <v>60331.069052136401</v>
      </c>
      <c r="L25" s="1069"/>
      <c r="M25" s="1080">
        <f t="shared" si="15"/>
        <v>7582.863447863594</v>
      </c>
      <c r="N25" s="1081"/>
      <c r="O25" s="1070">
        <f t="shared" si="14"/>
        <v>7582.863447863594</v>
      </c>
      <c r="P25" s="1059"/>
      <c r="Q25" s="1060"/>
    </row>
    <row r="26" spans="1:46" s="1061" customFormat="1">
      <c r="A26" s="1086">
        <v>42300</v>
      </c>
      <c r="B26" s="1084" t="s">
        <v>569</v>
      </c>
      <c r="C26" s="1080">
        <f>'Consolidated IS'!C60</f>
        <v>153283.60999999999</v>
      </c>
      <c r="D26" s="1080">
        <f>'Consolidated IS'!D60</f>
        <v>280.87252533698626</v>
      </c>
      <c r="E26" s="1069">
        <f t="shared" si="11"/>
        <v>153564.48252533696</v>
      </c>
      <c r="F26" s="1080">
        <f>'Consolidated IS'!G60</f>
        <v>579.74025000000006</v>
      </c>
      <c r="G26" s="1069">
        <f t="shared" si="12"/>
        <v>154144.22277533697</v>
      </c>
      <c r="H26" s="1080"/>
      <c r="I26" s="1080">
        <f>'Consolidated IS'!K60</f>
        <v>136933.40093723411</v>
      </c>
      <c r="J26" s="1080"/>
      <c r="K26" s="1069">
        <f t="shared" si="13"/>
        <v>136933.40093723411</v>
      </c>
      <c r="L26" s="1069"/>
      <c r="M26" s="1080">
        <f t="shared" si="15"/>
        <v>17210.821838102856</v>
      </c>
      <c r="N26" s="1081"/>
      <c r="O26" s="1070">
        <f t="shared" si="14"/>
        <v>17210.821838102856</v>
      </c>
      <c r="P26" s="1059"/>
      <c r="Q26" s="1078"/>
      <c r="R26" s="1055"/>
      <c r="S26" s="1055"/>
    </row>
    <row r="27" spans="1:46" s="1061" customFormat="1">
      <c r="A27" s="1086">
        <v>42315</v>
      </c>
      <c r="B27" s="1084" t="s">
        <v>149</v>
      </c>
      <c r="C27" s="1080">
        <f>'Consolidated IS'!C63</f>
        <v>2857.41</v>
      </c>
      <c r="D27" s="1080">
        <f>'Consolidated IS'!D63</f>
        <v>0</v>
      </c>
      <c r="E27" s="1069">
        <f t="shared" si="11"/>
        <v>2857.41</v>
      </c>
      <c r="F27" s="1080">
        <f>'Consolidated IS'!G63</f>
        <v>0</v>
      </c>
      <c r="G27" s="1069">
        <f t="shared" si="12"/>
        <v>2857.41</v>
      </c>
      <c r="H27" s="1080"/>
      <c r="I27" s="1080">
        <f>'Consolidated IS'!K63</f>
        <v>2538.3686921717435</v>
      </c>
      <c r="J27" s="1080"/>
      <c r="K27" s="1069">
        <f t="shared" si="13"/>
        <v>2538.3686921717435</v>
      </c>
      <c r="L27" s="1069"/>
      <c r="M27" s="1080">
        <f t="shared" si="15"/>
        <v>319.04130782825632</v>
      </c>
      <c r="N27" s="1081"/>
      <c r="O27" s="1070">
        <f t="shared" si="14"/>
        <v>319.04130782825632</v>
      </c>
      <c r="P27" s="1059"/>
      <c r="Q27" s="1060"/>
      <c r="R27" s="1055"/>
      <c r="S27" s="1055"/>
    </row>
    <row r="28" spans="1:46" s="1061" customFormat="1">
      <c r="A28" s="1086">
        <v>42400</v>
      </c>
      <c r="B28" s="1084" t="s">
        <v>570</v>
      </c>
      <c r="C28" s="1080">
        <f>'Consolidated IS'!C67</f>
        <v>51577.200000000004</v>
      </c>
      <c r="D28" s="1080">
        <f>'Consolidated IS'!D67</f>
        <v>0</v>
      </c>
      <c r="E28" s="1069">
        <f t="shared" si="11"/>
        <v>51577.200000000004</v>
      </c>
      <c r="F28" s="1080">
        <f>'Consolidated IS'!G67</f>
        <v>0</v>
      </c>
      <c r="G28" s="1069">
        <f t="shared" si="12"/>
        <v>51577.200000000004</v>
      </c>
      <c r="H28" s="1080"/>
      <c r="I28" s="1080">
        <f>'Consolidated IS'!K67</f>
        <v>45818.3983782098</v>
      </c>
      <c r="J28" s="1080"/>
      <c r="K28" s="1069">
        <f t="shared" si="13"/>
        <v>45818.3983782098</v>
      </c>
      <c r="L28" s="1069"/>
      <c r="M28" s="1080">
        <f t="shared" si="15"/>
        <v>5758.8016217902041</v>
      </c>
      <c r="N28" s="1081"/>
      <c r="O28" s="1070">
        <f t="shared" si="14"/>
        <v>5758.8016217902041</v>
      </c>
      <c r="P28" s="1059"/>
      <c r="Q28" s="1060"/>
      <c r="R28" s="1055"/>
      <c r="S28" s="1055"/>
    </row>
    <row r="29" spans="1:46" s="1061" customFormat="1">
      <c r="A29" s="1086">
        <v>42800</v>
      </c>
      <c r="B29" s="1084" t="s">
        <v>159</v>
      </c>
      <c r="C29" s="1080">
        <f>'Consolidated IS'!C73</f>
        <v>4688.7899999999991</v>
      </c>
      <c r="D29" s="1080">
        <f>'Consolidated IS'!D73</f>
        <v>-456.75</v>
      </c>
      <c r="E29" s="1069">
        <f t="shared" si="11"/>
        <v>4232.0399999999991</v>
      </c>
      <c r="F29" s="1080">
        <f>'Consolidated IS'!G73</f>
        <v>0</v>
      </c>
      <c r="G29" s="1069">
        <f t="shared" si="12"/>
        <v>4232.0399999999991</v>
      </c>
      <c r="H29" s="1080"/>
      <c r="I29" s="1080">
        <f>'Consolidated IS'!K73</f>
        <v>3759.5157292857884</v>
      </c>
      <c r="J29" s="1080"/>
      <c r="K29" s="1069">
        <f t="shared" si="13"/>
        <v>3759.5157292857884</v>
      </c>
      <c r="L29" s="1069"/>
      <c r="M29" s="1080">
        <f t="shared" si="15"/>
        <v>472.52427071421062</v>
      </c>
      <c r="N29" s="1081"/>
      <c r="O29" s="1070">
        <f t="shared" si="14"/>
        <v>472.52427071421062</v>
      </c>
      <c r="P29" s="1059"/>
      <c r="Q29" s="1060"/>
      <c r="R29" s="1055"/>
      <c r="S29" s="1055"/>
    </row>
    <row r="30" spans="1:46" s="1061" customFormat="1">
      <c r="A30" s="1086">
        <v>43600</v>
      </c>
      <c r="B30" s="1084" t="s">
        <v>1465</v>
      </c>
      <c r="C30" s="1080">
        <f>'Consolidated IS'!C77</f>
        <v>277222.21000000002</v>
      </c>
      <c r="D30" s="1080">
        <f>'Consolidated IS'!D77</f>
        <v>-635.68999999998778</v>
      </c>
      <c r="E30" s="1069">
        <f t="shared" si="11"/>
        <v>276586.52</v>
      </c>
      <c r="F30" s="1080">
        <f>'Consolidated IS'!G77</f>
        <v>5671.9055036496347</v>
      </c>
      <c r="G30" s="1069">
        <f t="shared" si="12"/>
        <v>282258.42550364963</v>
      </c>
      <c r="H30" s="1080"/>
      <c r="I30" s="1080">
        <f>'Consolidated IS'!K77</f>
        <v>272340.39050364966</v>
      </c>
      <c r="J30" s="1080"/>
      <c r="K30" s="1069">
        <f t="shared" si="13"/>
        <v>272340.39050364966</v>
      </c>
      <c r="L30" s="1069"/>
      <c r="M30" s="1080">
        <f t="shared" si="15"/>
        <v>9918.0349999999744</v>
      </c>
      <c r="N30" s="1081"/>
      <c r="O30" s="1070">
        <f t="shared" si="14"/>
        <v>9918.0349999999744</v>
      </c>
      <c r="P30" s="1059"/>
      <c r="Q30" s="1060"/>
      <c r="R30" s="1087"/>
      <c r="S30" s="1087"/>
      <c r="T30" s="1079"/>
    </row>
    <row r="31" spans="1:46" s="1061" customFormat="1">
      <c r="A31" s="1086">
        <v>44300</v>
      </c>
      <c r="B31" s="1084" t="s">
        <v>163</v>
      </c>
      <c r="C31" s="1080">
        <f>'Consolidated IS'!C80</f>
        <v>4236.8900000000003</v>
      </c>
      <c r="D31" s="1080">
        <f>'Consolidated IS'!D80</f>
        <v>13.482845486861152</v>
      </c>
      <c r="E31" s="1069">
        <f t="shared" si="11"/>
        <v>4250.3728454868615</v>
      </c>
      <c r="F31" s="1080">
        <f>'Consolidated IS'!G80</f>
        <v>0</v>
      </c>
      <c r="G31" s="1069">
        <f t="shared" si="12"/>
        <v>4250.3728454868615</v>
      </c>
      <c r="H31" s="1080"/>
      <c r="I31" s="1080">
        <f>'Consolidated IS'!K80</f>
        <v>3801.9053812368611</v>
      </c>
      <c r="J31" s="1080">
        <f>J14*0.004275</f>
        <v>710.88120110265197</v>
      </c>
      <c r="K31" s="1069">
        <f t="shared" si="13"/>
        <v>4512.7865823395132</v>
      </c>
      <c r="L31" s="1069"/>
      <c r="M31" s="1080">
        <f t="shared" si="15"/>
        <v>448.46746425000038</v>
      </c>
      <c r="N31" s="1080">
        <f>N14*0.004275</f>
        <v>1.6260411672696395</v>
      </c>
      <c r="O31" s="1070">
        <f t="shared" si="14"/>
        <v>450.09350541727002</v>
      </c>
      <c r="P31" s="1059"/>
      <c r="Q31" s="1060"/>
    </row>
    <row r="32" spans="1:46" s="1061" customFormat="1">
      <c r="A32" s="1086">
        <v>44500</v>
      </c>
      <c r="B32" s="1084" t="s">
        <v>165</v>
      </c>
      <c r="C32" s="1080"/>
      <c r="D32" s="1080"/>
      <c r="E32" s="1069">
        <f t="shared" si="11"/>
        <v>0</v>
      </c>
      <c r="F32" s="1080"/>
      <c r="G32" s="1069">
        <f t="shared" si="12"/>
        <v>0</v>
      </c>
      <c r="H32" s="1080"/>
      <c r="I32" s="1080"/>
      <c r="J32" s="1080"/>
      <c r="K32" s="1069">
        <f t="shared" si="13"/>
        <v>0</v>
      </c>
      <c r="L32" s="1069"/>
      <c r="M32" s="1080">
        <f t="shared" si="15"/>
        <v>0</v>
      </c>
      <c r="N32" s="1081"/>
      <c r="O32" s="1070">
        <f t="shared" si="14"/>
        <v>0</v>
      </c>
      <c r="P32" s="1059"/>
      <c r="Q32" s="1060"/>
    </row>
    <row r="33" spans="1:22" s="1061" customFormat="1">
      <c r="A33" s="1086">
        <v>45300</v>
      </c>
      <c r="B33" s="1084" t="s">
        <v>166</v>
      </c>
      <c r="C33" s="1080">
        <f>'Consolidated IS'!C83</f>
        <v>3240.0299999999979</v>
      </c>
      <c r="D33" s="1080">
        <f>'Consolidated IS'!D83</f>
        <v>0</v>
      </c>
      <c r="E33" s="1069">
        <f t="shared" si="11"/>
        <v>3240.0299999999979</v>
      </c>
      <c r="F33" s="1080">
        <f>'Consolidated IS'!G83</f>
        <v>0</v>
      </c>
      <c r="G33" s="1069">
        <f t="shared" si="12"/>
        <v>3240.0299999999979</v>
      </c>
      <c r="H33" s="1080"/>
      <c r="I33" s="1080">
        <f>'Consolidated IS'!K83</f>
        <v>2878.2676317704527</v>
      </c>
      <c r="J33" s="1080"/>
      <c r="K33" s="1069">
        <f t="shared" si="13"/>
        <v>2878.2676317704527</v>
      </c>
      <c r="L33" s="1069"/>
      <c r="M33" s="1080">
        <f t="shared" si="15"/>
        <v>361.76236822954525</v>
      </c>
      <c r="N33" s="1081"/>
      <c r="O33" s="1070">
        <f t="shared" si="14"/>
        <v>361.76236822954525</v>
      </c>
      <c r="P33" s="1059"/>
      <c r="Q33" s="1060"/>
    </row>
    <row r="34" spans="1:22" s="1061" customFormat="1">
      <c r="A34" s="1086">
        <v>45400</v>
      </c>
      <c r="B34" s="1084" t="s">
        <v>168</v>
      </c>
      <c r="C34" s="1080">
        <f>'Consolidated IS'!C86</f>
        <v>150</v>
      </c>
      <c r="D34" s="1080">
        <f>'Consolidated IS'!D86</f>
        <v>0</v>
      </c>
      <c r="E34" s="1069">
        <f t="shared" si="11"/>
        <v>150</v>
      </c>
      <c r="F34" s="1080">
        <f>'Consolidated IS'!G86</f>
        <v>0</v>
      </c>
      <c r="G34" s="1069">
        <f t="shared" si="12"/>
        <v>150</v>
      </c>
      <c r="H34" s="1080"/>
      <c r="I34" s="1080">
        <f>'Consolidated IS'!K86</f>
        <v>133.25189728662025</v>
      </c>
      <c r="J34" s="1080"/>
      <c r="K34" s="1069">
        <f t="shared" si="13"/>
        <v>133.25189728662025</v>
      </c>
      <c r="L34" s="1069"/>
      <c r="M34" s="1080">
        <f t="shared" si="15"/>
        <v>16.748102713379751</v>
      </c>
      <c r="N34" s="1081"/>
      <c r="O34" s="1070">
        <f t="shared" si="14"/>
        <v>16.748102713379751</v>
      </c>
      <c r="P34" s="1059"/>
      <c r="Q34" s="1060"/>
    </row>
    <row r="35" spans="1:22" s="1061" customFormat="1">
      <c r="A35" s="1086">
        <v>46130</v>
      </c>
      <c r="B35" s="1084" t="s">
        <v>575</v>
      </c>
      <c r="C35" s="1080">
        <f>'Consolidated IS'!C94</f>
        <v>66670.930000000008</v>
      </c>
      <c r="D35" s="1080">
        <f>'Consolidated IS'!D94</f>
        <v>1066.8509238785446</v>
      </c>
      <c r="E35" s="1069">
        <f t="shared" si="11"/>
        <v>67737.780923878556</v>
      </c>
      <c r="F35" s="1080">
        <f>'Consolidated IS'!G94</f>
        <v>769.61250000000007</v>
      </c>
      <c r="G35" s="1069">
        <f t="shared" si="12"/>
        <v>68507.393423878559</v>
      </c>
      <c r="H35" s="1080"/>
      <c r="I35" s="1080">
        <f>'Consolidated IS'!K94</f>
        <v>61218.953427250613</v>
      </c>
      <c r="J35" s="1080"/>
      <c r="K35" s="1069">
        <f t="shared" si="13"/>
        <v>61218.953427250613</v>
      </c>
      <c r="L35" s="1069"/>
      <c r="M35" s="1080">
        <f t="shared" si="15"/>
        <v>7288.4399966279452</v>
      </c>
      <c r="N35" s="1081"/>
      <c r="O35" s="1070">
        <f t="shared" si="14"/>
        <v>7288.4399966279452</v>
      </c>
      <c r="P35" s="1059"/>
      <c r="Q35" s="1060"/>
    </row>
    <row r="36" spans="1:22" s="1059" customFormat="1">
      <c r="A36" s="1086">
        <v>46100</v>
      </c>
      <c r="B36" s="1084" t="s">
        <v>1466</v>
      </c>
      <c r="C36" s="1080">
        <f>'Consolidated IS'!C97</f>
        <v>33598.81</v>
      </c>
      <c r="D36" s="1080">
        <f>'Consolidated IS'!D97</f>
        <v>-6917.4852458360619</v>
      </c>
      <c r="E36" s="1069">
        <f t="shared" si="11"/>
        <v>26681.324754163936</v>
      </c>
      <c r="F36" s="1080">
        <f>'Consolidated IS'!G97</f>
        <v>0</v>
      </c>
      <c r="G36" s="1069">
        <f t="shared" si="12"/>
        <v>26681.324754163936</v>
      </c>
      <c r="H36" s="1080"/>
      <c r="I36" s="1080">
        <f>'Consolidated IS'!K97</f>
        <v>23866.111479865867</v>
      </c>
      <c r="J36" s="1080"/>
      <c r="K36" s="1069">
        <f t="shared" si="13"/>
        <v>23866.111479865867</v>
      </c>
      <c r="L36" s="1069"/>
      <c r="M36" s="1080">
        <f t="shared" si="15"/>
        <v>2815.2132742980684</v>
      </c>
      <c r="N36" s="1081"/>
      <c r="O36" s="1070">
        <f t="shared" si="14"/>
        <v>2815.2132742980684</v>
      </c>
      <c r="Q36" s="1060"/>
      <c r="R36" s="1061"/>
      <c r="S36" s="1061"/>
      <c r="T36" s="1061"/>
      <c r="U36" s="1061"/>
      <c r="V36" s="1061"/>
    </row>
    <row r="37" spans="1:22" s="1059" customFormat="1">
      <c r="A37" s="1086">
        <v>46200</v>
      </c>
      <c r="B37" s="1084" t="s">
        <v>179</v>
      </c>
      <c r="C37" s="1080">
        <f>'Consolidated IS'!C107</f>
        <v>13118.96</v>
      </c>
      <c r="D37" s="1080">
        <f>'Consolidated IS'!D107</f>
        <v>0</v>
      </c>
      <c r="E37" s="1069">
        <f t="shared" si="11"/>
        <v>13118.96</v>
      </c>
      <c r="F37" s="1080">
        <f>'Consolidated IS'!G107</f>
        <v>395.38872459947089</v>
      </c>
      <c r="G37" s="1069">
        <f t="shared" si="12"/>
        <v>13514.348724599469</v>
      </c>
      <c r="H37" s="1080"/>
      <c r="I37" s="1080">
        <f>'Consolidated IS'!K107</f>
        <v>12075.345852064265</v>
      </c>
      <c r="J37" s="1080"/>
      <c r="K37" s="1069">
        <f t="shared" si="13"/>
        <v>12075.345852064265</v>
      </c>
      <c r="L37" s="1069"/>
      <c r="M37" s="1080">
        <f t="shared" si="15"/>
        <v>1439.002872535204</v>
      </c>
      <c r="N37" s="1081"/>
      <c r="O37" s="1070">
        <f t="shared" si="14"/>
        <v>1439.002872535204</v>
      </c>
      <c r="Q37" s="1060"/>
      <c r="R37" s="1061"/>
      <c r="S37" s="1061"/>
      <c r="T37" s="1061"/>
      <c r="U37" s="1061"/>
      <c r="V37" s="1061"/>
    </row>
    <row r="38" spans="1:22" s="1059" customFormat="1">
      <c r="A38" s="1086">
        <v>46300</v>
      </c>
      <c r="B38" s="1084" t="s">
        <v>180</v>
      </c>
      <c r="C38" s="1080">
        <f>'Consolidated IS'!C110</f>
        <v>766.62</v>
      </c>
      <c r="D38" s="1080">
        <f>'Consolidated IS'!D110</f>
        <v>0</v>
      </c>
      <c r="E38" s="1069">
        <f t="shared" si="11"/>
        <v>766.62</v>
      </c>
      <c r="F38" s="1080">
        <f>'Consolidated IS'!G110</f>
        <v>0</v>
      </c>
      <c r="G38" s="1069">
        <f t="shared" si="12"/>
        <v>766.62</v>
      </c>
      <c r="H38" s="1080"/>
      <c r="I38" s="1080">
        <f>'Consolidated IS'!K110</f>
        <v>685.05998740919301</v>
      </c>
      <c r="J38" s="1080"/>
      <c r="K38" s="1069">
        <f t="shared" si="13"/>
        <v>685.05998740919301</v>
      </c>
      <c r="L38" s="1069"/>
      <c r="M38" s="1080">
        <f t="shared" si="15"/>
        <v>81.560012590806991</v>
      </c>
      <c r="N38" s="1081"/>
      <c r="O38" s="1070">
        <f t="shared" si="14"/>
        <v>81.560012590806991</v>
      </c>
      <c r="Q38" s="1060"/>
      <c r="R38" s="1061"/>
      <c r="S38" s="1061"/>
      <c r="T38" s="1061"/>
      <c r="U38" s="1061"/>
      <c r="V38" s="1061"/>
    </row>
    <row r="39" spans="1:22" s="1059" customFormat="1">
      <c r="A39" s="1086">
        <v>46400</v>
      </c>
      <c r="B39" s="1084" t="s">
        <v>76</v>
      </c>
      <c r="C39" s="1080"/>
      <c r="D39" s="1080"/>
      <c r="E39" s="1069">
        <f t="shared" si="11"/>
        <v>0</v>
      </c>
      <c r="F39" s="1080"/>
      <c r="G39" s="1069">
        <f t="shared" si="12"/>
        <v>0</v>
      </c>
      <c r="H39" s="1080"/>
      <c r="I39" s="1080"/>
      <c r="J39" s="1080"/>
      <c r="K39" s="1069">
        <f t="shared" si="13"/>
        <v>0</v>
      </c>
      <c r="L39" s="1069"/>
      <c r="M39" s="1080">
        <f t="shared" si="15"/>
        <v>0</v>
      </c>
      <c r="N39" s="1081"/>
      <c r="O39" s="1070">
        <f t="shared" si="14"/>
        <v>0</v>
      </c>
      <c r="Q39" s="1060"/>
      <c r="R39" s="1061"/>
      <c r="S39" s="1061"/>
      <c r="T39" s="1061"/>
      <c r="U39" s="1061"/>
      <c r="V39" s="1061"/>
    </row>
    <row r="40" spans="1:22" s="1059" customFormat="1">
      <c r="A40" s="1086">
        <v>46410</v>
      </c>
      <c r="B40" s="1084" t="s">
        <v>577</v>
      </c>
      <c r="C40" s="1080">
        <f>'Consolidated IS'!C113</f>
        <v>6026.59</v>
      </c>
      <c r="D40" s="1080">
        <f>'Consolidated IS'!D113</f>
        <v>0</v>
      </c>
      <c r="E40" s="1069">
        <f t="shared" si="11"/>
        <v>6026.59</v>
      </c>
      <c r="F40" s="1080">
        <f>'Consolidated IS'!G113</f>
        <v>0</v>
      </c>
      <c r="G40" s="1069">
        <f t="shared" si="12"/>
        <v>6026.59</v>
      </c>
      <c r="H40" s="1080"/>
      <c r="I40" s="1080">
        <f>'Consolidated IS'!K113</f>
        <v>5385.4265079444422</v>
      </c>
      <c r="J40" s="1080"/>
      <c r="K40" s="1069">
        <f t="shared" si="13"/>
        <v>5385.4265079444422</v>
      </c>
      <c r="L40" s="1069"/>
      <c r="M40" s="1080">
        <f t="shared" si="15"/>
        <v>641.16349205555798</v>
      </c>
      <c r="N40" s="1081"/>
      <c r="O40" s="1070">
        <f t="shared" si="14"/>
        <v>641.16349205555798</v>
      </c>
      <c r="Q40" s="1060"/>
      <c r="R40" s="1061"/>
      <c r="S40" s="1061"/>
      <c r="T40" s="1061"/>
      <c r="U40" s="1061"/>
      <c r="V40" s="1061"/>
    </row>
    <row r="41" spans="1:22" s="1059" customFormat="1">
      <c r="A41" s="1086">
        <v>46500</v>
      </c>
      <c r="B41" s="1084" t="s">
        <v>182</v>
      </c>
      <c r="C41" s="1080">
        <f>'Consolidated IS'!C119</f>
        <v>61386.05000000001</v>
      </c>
      <c r="D41" s="1080">
        <f>'Consolidated IS'!D119</f>
        <v>0</v>
      </c>
      <c r="E41" s="1069">
        <f t="shared" si="11"/>
        <v>61386.05000000001</v>
      </c>
      <c r="F41" s="1080">
        <f>'Consolidated IS'!G119</f>
        <v>0</v>
      </c>
      <c r="G41" s="1069">
        <f t="shared" si="12"/>
        <v>61386.05000000001</v>
      </c>
      <c r="H41" s="1080"/>
      <c r="I41" s="1080">
        <f>'Consolidated IS'!K119</f>
        <v>54622.103005500889</v>
      </c>
      <c r="J41" s="1080"/>
      <c r="K41" s="1069">
        <f t="shared" si="13"/>
        <v>54622.103005500889</v>
      </c>
      <c r="L41" s="1069"/>
      <c r="M41" s="1080">
        <f t="shared" si="15"/>
        <v>6763.9469944991215</v>
      </c>
      <c r="N41" s="1081"/>
      <c r="O41" s="1070">
        <f t="shared" si="14"/>
        <v>6763.9469944991215</v>
      </c>
      <c r="Q41" s="1060"/>
      <c r="R41" s="1061"/>
      <c r="S41" s="1061"/>
      <c r="T41" s="1061"/>
      <c r="U41" s="1061"/>
      <c r="V41" s="1061"/>
    </row>
    <row r="42" spans="1:22" s="1059" customFormat="1">
      <c r="A42" s="1086">
        <v>46510</v>
      </c>
      <c r="B42" s="1084" t="s">
        <v>183</v>
      </c>
      <c r="C42" s="1080">
        <f>'Consolidated IS'!C122</f>
        <v>136.65</v>
      </c>
      <c r="D42" s="1080">
        <f>'Consolidated IS'!D122</f>
        <v>0</v>
      </c>
      <c r="E42" s="1069">
        <f t="shared" si="11"/>
        <v>136.65</v>
      </c>
      <c r="F42" s="1080">
        <f>'Consolidated IS'!G122</f>
        <v>0</v>
      </c>
      <c r="G42" s="1069">
        <f t="shared" si="12"/>
        <v>136.65</v>
      </c>
      <c r="H42" s="1080"/>
      <c r="I42" s="1080">
        <f>'Consolidated IS'!K122</f>
        <v>122.11192935152518</v>
      </c>
      <c r="J42" s="1080"/>
      <c r="K42" s="1069">
        <f t="shared" si="13"/>
        <v>122.11192935152518</v>
      </c>
      <c r="L42" s="1069"/>
      <c r="M42" s="1080">
        <f t="shared" si="15"/>
        <v>14.538070648474829</v>
      </c>
      <c r="N42" s="1081"/>
      <c r="O42" s="1070">
        <f t="shared" si="14"/>
        <v>14.538070648474829</v>
      </c>
      <c r="Q42" s="1060"/>
      <c r="R42" s="1061"/>
      <c r="S42" s="1061"/>
      <c r="T42" s="1061"/>
      <c r="U42" s="1061"/>
      <c r="V42" s="1061"/>
    </row>
    <row r="43" spans="1:22" s="1059" customFormat="1">
      <c r="A43" s="1086">
        <v>46700</v>
      </c>
      <c r="B43" s="1084" t="s">
        <v>184</v>
      </c>
      <c r="C43" s="1080">
        <f>'Consolidated IS'!C125</f>
        <v>16199</v>
      </c>
      <c r="D43" s="1080">
        <f>'Consolidated IS'!D125</f>
        <v>-9411.39</v>
      </c>
      <c r="E43" s="1069">
        <f t="shared" si="11"/>
        <v>6787.6100000000006</v>
      </c>
      <c r="F43" s="1080">
        <f>'Consolidated IS'!G125</f>
        <v>0</v>
      </c>
      <c r="G43" s="1069">
        <f t="shared" si="12"/>
        <v>6787.6100000000006</v>
      </c>
      <c r="H43" s="1080"/>
      <c r="I43" s="1080">
        <f>'Consolidated IS'!K125</f>
        <v>6065.4822743191062</v>
      </c>
      <c r="J43" s="1080">
        <f>J14*'Restating Expl'!$B$154</f>
        <v>1135.2379014325436</v>
      </c>
      <c r="K43" s="1069">
        <f t="shared" si="13"/>
        <v>7200.7201757516495</v>
      </c>
      <c r="L43" s="1069"/>
      <c r="M43" s="1080">
        <f t="shared" si="15"/>
        <v>722.1277256808944</v>
      </c>
      <c r="N43" s="1080">
        <f>N14*'Restating Expl'!$B$154</f>
        <v>2.596697675379311</v>
      </c>
      <c r="O43" s="1070">
        <f t="shared" si="14"/>
        <v>724.72442335627375</v>
      </c>
      <c r="Q43" s="1060"/>
      <c r="R43" s="1061"/>
      <c r="S43" s="1061"/>
      <c r="T43" s="1061"/>
      <c r="U43" s="1061"/>
      <c r="V43" s="1061"/>
    </row>
    <row r="44" spans="1:22" s="1059" customFormat="1">
      <c r="A44" s="1086">
        <v>46900</v>
      </c>
      <c r="B44" s="1084" t="s">
        <v>578</v>
      </c>
      <c r="C44" s="1080">
        <f>'Consolidated IS'!C142</f>
        <v>21351.360000000001</v>
      </c>
      <c r="D44" s="1080">
        <f>'Consolidated IS'!D142</f>
        <v>-2059.4142321549552</v>
      </c>
      <c r="E44" s="1069">
        <f t="shared" si="11"/>
        <v>19291.945767845045</v>
      </c>
      <c r="F44" s="1080">
        <f>'Consolidated IS'!G142</f>
        <v>0</v>
      </c>
      <c r="G44" s="1069">
        <f t="shared" si="12"/>
        <v>19291.945767845045</v>
      </c>
      <c r="H44" s="1080"/>
      <c r="I44" s="1080">
        <f>'Consolidated IS'!K142</f>
        <v>17192.440963769404</v>
      </c>
      <c r="J44" s="1080"/>
      <c r="K44" s="1069">
        <f t="shared" si="13"/>
        <v>17192.440963769404</v>
      </c>
      <c r="L44" s="1069"/>
      <c r="M44" s="1080">
        <f t="shared" si="15"/>
        <v>2099.504804075641</v>
      </c>
      <c r="N44" s="1081"/>
      <c r="O44" s="1070">
        <f t="shared" si="14"/>
        <v>2099.504804075641</v>
      </c>
      <c r="Q44" s="1060"/>
      <c r="R44" s="1061"/>
      <c r="S44" s="1061"/>
      <c r="T44" s="1061"/>
      <c r="U44" s="1061"/>
      <c r="V44" s="1061"/>
    </row>
    <row r="45" spans="1:22" s="1059" customFormat="1">
      <c r="A45" s="1086">
        <v>50000</v>
      </c>
      <c r="B45" s="1084" t="s">
        <v>1467</v>
      </c>
      <c r="C45" s="1080">
        <f>'Consolidated IS'!C144</f>
        <v>97097.290000000008</v>
      </c>
      <c r="D45" s="1080">
        <f>'Consolidated IS'!D144</f>
        <v>-26933.530504445953</v>
      </c>
      <c r="E45" s="1069">
        <f t="shared" si="11"/>
        <v>70163.759495554055</v>
      </c>
      <c r="F45" s="1080">
        <f>'Consolidated IS'!G144</f>
        <v>0</v>
      </c>
      <c r="G45" s="1069">
        <f t="shared" si="12"/>
        <v>70163.759495554055</v>
      </c>
      <c r="H45" s="1080"/>
      <c r="I45" s="1080">
        <f>'Consolidated IS'!K144</f>
        <v>62329.6938236313</v>
      </c>
      <c r="J45" s="1080"/>
      <c r="K45" s="1069">
        <f t="shared" si="13"/>
        <v>62329.6938236313</v>
      </c>
      <c r="L45" s="1069"/>
      <c r="M45" s="1080">
        <f t="shared" si="15"/>
        <v>7834.0656719227554</v>
      </c>
      <c r="N45" s="1081"/>
      <c r="O45" s="1070">
        <f t="shared" si="14"/>
        <v>7834.0656719227554</v>
      </c>
      <c r="Q45" s="1060"/>
      <c r="R45" s="1061"/>
      <c r="S45" s="1061"/>
      <c r="T45" s="1061"/>
      <c r="U45" s="1061"/>
      <c r="V45" s="1061"/>
    </row>
    <row r="46" spans="1:22" s="1059" customFormat="1">
      <c r="A46" s="1086">
        <v>50000</v>
      </c>
      <c r="B46" s="1084" t="s">
        <v>1468</v>
      </c>
      <c r="C46" s="1080">
        <f>'Consolidated IS'!C145</f>
        <v>14512.49</v>
      </c>
      <c r="D46" s="1080">
        <f>'Consolidated IS'!D145</f>
        <v>5706.2733333330052</v>
      </c>
      <c r="E46" s="1069">
        <f t="shared" si="11"/>
        <v>20218.763333333005</v>
      </c>
      <c r="F46" s="1080">
        <f>'Consolidated IS'!G145</f>
        <v>0</v>
      </c>
      <c r="G46" s="1069">
        <f t="shared" si="12"/>
        <v>20218.763333333005</v>
      </c>
      <c r="H46" s="1080"/>
      <c r="I46" s="1080">
        <f>'Consolidated IS'!K145</f>
        <v>18067.707279437742</v>
      </c>
      <c r="J46" s="1080"/>
      <c r="K46" s="1069">
        <f t="shared" si="13"/>
        <v>18067.707279437742</v>
      </c>
      <c r="L46" s="1069"/>
      <c r="M46" s="1080">
        <f t="shared" si="15"/>
        <v>2151.0560538952632</v>
      </c>
      <c r="N46" s="1081"/>
      <c r="O46" s="1070">
        <f t="shared" si="14"/>
        <v>2151.0560538952632</v>
      </c>
      <c r="Q46" s="1060"/>
      <c r="R46" s="1061"/>
      <c r="S46" s="1061"/>
      <c r="T46" s="1061"/>
      <c r="U46" s="1061"/>
      <c r="V46" s="1061"/>
    </row>
    <row r="47" spans="1:22" s="1059" customFormat="1">
      <c r="A47" s="1086">
        <v>50000</v>
      </c>
      <c r="B47" s="1084" t="s">
        <v>581</v>
      </c>
      <c r="C47" s="1080">
        <f>'Consolidated IS'!C146</f>
        <v>0</v>
      </c>
      <c r="D47" s="1080">
        <f>'Consolidated IS'!D146</f>
        <v>0</v>
      </c>
      <c r="E47" s="1069">
        <f t="shared" si="11"/>
        <v>0</v>
      </c>
      <c r="F47" s="1080">
        <f>'Consolidated IS'!G146</f>
        <v>0</v>
      </c>
      <c r="G47" s="1069">
        <f t="shared" si="12"/>
        <v>0</v>
      </c>
      <c r="H47" s="1080"/>
      <c r="I47" s="1080">
        <f>'Consolidated IS'!K146</f>
        <v>0</v>
      </c>
      <c r="J47" s="1080"/>
      <c r="K47" s="1069">
        <f t="shared" si="13"/>
        <v>0</v>
      </c>
      <c r="L47" s="1069"/>
      <c r="M47" s="1080">
        <f t="shared" si="15"/>
        <v>0</v>
      </c>
      <c r="N47" s="1081"/>
      <c r="O47" s="1070">
        <f t="shared" si="14"/>
        <v>0</v>
      </c>
      <c r="Q47" s="1060"/>
      <c r="R47" s="1061"/>
      <c r="S47" s="1061"/>
      <c r="T47" s="1061"/>
      <c r="U47" s="1061"/>
      <c r="V47" s="1061"/>
    </row>
    <row r="48" spans="1:22" s="1059" customFormat="1">
      <c r="A48" s="1086">
        <v>50000</v>
      </c>
      <c r="B48" s="1084" t="s">
        <v>582</v>
      </c>
      <c r="C48" s="1080">
        <f>'Consolidated IS'!C147</f>
        <v>0</v>
      </c>
      <c r="D48" s="1080">
        <f>'Consolidated IS'!D147</f>
        <v>8473.7921633339938</v>
      </c>
      <c r="E48" s="1069">
        <f t="shared" si="11"/>
        <v>8473.7921633339938</v>
      </c>
      <c r="F48" s="1080">
        <f>'Consolidated IS'!G147</f>
        <v>0</v>
      </c>
      <c r="G48" s="1069">
        <f t="shared" si="12"/>
        <v>8473.7921633339938</v>
      </c>
      <c r="H48" s="1080"/>
      <c r="I48" s="1080">
        <f>'Consolidated IS'!K147</f>
        <v>7527.6592198449925</v>
      </c>
      <c r="J48" s="1080"/>
      <c r="K48" s="1069">
        <f t="shared" si="13"/>
        <v>7527.6592198449925</v>
      </c>
      <c r="L48" s="1069"/>
      <c r="M48" s="1080">
        <f t="shared" si="15"/>
        <v>946.13294348900126</v>
      </c>
      <c r="N48" s="1081"/>
      <c r="O48" s="1070">
        <f t="shared" si="14"/>
        <v>946.13294348900126</v>
      </c>
      <c r="Q48" s="1060"/>
      <c r="R48" s="1061"/>
      <c r="S48" s="1061"/>
      <c r="T48" s="1061"/>
      <c r="U48" s="1061"/>
      <c r="V48" s="1061"/>
    </row>
    <row r="49" spans="1:47" s="1059" customFormat="1">
      <c r="A49" s="1086">
        <v>50000</v>
      </c>
      <c r="B49" s="1084" t="s">
        <v>583</v>
      </c>
      <c r="C49" s="1080">
        <f>'Consolidated IS'!C148</f>
        <v>1780.8400000000001</v>
      </c>
      <c r="D49" s="1080">
        <f>'Consolidated IS'!D148</f>
        <v>-71.796000000000276</v>
      </c>
      <c r="E49" s="1069">
        <f t="shared" si="11"/>
        <v>1709.0439999999999</v>
      </c>
      <c r="F49" s="1080">
        <f>'Consolidated IS'!G148</f>
        <v>0</v>
      </c>
      <c r="G49" s="1069">
        <f t="shared" si="12"/>
        <v>1709.0439999999999</v>
      </c>
      <c r="H49" s="1080"/>
      <c r="I49" s="1080">
        <f>'Consolidated IS'!K148</f>
        <v>1527.2203453102668</v>
      </c>
      <c r="J49" s="1080"/>
      <c r="K49" s="1069">
        <f t="shared" si="13"/>
        <v>1527.2203453102668</v>
      </c>
      <c r="L49" s="1069"/>
      <c r="M49" s="1080">
        <f t="shared" si="15"/>
        <v>181.82365468973308</v>
      </c>
      <c r="N49" s="1081"/>
      <c r="O49" s="1070">
        <f t="shared" si="14"/>
        <v>181.82365468973308</v>
      </c>
      <c r="Q49" s="1060"/>
      <c r="R49" s="1061"/>
      <c r="S49" s="1061"/>
      <c r="T49" s="1061"/>
      <c r="U49" s="1061"/>
      <c r="V49" s="1061"/>
    </row>
    <row r="50" spans="1:47" s="1059" customFormat="1">
      <c r="A50" s="1086">
        <v>50000</v>
      </c>
      <c r="B50" s="1084" t="s">
        <v>1474</v>
      </c>
      <c r="C50" s="1080"/>
      <c r="D50" s="1080"/>
      <c r="E50" s="1069">
        <f t="shared" si="11"/>
        <v>0</v>
      </c>
      <c r="F50" s="1080"/>
      <c r="G50" s="1069">
        <f t="shared" si="12"/>
        <v>0</v>
      </c>
      <c r="H50" s="1080"/>
      <c r="I50" s="1080"/>
      <c r="J50" s="1080"/>
      <c r="K50" s="1069">
        <f t="shared" si="13"/>
        <v>0</v>
      </c>
      <c r="L50" s="1069"/>
      <c r="M50" s="1080">
        <f t="shared" si="15"/>
        <v>0</v>
      </c>
      <c r="N50" s="1081"/>
      <c r="O50" s="1070">
        <f t="shared" si="14"/>
        <v>0</v>
      </c>
      <c r="Q50" s="1060"/>
      <c r="R50" s="1061"/>
      <c r="S50" s="1061"/>
      <c r="T50" s="1061"/>
      <c r="U50" s="1061"/>
      <c r="V50" s="1061"/>
    </row>
    <row r="51" spans="1:47" s="1059" customFormat="1">
      <c r="A51" s="1086">
        <v>50000</v>
      </c>
      <c r="B51" s="1084" t="s">
        <v>1469</v>
      </c>
      <c r="C51" s="1080">
        <f>'Consolidated IS'!C150</f>
        <v>10736.51</v>
      </c>
      <c r="D51" s="1080">
        <f>'Consolidated IS'!D150</f>
        <v>0</v>
      </c>
      <c r="E51" s="1069">
        <f t="shared" si="11"/>
        <v>10736.51</v>
      </c>
      <c r="F51" s="1080">
        <f>'Consolidated IS'!G150</f>
        <v>0</v>
      </c>
      <c r="G51" s="1069">
        <f t="shared" si="12"/>
        <v>10736.51</v>
      </c>
      <c r="H51" s="1080"/>
      <c r="I51" s="1080">
        <f>'Consolidated IS'!K150</f>
        <v>9537.7355182451411</v>
      </c>
      <c r="J51" s="1080"/>
      <c r="K51" s="1069">
        <f t="shared" si="13"/>
        <v>9537.7355182451411</v>
      </c>
      <c r="L51" s="1069"/>
      <c r="M51" s="1080">
        <f t="shared" si="15"/>
        <v>1198.7744817548592</v>
      </c>
      <c r="N51" s="1081"/>
      <c r="O51" s="1070">
        <f t="shared" si="14"/>
        <v>1198.7744817548592</v>
      </c>
      <c r="Q51" s="1060"/>
      <c r="R51" s="1061"/>
      <c r="S51" s="1061"/>
      <c r="T51" s="1061"/>
      <c r="U51" s="1061"/>
      <c r="V51" s="1061"/>
    </row>
    <row r="52" spans="1:47">
      <c r="A52" s="1086">
        <v>52000</v>
      </c>
      <c r="B52" s="1084" t="s">
        <v>585</v>
      </c>
      <c r="C52" s="1080">
        <f>'Consolidated IS'!C154</f>
        <v>1752.6399999999999</v>
      </c>
      <c r="D52" s="1080">
        <f>'Consolidated IS'!D154</f>
        <v>0</v>
      </c>
      <c r="E52" s="1069">
        <f t="shared" si="11"/>
        <v>1752.6399999999999</v>
      </c>
      <c r="F52" s="1080">
        <f>'Consolidated IS'!G154</f>
        <v>0</v>
      </c>
      <c r="G52" s="1069">
        <f t="shared" si="12"/>
        <v>1752.6399999999999</v>
      </c>
      <c r="H52" s="1080"/>
      <c r="I52" s="1080">
        <f>'Consolidated IS'!K154</f>
        <v>1556.9507017361473</v>
      </c>
      <c r="J52" s="1080"/>
      <c r="K52" s="1069">
        <f t="shared" si="13"/>
        <v>1556.9507017361473</v>
      </c>
      <c r="L52" s="1069"/>
      <c r="M52" s="1080">
        <f t="shared" si="15"/>
        <v>195.68929826385261</v>
      </c>
      <c r="N52" s="1081"/>
      <c r="O52" s="1070">
        <f t="shared" si="14"/>
        <v>195.68929826385261</v>
      </c>
    </row>
    <row r="53" spans="1:47">
      <c r="A53" s="1086">
        <v>52030</v>
      </c>
      <c r="B53" s="1084" t="s">
        <v>1470</v>
      </c>
      <c r="C53" s="1080">
        <f>'Consolidated IS'!C157</f>
        <v>13798.150000000001</v>
      </c>
      <c r="D53" s="1080">
        <f>'Consolidated IS'!D157</f>
        <v>1115.4389315328444</v>
      </c>
      <c r="E53" s="1069">
        <f t="shared" si="11"/>
        <v>14913.588931532846</v>
      </c>
      <c r="F53" s="1080">
        <f>'Consolidated IS'!G157</f>
        <v>0</v>
      </c>
      <c r="G53" s="1069">
        <f t="shared" si="12"/>
        <v>14913.588931532846</v>
      </c>
      <c r="H53" s="1080"/>
      <c r="I53" s="1080">
        <f>'Consolidated IS'!K157</f>
        <v>13340.018881532844</v>
      </c>
      <c r="J53" s="1080">
        <f>J14*0.018</f>
        <v>2993.1840046427446</v>
      </c>
      <c r="K53" s="1069">
        <f t="shared" si="13"/>
        <v>16333.202886175588</v>
      </c>
      <c r="L53" s="1069"/>
      <c r="M53" s="1080">
        <f t="shared" si="15"/>
        <v>1573.5700500000021</v>
      </c>
      <c r="N53" s="1080">
        <f>N14*0.018</f>
        <v>6.8464891253458493</v>
      </c>
      <c r="O53" s="1070">
        <f t="shared" si="14"/>
        <v>1580.416539125348</v>
      </c>
    </row>
    <row r="54" spans="1:47">
      <c r="A54" s="1086">
        <v>52200</v>
      </c>
      <c r="B54" s="1084" t="s">
        <v>586</v>
      </c>
      <c r="C54" s="1080">
        <f>'Consolidated IS'!C161</f>
        <v>10813.52</v>
      </c>
      <c r="D54" s="1080">
        <f>'Consolidated IS'!D161</f>
        <v>0</v>
      </c>
      <c r="E54" s="1069">
        <f t="shared" si="11"/>
        <v>10813.52</v>
      </c>
      <c r="F54" s="1080">
        <f>'Consolidated IS'!G161</f>
        <v>0</v>
      </c>
      <c r="G54" s="1069">
        <f t="shared" si="12"/>
        <v>10813.52</v>
      </c>
      <c r="H54" s="1080"/>
      <c r="I54" s="1080">
        <f>'Consolidated IS'!K161</f>
        <v>9606.1470423120918</v>
      </c>
      <c r="J54" s="1080"/>
      <c r="K54" s="1069">
        <f t="shared" si="13"/>
        <v>9606.1470423120918</v>
      </c>
      <c r="L54" s="1069"/>
      <c r="M54" s="1080">
        <f t="shared" si="15"/>
        <v>1207.3729576879086</v>
      </c>
      <c r="N54" s="1081"/>
      <c r="O54" s="1070">
        <f t="shared" si="14"/>
        <v>1207.3729576879086</v>
      </c>
    </row>
    <row r="55" spans="1:47">
      <c r="A55" s="1086">
        <v>52400</v>
      </c>
      <c r="B55" s="1084" t="s">
        <v>34</v>
      </c>
      <c r="C55" s="1080">
        <f>'Consolidated IS'!C167</f>
        <v>26850.9</v>
      </c>
      <c r="D55" s="1080">
        <f>'Consolidated IS'!D167</f>
        <v>109.66223283142646</v>
      </c>
      <c r="E55" s="1069">
        <f t="shared" si="11"/>
        <v>26960.562232831428</v>
      </c>
      <c r="F55" s="1080">
        <f>'Consolidated IS'!G167</f>
        <v>382.04977837499996</v>
      </c>
      <c r="G55" s="1069">
        <f t="shared" si="12"/>
        <v>27342.612011206427</v>
      </c>
      <c r="H55" s="1080"/>
      <c r="I55" s="1080">
        <f>'Consolidated IS'!K167</f>
        <v>24322.128190028849</v>
      </c>
      <c r="J55" s="1080"/>
      <c r="K55" s="1069">
        <f t="shared" si="13"/>
        <v>24322.128190028849</v>
      </c>
      <c r="L55" s="1069"/>
      <c r="M55" s="1080">
        <f t="shared" si="15"/>
        <v>3020.4838211775786</v>
      </c>
      <c r="N55" s="1081"/>
      <c r="O55" s="1070">
        <f t="shared" si="14"/>
        <v>3020.4838211775786</v>
      </c>
    </row>
    <row r="56" spans="1:47">
      <c r="A56" s="1086">
        <v>53200</v>
      </c>
      <c r="B56" s="1084" t="s">
        <v>1471</v>
      </c>
      <c r="C56" s="1080">
        <f>'Consolidated IS'!C170</f>
        <v>10350</v>
      </c>
      <c r="D56" s="1080">
        <f>'Consolidated IS'!D170</f>
        <v>0</v>
      </c>
      <c r="E56" s="1069">
        <f t="shared" si="11"/>
        <v>10350</v>
      </c>
      <c r="F56" s="1080">
        <f>'Consolidated IS'!G170</f>
        <v>0</v>
      </c>
      <c r="G56" s="1069">
        <f t="shared" si="12"/>
        <v>10350</v>
      </c>
      <c r="H56" s="1080"/>
      <c r="I56" s="1080">
        <f>'Consolidated IS'!K170</f>
        <v>9194.3809127767963</v>
      </c>
      <c r="J56" s="1080"/>
      <c r="K56" s="1069">
        <f t="shared" si="13"/>
        <v>9194.3809127767963</v>
      </c>
      <c r="L56" s="1069"/>
      <c r="M56" s="1080">
        <f t="shared" si="15"/>
        <v>1155.6190872232037</v>
      </c>
      <c r="N56" s="1081"/>
      <c r="O56" s="1070">
        <f t="shared" si="14"/>
        <v>1155.6190872232037</v>
      </c>
    </row>
    <row r="57" spans="1:47">
      <c r="A57" s="1086"/>
      <c r="B57" s="1084" t="s">
        <v>1475</v>
      </c>
      <c r="C57" s="1092">
        <f>'Consolidated IS'!C172</f>
        <v>26595.5</v>
      </c>
      <c r="D57" s="1092">
        <f>'Consolidated IS'!D172</f>
        <v>-26595.5</v>
      </c>
      <c r="E57" s="1090">
        <f t="shared" si="11"/>
        <v>0</v>
      </c>
      <c r="F57" s="1092">
        <f>'Consolidated IS'!G172</f>
        <v>0</v>
      </c>
      <c r="G57" s="1090">
        <f t="shared" si="12"/>
        <v>0</v>
      </c>
      <c r="H57" s="1092"/>
      <c r="I57" s="1092">
        <f>'Consolidated IS'!K172</f>
        <v>0</v>
      </c>
      <c r="J57" s="1092"/>
      <c r="K57" s="1090">
        <f t="shared" si="13"/>
        <v>0</v>
      </c>
      <c r="L57" s="1090"/>
      <c r="M57" s="1092"/>
      <c r="N57" s="1093"/>
      <c r="O57" s="1091">
        <f t="shared" si="14"/>
        <v>0</v>
      </c>
    </row>
    <row r="58" spans="1:47" s="1058" customFormat="1">
      <c r="A58" s="1076"/>
      <c r="B58" s="1083" t="s">
        <v>588</v>
      </c>
      <c r="C58" s="1082">
        <f>SUM(C18:C57)</f>
        <v>1093945.6200000001</v>
      </c>
      <c r="D58" s="1082">
        <f t="shared" ref="D58:N58" si="16">SUM(D18:D57)</f>
        <v>-58881.893236292337</v>
      </c>
      <c r="E58" s="1082">
        <f t="shared" si="16"/>
        <v>1035063.7267637075</v>
      </c>
      <c r="F58" s="1082">
        <f t="shared" si="16"/>
        <v>11443.458756624104</v>
      </c>
      <c r="G58" s="1082">
        <f t="shared" si="16"/>
        <v>1046507.1855203317</v>
      </c>
      <c r="H58" s="1082">
        <f t="shared" si="16"/>
        <v>0</v>
      </c>
      <c r="I58" s="1082">
        <f t="shared" si="16"/>
        <v>952334.54822610738</v>
      </c>
      <c r="J58" s="1082">
        <f t="shared" si="16"/>
        <v>4839.3031071779405</v>
      </c>
      <c r="K58" s="1082">
        <f t="shared" si="16"/>
        <v>957173.85133328533</v>
      </c>
      <c r="L58" s="1082"/>
      <c r="M58" s="1082">
        <f t="shared" si="16"/>
        <v>94172.637294224434</v>
      </c>
      <c r="N58" s="1082">
        <f t="shared" si="16"/>
        <v>11.069227967994799</v>
      </c>
      <c r="O58" s="1082">
        <f t="shared" ref="O58" si="17">SUM(O18:O57)</f>
        <v>94183.706522192428</v>
      </c>
      <c r="P58" s="1077"/>
      <c r="Q58" s="1078"/>
      <c r="R58" s="1079"/>
      <c r="S58" s="1079"/>
      <c r="T58" s="1079"/>
      <c r="U58" s="1079"/>
      <c r="V58" s="1079"/>
    </row>
    <row r="59" spans="1:47">
      <c r="A59" s="1068"/>
      <c r="B59" s="1084"/>
      <c r="C59" s="1081"/>
      <c r="D59" s="1081"/>
      <c r="E59" s="1081"/>
      <c r="F59" s="1081"/>
      <c r="G59" s="1081"/>
      <c r="H59" s="1081"/>
      <c r="I59" s="1081"/>
      <c r="J59" s="1081"/>
      <c r="K59" s="1081"/>
      <c r="L59" s="1081"/>
      <c r="M59" s="1081"/>
      <c r="N59" s="1081"/>
      <c r="O59" s="1081"/>
    </row>
    <row r="60" spans="1:47">
      <c r="A60" s="1068"/>
      <c r="B60" s="1084" t="s">
        <v>1472</v>
      </c>
      <c r="C60" s="1081">
        <f>C14-C58</f>
        <v>-91455.130000000121</v>
      </c>
      <c r="D60" s="1081"/>
      <c r="E60" s="1081">
        <f>E14-E58</f>
        <v>-42714.826763707446</v>
      </c>
      <c r="F60" s="1081"/>
      <c r="G60" s="1081">
        <f>G14-G58</f>
        <v>-54158.285520331701</v>
      </c>
      <c r="H60" s="1081">
        <f>H14-H58</f>
        <v>0</v>
      </c>
      <c r="I60" s="1081">
        <f>I14-I58</f>
        <v>-62999.956123917713</v>
      </c>
      <c r="J60" s="1081">
        <f>J14-J58</f>
        <v>161448.69715075236</v>
      </c>
      <c r="K60" s="1081">
        <f>K14-K58</f>
        <v>98448.741026834701</v>
      </c>
      <c r="L60" s="1081"/>
      <c r="M60" s="1081">
        <f>M14-M58</f>
        <v>10732.032705775549</v>
      </c>
      <c r="N60" s="1081">
        <f>N14-N58</f>
        <v>369.29127899566356</v>
      </c>
      <c r="O60" s="1081">
        <f>O14-O58</f>
        <v>11101.323984771225</v>
      </c>
    </row>
    <row r="61" spans="1:47" s="1059" customFormat="1">
      <c r="A61" s="1068"/>
      <c r="B61" s="1084"/>
      <c r="C61" s="1081"/>
      <c r="D61" s="1081"/>
      <c r="E61" s="1081"/>
      <c r="F61" s="1081"/>
      <c r="G61" s="1081"/>
      <c r="H61" s="1081"/>
      <c r="I61" s="1081"/>
      <c r="J61" s="1081"/>
      <c r="K61" s="1081"/>
      <c r="L61" s="1081"/>
      <c r="M61" s="1081"/>
      <c r="N61" s="1081"/>
      <c r="O61" s="1081"/>
      <c r="Q61" s="1060"/>
      <c r="R61" s="1061"/>
      <c r="S61" s="1061"/>
      <c r="T61" s="1061"/>
      <c r="U61" s="1061"/>
      <c r="V61" s="1061"/>
      <c r="W61" s="1057"/>
      <c r="X61" s="1057"/>
      <c r="Y61" s="1057"/>
      <c r="Z61" s="1057"/>
      <c r="AA61" s="1057"/>
      <c r="AB61" s="1057"/>
      <c r="AC61" s="1057"/>
      <c r="AD61" s="1057"/>
      <c r="AE61" s="1057"/>
      <c r="AF61" s="1057"/>
      <c r="AG61" s="1057"/>
      <c r="AH61" s="1057"/>
      <c r="AI61" s="1057"/>
      <c r="AJ61" s="1057"/>
      <c r="AK61" s="1057"/>
      <c r="AL61" s="1057"/>
      <c r="AM61" s="1057"/>
      <c r="AN61" s="1057"/>
      <c r="AO61" s="1057"/>
      <c r="AP61" s="1057"/>
      <c r="AQ61" s="1057"/>
      <c r="AR61" s="1057"/>
      <c r="AS61" s="1057"/>
      <c r="AT61" s="1057"/>
      <c r="AU61" s="1057"/>
    </row>
    <row r="62" spans="1:47" s="1059" customFormat="1">
      <c r="A62" s="1068"/>
      <c r="B62" s="1084" t="s">
        <v>215</v>
      </c>
      <c r="C62" s="1089">
        <f>C58/C14</f>
        <v>1.0912279277581975</v>
      </c>
      <c r="D62" s="1081"/>
      <c r="E62" s="1089"/>
      <c r="F62" s="1081"/>
      <c r="G62" s="1089">
        <f>G58/G14</f>
        <v>1.0545758508124832</v>
      </c>
      <c r="H62" s="1089"/>
      <c r="I62" s="1089">
        <f>I58/I14</f>
        <v>1.0708394306073261</v>
      </c>
      <c r="J62" s="1089"/>
      <c r="K62" s="1089">
        <f>K58/K14</f>
        <v>0.90673869454922629</v>
      </c>
      <c r="L62" s="1089"/>
      <c r="M62" s="1089">
        <f>M58/M14</f>
        <v>0.8976972835835092</v>
      </c>
      <c r="N62" s="1089"/>
      <c r="O62" s="1089">
        <f>O58/O14</f>
        <v>0.89455933164176671</v>
      </c>
      <c r="Q62" s="1060"/>
      <c r="R62" s="1061"/>
      <c r="S62" s="1061"/>
      <c r="T62" s="1061"/>
      <c r="U62" s="1061"/>
      <c r="V62" s="1061"/>
      <c r="W62" s="1057"/>
      <c r="X62" s="1057"/>
      <c r="Y62" s="1057"/>
      <c r="Z62" s="1057"/>
      <c r="AA62" s="1057"/>
      <c r="AB62" s="1057"/>
      <c r="AC62" s="1057"/>
      <c r="AD62" s="1057"/>
      <c r="AE62" s="1057"/>
      <c r="AF62" s="1057"/>
      <c r="AG62" s="1057"/>
      <c r="AH62" s="1057"/>
      <c r="AI62" s="1057"/>
      <c r="AJ62" s="1057"/>
      <c r="AK62" s="1057"/>
      <c r="AL62" s="1057"/>
      <c r="AM62" s="1057"/>
      <c r="AN62" s="1057"/>
      <c r="AO62" s="1057"/>
      <c r="AP62" s="1057"/>
      <c r="AQ62" s="1057"/>
      <c r="AR62" s="1057"/>
      <c r="AS62" s="1057"/>
      <c r="AT62" s="1057"/>
      <c r="AU62" s="1057"/>
    </row>
    <row r="63" spans="1:47" s="1059" customFormat="1">
      <c r="A63" s="1068"/>
      <c r="B63" s="1084"/>
      <c r="C63" s="1089"/>
      <c r="D63" s="1081"/>
      <c r="E63" s="1081"/>
      <c r="F63" s="1081"/>
      <c r="G63" s="1081"/>
      <c r="H63" s="1081"/>
      <c r="I63" s="1081"/>
      <c r="J63" s="1081"/>
      <c r="K63" s="1081"/>
      <c r="L63" s="1081"/>
      <c r="M63" s="1081"/>
      <c r="N63" s="1081"/>
      <c r="O63" s="1081"/>
      <c r="Q63" s="1060"/>
      <c r="R63" s="1061"/>
      <c r="S63" s="1061"/>
      <c r="T63" s="1061"/>
      <c r="U63" s="1061"/>
      <c r="V63" s="1061"/>
      <c r="W63" s="1057"/>
      <c r="X63" s="1057"/>
      <c r="Y63" s="1057"/>
      <c r="Z63" s="1057"/>
      <c r="AA63" s="1057"/>
      <c r="AB63" s="1057"/>
      <c r="AC63" s="1057"/>
      <c r="AD63" s="1057"/>
      <c r="AE63" s="1057"/>
      <c r="AF63" s="1057"/>
      <c r="AG63" s="1057"/>
      <c r="AH63" s="1057"/>
      <c r="AI63" s="1057"/>
      <c r="AJ63" s="1057"/>
      <c r="AK63" s="1057"/>
      <c r="AL63" s="1057"/>
      <c r="AM63" s="1057"/>
      <c r="AN63" s="1057"/>
      <c r="AO63" s="1057"/>
      <c r="AP63" s="1057"/>
      <c r="AQ63" s="1057"/>
      <c r="AR63" s="1057"/>
      <c r="AS63" s="1057"/>
      <c r="AT63" s="1057"/>
      <c r="AU63" s="1057"/>
    </row>
    <row r="64" spans="1:47" s="1059" customFormat="1">
      <c r="A64" s="1068"/>
      <c r="B64" s="1084" t="s">
        <v>1473</v>
      </c>
      <c r="C64" s="1081"/>
      <c r="D64" s="1081"/>
      <c r="E64" s="1081"/>
      <c r="F64" s="1081"/>
      <c r="G64" s="1081">
        <f>'Consolidated IS'!I180</f>
        <v>631454.64963595103</v>
      </c>
      <c r="H64" s="1081"/>
      <c r="I64" s="1081">
        <f>'Consolidated IS'!K180</f>
        <v>560950.20076299016</v>
      </c>
      <c r="J64" s="1081"/>
      <c r="K64" s="1081"/>
      <c r="L64" s="1081"/>
      <c r="M64" s="1081">
        <f>'Consolidated IS'!L180</f>
        <v>70504.448872960871</v>
      </c>
      <c r="N64" s="1081"/>
      <c r="O64" s="1081"/>
      <c r="Q64" s="1060"/>
      <c r="R64" s="1061"/>
      <c r="S64" s="1061"/>
      <c r="T64" s="1061"/>
      <c r="U64" s="1061"/>
      <c r="V64" s="1061"/>
      <c r="W64" s="1057"/>
      <c r="X64" s="1057"/>
      <c r="Y64" s="1057"/>
      <c r="Z64" s="1057"/>
      <c r="AA64" s="1057"/>
      <c r="AB64" s="1057"/>
      <c r="AC64" s="1057"/>
      <c r="AD64" s="1057"/>
      <c r="AE64" s="1057"/>
      <c r="AF64" s="1057"/>
      <c r="AG64" s="1057"/>
      <c r="AH64" s="1057"/>
      <c r="AI64" s="1057"/>
      <c r="AJ64" s="1057"/>
      <c r="AK64" s="1057"/>
      <c r="AL64" s="1057"/>
      <c r="AM64" s="1057"/>
      <c r="AN64" s="1057"/>
      <c r="AO64" s="1057"/>
      <c r="AP64" s="1057"/>
      <c r="AQ64" s="1057"/>
      <c r="AR64" s="1057"/>
      <c r="AS64" s="1057"/>
      <c r="AT64" s="1057"/>
      <c r="AU64" s="1057"/>
    </row>
    <row r="65" spans="1:15">
      <c r="A65" s="1068"/>
      <c r="B65" s="1068"/>
      <c r="C65" s="1081"/>
      <c r="D65" s="1081"/>
      <c r="E65" s="1081"/>
      <c r="F65" s="1081"/>
      <c r="G65" s="1081"/>
      <c r="H65" s="1081"/>
      <c r="I65" s="1081"/>
      <c r="J65" s="1081"/>
      <c r="K65" s="1081"/>
      <c r="L65" s="1081"/>
      <c r="M65" s="1081"/>
      <c r="N65" s="1081"/>
      <c r="O65" s="1081"/>
    </row>
    <row r="66" spans="1:15">
      <c r="A66" s="1068"/>
      <c r="B66" s="1068"/>
      <c r="C66" s="1081"/>
      <c r="D66" s="1081"/>
      <c r="E66" s="1081"/>
      <c r="F66" s="1081"/>
      <c r="G66" s="1081"/>
      <c r="H66" s="1081"/>
      <c r="I66" s="1081"/>
      <c r="J66" s="1081"/>
      <c r="K66" s="1081"/>
      <c r="L66" s="1081"/>
      <c r="M66" s="1081"/>
      <c r="N66" s="1081"/>
      <c r="O66" s="1081"/>
    </row>
    <row r="67" spans="1:15">
      <c r="A67" s="1068"/>
      <c r="B67" s="1068"/>
      <c r="C67" s="1081"/>
      <c r="D67" s="1081"/>
      <c r="E67" s="1081"/>
      <c r="F67" s="1081"/>
      <c r="G67" s="1081"/>
      <c r="H67" s="1081"/>
      <c r="I67" s="1081"/>
      <c r="J67" s="1081"/>
      <c r="K67" s="1081"/>
      <c r="L67" s="1081"/>
      <c r="M67" s="1081"/>
      <c r="N67" s="1081"/>
      <c r="O67" s="1081"/>
    </row>
  </sheetData>
  <pageMargins left="0.75" right="0.75" top="1" bottom="1" header="0.5" footer="0.5"/>
  <pageSetup scale="62" orientation="landscape" r:id="rId1"/>
  <headerFooter alignWithMargins="0"/>
  <rowBreaks count="1" manualBreakCount="1">
    <brk id="65"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P154"/>
  <sheetViews>
    <sheetView zoomScaleNormal="100" workbookViewId="0">
      <pane xSplit="2" ySplit="7" topLeftCell="C8" activePane="bottomRight" state="frozen"/>
      <selection activeCell="H267" sqref="H267"/>
      <selection pane="topRight" activeCell="H267" sqref="H267"/>
      <selection pane="bottomLeft" activeCell="H267" sqref="H267"/>
      <selection pane="bottomRight" activeCell="A31" sqref="A31:XFD31"/>
    </sheetView>
  </sheetViews>
  <sheetFormatPr defaultRowHeight="12"/>
  <cols>
    <col min="1" max="1" width="7.7109375" style="231" customWidth="1"/>
    <col min="2" max="2" width="22.85546875" style="231" customWidth="1"/>
    <col min="3" max="3" width="10.28515625" style="231" bestFit="1" customWidth="1"/>
    <col min="4" max="4" width="9.42578125" style="231" bestFit="1" customWidth="1"/>
    <col min="5" max="5" width="9" style="231" bestFit="1" customWidth="1"/>
    <col min="6" max="6" width="7.140625" style="231" bestFit="1" customWidth="1"/>
    <col min="7" max="7" width="9" style="231" bestFit="1" customWidth="1"/>
    <col min="8" max="8" width="7.5703125" style="231" bestFit="1" customWidth="1"/>
    <col min="9" max="9" width="10.85546875" style="231" bestFit="1" customWidth="1"/>
    <col min="10" max="10" width="8.28515625" style="231" bestFit="1" customWidth="1"/>
    <col min="11" max="11" width="6.140625" style="231" bestFit="1" customWidth="1"/>
    <col min="12" max="12" width="6.5703125" style="231" bestFit="1" customWidth="1"/>
    <col min="13" max="13" width="13.85546875" style="231" bestFit="1" customWidth="1"/>
    <col min="14" max="14" width="8.140625" style="232" bestFit="1" customWidth="1"/>
    <col min="15" max="255" width="9.140625" style="231"/>
    <col min="256" max="256" width="7.7109375" style="231" customWidth="1"/>
    <col min="257" max="257" width="22.85546875" style="231" customWidth="1"/>
    <col min="258" max="258" width="12" style="231" customWidth="1"/>
    <col min="259" max="261" width="10.28515625" style="231" customWidth="1"/>
    <col min="262" max="263" width="11.140625" style="231" customWidth="1"/>
    <col min="264" max="264" width="10.140625" style="231" bestFit="1" customWidth="1"/>
    <col min="265" max="265" width="13.28515625" style="231" customWidth="1"/>
    <col min="266" max="266" width="11.7109375" style="231" customWidth="1"/>
    <col min="267" max="267" width="8.42578125" style="231" bestFit="1" customWidth="1"/>
    <col min="268" max="268" width="10" style="231" customWidth="1"/>
    <col min="269" max="269" width="13.28515625" style="231" bestFit="1" customWidth="1"/>
    <col min="270" max="270" width="12.85546875" style="231" customWidth="1"/>
    <col min="271" max="511" width="9.140625" style="231"/>
    <col min="512" max="512" width="7.7109375" style="231" customWidth="1"/>
    <col min="513" max="513" width="22.85546875" style="231" customWidth="1"/>
    <col min="514" max="514" width="12" style="231" customWidth="1"/>
    <col min="515" max="517" width="10.28515625" style="231" customWidth="1"/>
    <col min="518" max="519" width="11.140625" style="231" customWidth="1"/>
    <col min="520" max="520" width="10.140625" style="231" bestFit="1" customWidth="1"/>
    <col min="521" max="521" width="13.28515625" style="231" customWidth="1"/>
    <col min="522" max="522" width="11.7109375" style="231" customWidth="1"/>
    <col min="523" max="523" width="8.42578125" style="231" bestFit="1" customWidth="1"/>
    <col min="524" max="524" width="10" style="231" customWidth="1"/>
    <col min="525" max="525" width="13.28515625" style="231" bestFit="1" customWidth="1"/>
    <col min="526" max="526" width="12.85546875" style="231" customWidth="1"/>
    <col min="527" max="767" width="9.140625" style="231"/>
    <col min="768" max="768" width="7.7109375" style="231" customWidth="1"/>
    <col min="769" max="769" width="22.85546875" style="231" customWidth="1"/>
    <col min="770" max="770" width="12" style="231" customWidth="1"/>
    <col min="771" max="773" width="10.28515625" style="231" customWidth="1"/>
    <col min="774" max="775" width="11.140625" style="231" customWidth="1"/>
    <col min="776" max="776" width="10.140625" style="231" bestFit="1" customWidth="1"/>
    <col min="777" max="777" width="13.28515625" style="231" customWidth="1"/>
    <col min="778" max="778" width="11.7109375" style="231" customWidth="1"/>
    <col min="779" max="779" width="8.42578125" style="231" bestFit="1" customWidth="1"/>
    <col min="780" max="780" width="10" style="231" customWidth="1"/>
    <col min="781" max="781" width="13.28515625" style="231" bestFit="1" customWidth="1"/>
    <col min="782" max="782" width="12.85546875" style="231" customWidth="1"/>
    <col min="783" max="1023" width="9.140625" style="231"/>
    <col min="1024" max="1024" width="7.7109375" style="231" customWidth="1"/>
    <col min="1025" max="1025" width="22.85546875" style="231" customWidth="1"/>
    <col min="1026" max="1026" width="12" style="231" customWidth="1"/>
    <col min="1027" max="1029" width="10.28515625" style="231" customWidth="1"/>
    <col min="1030" max="1031" width="11.140625" style="231" customWidth="1"/>
    <col min="1032" max="1032" width="10.140625" style="231" bestFit="1" customWidth="1"/>
    <col min="1033" max="1033" width="13.28515625" style="231" customWidth="1"/>
    <col min="1034" max="1034" width="11.7109375" style="231" customWidth="1"/>
    <col min="1035" max="1035" width="8.42578125" style="231" bestFit="1" customWidth="1"/>
    <col min="1036" max="1036" width="10" style="231" customWidth="1"/>
    <col min="1037" max="1037" width="13.28515625" style="231" bestFit="1" customWidth="1"/>
    <col min="1038" max="1038" width="12.85546875" style="231" customWidth="1"/>
    <col min="1039" max="1279" width="9.140625" style="231"/>
    <col min="1280" max="1280" width="7.7109375" style="231" customWidth="1"/>
    <col min="1281" max="1281" width="22.85546875" style="231" customWidth="1"/>
    <col min="1282" max="1282" width="12" style="231" customWidth="1"/>
    <col min="1283" max="1285" width="10.28515625" style="231" customWidth="1"/>
    <col min="1286" max="1287" width="11.140625" style="231" customWidth="1"/>
    <col min="1288" max="1288" width="10.140625" style="231" bestFit="1" customWidth="1"/>
    <col min="1289" max="1289" width="13.28515625" style="231" customWidth="1"/>
    <col min="1290" max="1290" width="11.7109375" style="231" customWidth="1"/>
    <col min="1291" max="1291" width="8.42578125" style="231" bestFit="1" customWidth="1"/>
    <col min="1292" max="1292" width="10" style="231" customWidth="1"/>
    <col min="1293" max="1293" width="13.28515625" style="231" bestFit="1" customWidth="1"/>
    <col min="1294" max="1294" width="12.85546875" style="231" customWidth="1"/>
    <col min="1295" max="1535" width="9.140625" style="231"/>
    <col min="1536" max="1536" width="7.7109375" style="231" customWidth="1"/>
    <col min="1537" max="1537" width="22.85546875" style="231" customWidth="1"/>
    <col min="1538" max="1538" width="12" style="231" customWidth="1"/>
    <col min="1539" max="1541" width="10.28515625" style="231" customWidth="1"/>
    <col min="1542" max="1543" width="11.140625" style="231" customWidth="1"/>
    <col min="1544" max="1544" width="10.140625" style="231" bestFit="1" customWidth="1"/>
    <col min="1545" max="1545" width="13.28515625" style="231" customWidth="1"/>
    <col min="1546" max="1546" width="11.7109375" style="231" customWidth="1"/>
    <col min="1547" max="1547" width="8.42578125" style="231" bestFit="1" customWidth="1"/>
    <col min="1548" max="1548" width="10" style="231" customWidth="1"/>
    <col min="1549" max="1549" width="13.28515625" style="231" bestFit="1" customWidth="1"/>
    <col min="1550" max="1550" width="12.85546875" style="231" customWidth="1"/>
    <col min="1551" max="1791" width="9.140625" style="231"/>
    <col min="1792" max="1792" width="7.7109375" style="231" customWidth="1"/>
    <col min="1793" max="1793" width="22.85546875" style="231" customWidth="1"/>
    <col min="1794" max="1794" width="12" style="231" customWidth="1"/>
    <col min="1795" max="1797" width="10.28515625" style="231" customWidth="1"/>
    <col min="1798" max="1799" width="11.140625" style="231" customWidth="1"/>
    <col min="1800" max="1800" width="10.140625" style="231" bestFit="1" customWidth="1"/>
    <col min="1801" max="1801" width="13.28515625" style="231" customWidth="1"/>
    <col min="1802" max="1802" width="11.7109375" style="231" customWidth="1"/>
    <col min="1803" max="1803" width="8.42578125" style="231" bestFit="1" customWidth="1"/>
    <col min="1804" max="1804" width="10" style="231" customWidth="1"/>
    <col min="1805" max="1805" width="13.28515625" style="231" bestFit="1" customWidth="1"/>
    <col min="1806" max="1806" width="12.85546875" style="231" customWidth="1"/>
    <col min="1807" max="2047" width="9.140625" style="231"/>
    <col min="2048" max="2048" width="7.7109375" style="231" customWidth="1"/>
    <col min="2049" max="2049" width="22.85546875" style="231" customWidth="1"/>
    <col min="2050" max="2050" width="12" style="231" customWidth="1"/>
    <col min="2051" max="2053" width="10.28515625" style="231" customWidth="1"/>
    <col min="2054" max="2055" width="11.140625" style="231" customWidth="1"/>
    <col min="2056" max="2056" width="10.140625" style="231" bestFit="1" customWidth="1"/>
    <col min="2057" max="2057" width="13.28515625" style="231" customWidth="1"/>
    <col min="2058" max="2058" width="11.7109375" style="231" customWidth="1"/>
    <col min="2059" max="2059" width="8.42578125" style="231" bestFit="1" customWidth="1"/>
    <col min="2060" max="2060" width="10" style="231" customWidth="1"/>
    <col min="2061" max="2061" width="13.28515625" style="231" bestFit="1" customWidth="1"/>
    <col min="2062" max="2062" width="12.85546875" style="231" customWidth="1"/>
    <col min="2063" max="2303" width="9.140625" style="231"/>
    <col min="2304" max="2304" width="7.7109375" style="231" customWidth="1"/>
    <col min="2305" max="2305" width="22.85546875" style="231" customWidth="1"/>
    <col min="2306" max="2306" width="12" style="231" customWidth="1"/>
    <col min="2307" max="2309" width="10.28515625" style="231" customWidth="1"/>
    <col min="2310" max="2311" width="11.140625" style="231" customWidth="1"/>
    <col min="2312" max="2312" width="10.140625" style="231" bestFit="1" customWidth="1"/>
    <col min="2313" max="2313" width="13.28515625" style="231" customWidth="1"/>
    <col min="2314" max="2314" width="11.7109375" style="231" customWidth="1"/>
    <col min="2315" max="2315" width="8.42578125" style="231" bestFit="1" customWidth="1"/>
    <col min="2316" max="2316" width="10" style="231" customWidth="1"/>
    <col min="2317" max="2317" width="13.28515625" style="231" bestFit="1" customWidth="1"/>
    <col min="2318" max="2318" width="12.85546875" style="231" customWidth="1"/>
    <col min="2319" max="2559" width="9.140625" style="231"/>
    <col min="2560" max="2560" width="7.7109375" style="231" customWidth="1"/>
    <col min="2561" max="2561" width="22.85546875" style="231" customWidth="1"/>
    <col min="2562" max="2562" width="12" style="231" customWidth="1"/>
    <col min="2563" max="2565" width="10.28515625" style="231" customWidth="1"/>
    <col min="2566" max="2567" width="11.140625" style="231" customWidth="1"/>
    <col min="2568" max="2568" width="10.140625" style="231" bestFit="1" customWidth="1"/>
    <col min="2569" max="2569" width="13.28515625" style="231" customWidth="1"/>
    <col min="2570" max="2570" width="11.7109375" style="231" customWidth="1"/>
    <col min="2571" max="2571" width="8.42578125" style="231" bestFit="1" customWidth="1"/>
    <col min="2572" max="2572" width="10" style="231" customWidth="1"/>
    <col min="2573" max="2573" width="13.28515625" style="231" bestFit="1" customWidth="1"/>
    <col min="2574" max="2574" width="12.85546875" style="231" customWidth="1"/>
    <col min="2575" max="2815" width="9.140625" style="231"/>
    <col min="2816" max="2816" width="7.7109375" style="231" customWidth="1"/>
    <col min="2817" max="2817" width="22.85546875" style="231" customWidth="1"/>
    <col min="2818" max="2818" width="12" style="231" customWidth="1"/>
    <col min="2819" max="2821" width="10.28515625" style="231" customWidth="1"/>
    <col min="2822" max="2823" width="11.140625" style="231" customWidth="1"/>
    <col min="2824" max="2824" width="10.140625" style="231" bestFit="1" customWidth="1"/>
    <col min="2825" max="2825" width="13.28515625" style="231" customWidth="1"/>
    <col min="2826" max="2826" width="11.7109375" style="231" customWidth="1"/>
    <col min="2827" max="2827" width="8.42578125" style="231" bestFit="1" customWidth="1"/>
    <col min="2828" max="2828" width="10" style="231" customWidth="1"/>
    <col min="2829" max="2829" width="13.28515625" style="231" bestFit="1" customWidth="1"/>
    <col min="2830" max="2830" width="12.85546875" style="231" customWidth="1"/>
    <col min="2831" max="3071" width="9.140625" style="231"/>
    <col min="3072" max="3072" width="7.7109375" style="231" customWidth="1"/>
    <col min="3073" max="3073" width="22.85546875" style="231" customWidth="1"/>
    <col min="3074" max="3074" width="12" style="231" customWidth="1"/>
    <col min="3075" max="3077" width="10.28515625" style="231" customWidth="1"/>
    <col min="3078" max="3079" width="11.140625" style="231" customWidth="1"/>
    <col min="3080" max="3080" width="10.140625" style="231" bestFit="1" customWidth="1"/>
    <col min="3081" max="3081" width="13.28515625" style="231" customWidth="1"/>
    <col min="3082" max="3082" width="11.7109375" style="231" customWidth="1"/>
    <col min="3083" max="3083" width="8.42578125" style="231" bestFit="1" customWidth="1"/>
    <col min="3084" max="3084" width="10" style="231" customWidth="1"/>
    <col min="3085" max="3085" width="13.28515625" style="231" bestFit="1" customWidth="1"/>
    <col min="3086" max="3086" width="12.85546875" style="231" customWidth="1"/>
    <col min="3087" max="3327" width="9.140625" style="231"/>
    <col min="3328" max="3328" width="7.7109375" style="231" customWidth="1"/>
    <col min="3329" max="3329" width="22.85546875" style="231" customWidth="1"/>
    <col min="3330" max="3330" width="12" style="231" customWidth="1"/>
    <col min="3331" max="3333" width="10.28515625" style="231" customWidth="1"/>
    <col min="3334" max="3335" width="11.140625" style="231" customWidth="1"/>
    <col min="3336" max="3336" width="10.140625" style="231" bestFit="1" customWidth="1"/>
    <col min="3337" max="3337" width="13.28515625" style="231" customWidth="1"/>
    <col min="3338" max="3338" width="11.7109375" style="231" customWidth="1"/>
    <col min="3339" max="3339" width="8.42578125" style="231" bestFit="1" customWidth="1"/>
    <col min="3340" max="3340" width="10" style="231" customWidth="1"/>
    <col min="3341" max="3341" width="13.28515625" style="231" bestFit="1" customWidth="1"/>
    <col min="3342" max="3342" width="12.85546875" style="231" customWidth="1"/>
    <col min="3343" max="3583" width="9.140625" style="231"/>
    <col min="3584" max="3584" width="7.7109375" style="231" customWidth="1"/>
    <col min="3585" max="3585" width="22.85546875" style="231" customWidth="1"/>
    <col min="3586" max="3586" width="12" style="231" customWidth="1"/>
    <col min="3587" max="3589" width="10.28515625" style="231" customWidth="1"/>
    <col min="3590" max="3591" width="11.140625" style="231" customWidth="1"/>
    <col min="3592" max="3592" width="10.140625" style="231" bestFit="1" customWidth="1"/>
    <col min="3593" max="3593" width="13.28515625" style="231" customWidth="1"/>
    <col min="3594" max="3594" width="11.7109375" style="231" customWidth="1"/>
    <col min="3595" max="3595" width="8.42578125" style="231" bestFit="1" customWidth="1"/>
    <col min="3596" max="3596" width="10" style="231" customWidth="1"/>
    <col min="3597" max="3597" width="13.28515625" style="231" bestFit="1" customWidth="1"/>
    <col min="3598" max="3598" width="12.85546875" style="231" customWidth="1"/>
    <col min="3599" max="3839" width="9.140625" style="231"/>
    <col min="3840" max="3840" width="7.7109375" style="231" customWidth="1"/>
    <col min="3841" max="3841" width="22.85546875" style="231" customWidth="1"/>
    <col min="3842" max="3842" width="12" style="231" customWidth="1"/>
    <col min="3843" max="3845" width="10.28515625" style="231" customWidth="1"/>
    <col min="3846" max="3847" width="11.140625" style="231" customWidth="1"/>
    <col min="3848" max="3848" width="10.140625" style="231" bestFit="1" customWidth="1"/>
    <col min="3849" max="3849" width="13.28515625" style="231" customWidth="1"/>
    <col min="3850" max="3850" width="11.7109375" style="231" customWidth="1"/>
    <col min="3851" max="3851" width="8.42578125" style="231" bestFit="1" customWidth="1"/>
    <col min="3852" max="3852" width="10" style="231" customWidth="1"/>
    <col min="3853" max="3853" width="13.28515625" style="231" bestFit="1" customWidth="1"/>
    <col min="3854" max="3854" width="12.85546875" style="231" customWidth="1"/>
    <col min="3855" max="4095" width="9.140625" style="231"/>
    <col min="4096" max="4096" width="7.7109375" style="231" customWidth="1"/>
    <col min="4097" max="4097" width="22.85546875" style="231" customWidth="1"/>
    <col min="4098" max="4098" width="12" style="231" customWidth="1"/>
    <col min="4099" max="4101" width="10.28515625" style="231" customWidth="1"/>
    <col min="4102" max="4103" width="11.140625" style="231" customWidth="1"/>
    <col min="4104" max="4104" width="10.140625" style="231" bestFit="1" customWidth="1"/>
    <col min="4105" max="4105" width="13.28515625" style="231" customWidth="1"/>
    <col min="4106" max="4106" width="11.7109375" style="231" customWidth="1"/>
    <col min="4107" max="4107" width="8.42578125" style="231" bestFit="1" customWidth="1"/>
    <col min="4108" max="4108" width="10" style="231" customWidth="1"/>
    <col min="4109" max="4109" width="13.28515625" style="231" bestFit="1" customWidth="1"/>
    <col min="4110" max="4110" width="12.85546875" style="231" customWidth="1"/>
    <col min="4111" max="4351" width="9.140625" style="231"/>
    <col min="4352" max="4352" width="7.7109375" style="231" customWidth="1"/>
    <col min="4353" max="4353" width="22.85546875" style="231" customWidth="1"/>
    <col min="4354" max="4354" width="12" style="231" customWidth="1"/>
    <col min="4355" max="4357" width="10.28515625" style="231" customWidth="1"/>
    <col min="4358" max="4359" width="11.140625" style="231" customWidth="1"/>
    <col min="4360" max="4360" width="10.140625" style="231" bestFit="1" customWidth="1"/>
    <col min="4361" max="4361" width="13.28515625" style="231" customWidth="1"/>
    <col min="4362" max="4362" width="11.7109375" style="231" customWidth="1"/>
    <col min="4363" max="4363" width="8.42578125" style="231" bestFit="1" customWidth="1"/>
    <col min="4364" max="4364" width="10" style="231" customWidth="1"/>
    <col min="4365" max="4365" width="13.28515625" style="231" bestFit="1" customWidth="1"/>
    <col min="4366" max="4366" width="12.85546875" style="231" customWidth="1"/>
    <col min="4367" max="4607" width="9.140625" style="231"/>
    <col min="4608" max="4608" width="7.7109375" style="231" customWidth="1"/>
    <col min="4609" max="4609" width="22.85546875" style="231" customWidth="1"/>
    <col min="4610" max="4610" width="12" style="231" customWidth="1"/>
    <col min="4611" max="4613" width="10.28515625" style="231" customWidth="1"/>
    <col min="4614" max="4615" width="11.140625" style="231" customWidth="1"/>
    <col min="4616" max="4616" width="10.140625" style="231" bestFit="1" customWidth="1"/>
    <col min="4617" max="4617" width="13.28515625" style="231" customWidth="1"/>
    <col min="4618" max="4618" width="11.7109375" style="231" customWidth="1"/>
    <col min="4619" max="4619" width="8.42578125" style="231" bestFit="1" customWidth="1"/>
    <col min="4620" max="4620" width="10" style="231" customWidth="1"/>
    <col min="4621" max="4621" width="13.28515625" style="231" bestFit="1" customWidth="1"/>
    <col min="4622" max="4622" width="12.85546875" style="231" customWidth="1"/>
    <col min="4623" max="4863" width="9.140625" style="231"/>
    <col min="4864" max="4864" width="7.7109375" style="231" customWidth="1"/>
    <col min="4865" max="4865" width="22.85546875" style="231" customWidth="1"/>
    <col min="4866" max="4866" width="12" style="231" customWidth="1"/>
    <col min="4867" max="4869" width="10.28515625" style="231" customWidth="1"/>
    <col min="4870" max="4871" width="11.140625" style="231" customWidth="1"/>
    <col min="4872" max="4872" width="10.140625" style="231" bestFit="1" customWidth="1"/>
    <col min="4873" max="4873" width="13.28515625" style="231" customWidth="1"/>
    <col min="4874" max="4874" width="11.7109375" style="231" customWidth="1"/>
    <col min="4875" max="4875" width="8.42578125" style="231" bestFit="1" customWidth="1"/>
    <col min="4876" max="4876" width="10" style="231" customWidth="1"/>
    <col min="4877" max="4877" width="13.28515625" style="231" bestFit="1" customWidth="1"/>
    <col min="4878" max="4878" width="12.85546875" style="231" customWidth="1"/>
    <col min="4879" max="5119" width="9.140625" style="231"/>
    <col min="5120" max="5120" width="7.7109375" style="231" customWidth="1"/>
    <col min="5121" max="5121" width="22.85546875" style="231" customWidth="1"/>
    <col min="5122" max="5122" width="12" style="231" customWidth="1"/>
    <col min="5123" max="5125" width="10.28515625" style="231" customWidth="1"/>
    <col min="5126" max="5127" width="11.140625" style="231" customWidth="1"/>
    <col min="5128" max="5128" width="10.140625" style="231" bestFit="1" customWidth="1"/>
    <col min="5129" max="5129" width="13.28515625" style="231" customWidth="1"/>
    <col min="5130" max="5130" width="11.7109375" style="231" customWidth="1"/>
    <col min="5131" max="5131" width="8.42578125" style="231" bestFit="1" customWidth="1"/>
    <col min="5132" max="5132" width="10" style="231" customWidth="1"/>
    <col min="5133" max="5133" width="13.28515625" style="231" bestFit="1" customWidth="1"/>
    <col min="5134" max="5134" width="12.85546875" style="231" customWidth="1"/>
    <col min="5135" max="5375" width="9.140625" style="231"/>
    <col min="5376" max="5376" width="7.7109375" style="231" customWidth="1"/>
    <col min="5377" max="5377" width="22.85546875" style="231" customWidth="1"/>
    <col min="5378" max="5378" width="12" style="231" customWidth="1"/>
    <col min="5379" max="5381" width="10.28515625" style="231" customWidth="1"/>
    <col min="5382" max="5383" width="11.140625" style="231" customWidth="1"/>
    <col min="5384" max="5384" width="10.140625" style="231" bestFit="1" customWidth="1"/>
    <col min="5385" max="5385" width="13.28515625" style="231" customWidth="1"/>
    <col min="5386" max="5386" width="11.7109375" style="231" customWidth="1"/>
    <col min="5387" max="5387" width="8.42578125" style="231" bestFit="1" customWidth="1"/>
    <col min="5388" max="5388" width="10" style="231" customWidth="1"/>
    <col min="5389" max="5389" width="13.28515625" style="231" bestFit="1" customWidth="1"/>
    <col min="5390" max="5390" width="12.85546875" style="231" customWidth="1"/>
    <col min="5391" max="5631" width="9.140625" style="231"/>
    <col min="5632" max="5632" width="7.7109375" style="231" customWidth="1"/>
    <col min="5633" max="5633" width="22.85546875" style="231" customWidth="1"/>
    <col min="5634" max="5634" width="12" style="231" customWidth="1"/>
    <col min="5635" max="5637" width="10.28515625" style="231" customWidth="1"/>
    <col min="5638" max="5639" width="11.140625" style="231" customWidth="1"/>
    <col min="5640" max="5640" width="10.140625" style="231" bestFit="1" customWidth="1"/>
    <col min="5641" max="5641" width="13.28515625" style="231" customWidth="1"/>
    <col min="5642" max="5642" width="11.7109375" style="231" customWidth="1"/>
    <col min="5643" max="5643" width="8.42578125" style="231" bestFit="1" customWidth="1"/>
    <col min="5644" max="5644" width="10" style="231" customWidth="1"/>
    <col min="5645" max="5645" width="13.28515625" style="231" bestFit="1" customWidth="1"/>
    <col min="5646" max="5646" width="12.85546875" style="231" customWidth="1"/>
    <col min="5647" max="5887" width="9.140625" style="231"/>
    <col min="5888" max="5888" width="7.7109375" style="231" customWidth="1"/>
    <col min="5889" max="5889" width="22.85546875" style="231" customWidth="1"/>
    <col min="5890" max="5890" width="12" style="231" customWidth="1"/>
    <col min="5891" max="5893" width="10.28515625" style="231" customWidth="1"/>
    <col min="5894" max="5895" width="11.140625" style="231" customWidth="1"/>
    <col min="5896" max="5896" width="10.140625" style="231" bestFit="1" customWidth="1"/>
    <col min="5897" max="5897" width="13.28515625" style="231" customWidth="1"/>
    <col min="5898" max="5898" width="11.7109375" style="231" customWidth="1"/>
    <col min="5899" max="5899" width="8.42578125" style="231" bestFit="1" customWidth="1"/>
    <col min="5900" max="5900" width="10" style="231" customWidth="1"/>
    <col min="5901" max="5901" width="13.28515625" style="231" bestFit="1" customWidth="1"/>
    <col min="5902" max="5902" width="12.85546875" style="231" customWidth="1"/>
    <col min="5903" max="6143" width="9.140625" style="231"/>
    <col min="6144" max="6144" width="7.7109375" style="231" customWidth="1"/>
    <col min="6145" max="6145" width="22.85546875" style="231" customWidth="1"/>
    <col min="6146" max="6146" width="12" style="231" customWidth="1"/>
    <col min="6147" max="6149" width="10.28515625" style="231" customWidth="1"/>
    <col min="6150" max="6151" width="11.140625" style="231" customWidth="1"/>
    <col min="6152" max="6152" width="10.140625" style="231" bestFit="1" customWidth="1"/>
    <col min="6153" max="6153" width="13.28515625" style="231" customWidth="1"/>
    <col min="6154" max="6154" width="11.7109375" style="231" customWidth="1"/>
    <col min="6155" max="6155" width="8.42578125" style="231" bestFit="1" customWidth="1"/>
    <col min="6156" max="6156" width="10" style="231" customWidth="1"/>
    <col min="6157" max="6157" width="13.28515625" style="231" bestFit="1" customWidth="1"/>
    <col min="6158" max="6158" width="12.85546875" style="231" customWidth="1"/>
    <col min="6159" max="6399" width="9.140625" style="231"/>
    <col min="6400" max="6400" width="7.7109375" style="231" customWidth="1"/>
    <col min="6401" max="6401" width="22.85546875" style="231" customWidth="1"/>
    <col min="6402" max="6402" width="12" style="231" customWidth="1"/>
    <col min="6403" max="6405" width="10.28515625" style="231" customWidth="1"/>
    <col min="6406" max="6407" width="11.140625" style="231" customWidth="1"/>
    <col min="6408" max="6408" width="10.140625" style="231" bestFit="1" customWidth="1"/>
    <col min="6409" max="6409" width="13.28515625" style="231" customWidth="1"/>
    <col min="6410" max="6410" width="11.7109375" style="231" customWidth="1"/>
    <col min="6411" max="6411" width="8.42578125" style="231" bestFit="1" customWidth="1"/>
    <col min="6412" max="6412" width="10" style="231" customWidth="1"/>
    <col min="6413" max="6413" width="13.28515625" style="231" bestFit="1" customWidth="1"/>
    <col min="6414" max="6414" width="12.85546875" style="231" customWidth="1"/>
    <col min="6415" max="6655" width="9.140625" style="231"/>
    <col min="6656" max="6656" width="7.7109375" style="231" customWidth="1"/>
    <col min="6657" max="6657" width="22.85546875" style="231" customWidth="1"/>
    <col min="6658" max="6658" width="12" style="231" customWidth="1"/>
    <col min="6659" max="6661" width="10.28515625" style="231" customWidth="1"/>
    <col min="6662" max="6663" width="11.140625" style="231" customWidth="1"/>
    <col min="6664" max="6664" width="10.140625" style="231" bestFit="1" customWidth="1"/>
    <col min="6665" max="6665" width="13.28515625" style="231" customWidth="1"/>
    <col min="6666" max="6666" width="11.7109375" style="231" customWidth="1"/>
    <col min="6667" max="6667" width="8.42578125" style="231" bestFit="1" customWidth="1"/>
    <col min="6668" max="6668" width="10" style="231" customWidth="1"/>
    <col min="6669" max="6669" width="13.28515625" style="231" bestFit="1" customWidth="1"/>
    <col min="6670" max="6670" width="12.85546875" style="231" customWidth="1"/>
    <col min="6671" max="6911" width="9.140625" style="231"/>
    <col min="6912" max="6912" width="7.7109375" style="231" customWidth="1"/>
    <col min="6913" max="6913" width="22.85546875" style="231" customWidth="1"/>
    <col min="6914" max="6914" width="12" style="231" customWidth="1"/>
    <col min="6915" max="6917" width="10.28515625" style="231" customWidth="1"/>
    <col min="6918" max="6919" width="11.140625" style="231" customWidth="1"/>
    <col min="6920" max="6920" width="10.140625" style="231" bestFit="1" customWidth="1"/>
    <col min="6921" max="6921" width="13.28515625" style="231" customWidth="1"/>
    <col min="6922" max="6922" width="11.7109375" style="231" customWidth="1"/>
    <col min="6923" max="6923" width="8.42578125" style="231" bestFit="1" customWidth="1"/>
    <col min="6924" max="6924" width="10" style="231" customWidth="1"/>
    <col min="6925" max="6925" width="13.28515625" style="231" bestFit="1" customWidth="1"/>
    <col min="6926" max="6926" width="12.85546875" style="231" customWidth="1"/>
    <col min="6927" max="7167" width="9.140625" style="231"/>
    <col min="7168" max="7168" width="7.7109375" style="231" customWidth="1"/>
    <col min="7169" max="7169" width="22.85546875" style="231" customWidth="1"/>
    <col min="7170" max="7170" width="12" style="231" customWidth="1"/>
    <col min="7171" max="7173" width="10.28515625" style="231" customWidth="1"/>
    <col min="7174" max="7175" width="11.140625" style="231" customWidth="1"/>
    <col min="7176" max="7176" width="10.140625" style="231" bestFit="1" customWidth="1"/>
    <col min="7177" max="7177" width="13.28515625" style="231" customWidth="1"/>
    <col min="7178" max="7178" width="11.7109375" style="231" customWidth="1"/>
    <col min="7179" max="7179" width="8.42578125" style="231" bestFit="1" customWidth="1"/>
    <col min="7180" max="7180" width="10" style="231" customWidth="1"/>
    <col min="7181" max="7181" width="13.28515625" style="231" bestFit="1" customWidth="1"/>
    <col min="7182" max="7182" width="12.85546875" style="231" customWidth="1"/>
    <col min="7183" max="7423" width="9.140625" style="231"/>
    <col min="7424" max="7424" width="7.7109375" style="231" customWidth="1"/>
    <col min="7425" max="7425" width="22.85546875" style="231" customWidth="1"/>
    <col min="7426" max="7426" width="12" style="231" customWidth="1"/>
    <col min="7427" max="7429" width="10.28515625" style="231" customWidth="1"/>
    <col min="7430" max="7431" width="11.140625" style="231" customWidth="1"/>
    <col min="7432" max="7432" width="10.140625" style="231" bestFit="1" customWidth="1"/>
    <col min="7433" max="7433" width="13.28515625" style="231" customWidth="1"/>
    <col min="7434" max="7434" width="11.7109375" style="231" customWidth="1"/>
    <col min="7435" max="7435" width="8.42578125" style="231" bestFit="1" customWidth="1"/>
    <col min="7436" max="7436" width="10" style="231" customWidth="1"/>
    <col min="7437" max="7437" width="13.28515625" style="231" bestFit="1" customWidth="1"/>
    <col min="7438" max="7438" width="12.85546875" style="231" customWidth="1"/>
    <col min="7439" max="7679" width="9.140625" style="231"/>
    <col min="7680" max="7680" width="7.7109375" style="231" customWidth="1"/>
    <col min="7681" max="7681" width="22.85546875" style="231" customWidth="1"/>
    <col min="7682" max="7682" width="12" style="231" customWidth="1"/>
    <col min="7683" max="7685" width="10.28515625" style="231" customWidth="1"/>
    <col min="7686" max="7687" width="11.140625" style="231" customWidth="1"/>
    <col min="7688" max="7688" width="10.140625" style="231" bestFit="1" customWidth="1"/>
    <col min="7689" max="7689" width="13.28515625" style="231" customWidth="1"/>
    <col min="7690" max="7690" width="11.7109375" style="231" customWidth="1"/>
    <col min="7691" max="7691" width="8.42578125" style="231" bestFit="1" customWidth="1"/>
    <col min="7692" max="7692" width="10" style="231" customWidth="1"/>
    <col min="7693" max="7693" width="13.28515625" style="231" bestFit="1" customWidth="1"/>
    <col min="7694" max="7694" width="12.85546875" style="231" customWidth="1"/>
    <col min="7695" max="7935" width="9.140625" style="231"/>
    <col min="7936" max="7936" width="7.7109375" style="231" customWidth="1"/>
    <col min="7937" max="7937" width="22.85546875" style="231" customWidth="1"/>
    <col min="7938" max="7938" width="12" style="231" customWidth="1"/>
    <col min="7939" max="7941" width="10.28515625" style="231" customWidth="1"/>
    <col min="7942" max="7943" width="11.140625" style="231" customWidth="1"/>
    <col min="7944" max="7944" width="10.140625" style="231" bestFit="1" customWidth="1"/>
    <col min="7945" max="7945" width="13.28515625" style="231" customWidth="1"/>
    <col min="7946" max="7946" width="11.7109375" style="231" customWidth="1"/>
    <col min="7947" max="7947" width="8.42578125" style="231" bestFit="1" customWidth="1"/>
    <col min="7948" max="7948" width="10" style="231" customWidth="1"/>
    <col min="7949" max="7949" width="13.28515625" style="231" bestFit="1" customWidth="1"/>
    <col min="7950" max="7950" width="12.85546875" style="231" customWidth="1"/>
    <col min="7951" max="8191" width="9.140625" style="231"/>
    <col min="8192" max="8192" width="7.7109375" style="231" customWidth="1"/>
    <col min="8193" max="8193" width="22.85546875" style="231" customWidth="1"/>
    <col min="8194" max="8194" width="12" style="231" customWidth="1"/>
    <col min="8195" max="8197" width="10.28515625" style="231" customWidth="1"/>
    <col min="8198" max="8199" width="11.140625" style="231" customWidth="1"/>
    <col min="8200" max="8200" width="10.140625" style="231" bestFit="1" customWidth="1"/>
    <col min="8201" max="8201" width="13.28515625" style="231" customWidth="1"/>
    <col min="8202" max="8202" width="11.7109375" style="231" customWidth="1"/>
    <col min="8203" max="8203" width="8.42578125" style="231" bestFit="1" customWidth="1"/>
    <col min="8204" max="8204" width="10" style="231" customWidth="1"/>
    <col min="8205" max="8205" width="13.28515625" style="231" bestFit="1" customWidth="1"/>
    <col min="8206" max="8206" width="12.85546875" style="231" customWidth="1"/>
    <col min="8207" max="8447" width="9.140625" style="231"/>
    <col min="8448" max="8448" width="7.7109375" style="231" customWidth="1"/>
    <col min="8449" max="8449" width="22.85546875" style="231" customWidth="1"/>
    <col min="8450" max="8450" width="12" style="231" customWidth="1"/>
    <col min="8451" max="8453" width="10.28515625" style="231" customWidth="1"/>
    <col min="8454" max="8455" width="11.140625" style="231" customWidth="1"/>
    <col min="8456" max="8456" width="10.140625" style="231" bestFit="1" customWidth="1"/>
    <col min="8457" max="8457" width="13.28515625" style="231" customWidth="1"/>
    <col min="8458" max="8458" width="11.7109375" style="231" customWidth="1"/>
    <col min="8459" max="8459" width="8.42578125" style="231" bestFit="1" customWidth="1"/>
    <col min="8460" max="8460" width="10" style="231" customWidth="1"/>
    <col min="8461" max="8461" width="13.28515625" style="231" bestFit="1" customWidth="1"/>
    <col min="8462" max="8462" width="12.85546875" style="231" customWidth="1"/>
    <col min="8463" max="8703" width="9.140625" style="231"/>
    <col min="8704" max="8704" width="7.7109375" style="231" customWidth="1"/>
    <col min="8705" max="8705" width="22.85546875" style="231" customWidth="1"/>
    <col min="8706" max="8706" width="12" style="231" customWidth="1"/>
    <col min="8707" max="8709" width="10.28515625" style="231" customWidth="1"/>
    <col min="8710" max="8711" width="11.140625" style="231" customWidth="1"/>
    <col min="8712" max="8712" width="10.140625" style="231" bestFit="1" customWidth="1"/>
    <col min="8713" max="8713" width="13.28515625" style="231" customWidth="1"/>
    <col min="8714" max="8714" width="11.7109375" style="231" customWidth="1"/>
    <col min="8715" max="8715" width="8.42578125" style="231" bestFit="1" customWidth="1"/>
    <col min="8716" max="8716" width="10" style="231" customWidth="1"/>
    <col min="8717" max="8717" width="13.28515625" style="231" bestFit="1" customWidth="1"/>
    <col min="8718" max="8718" width="12.85546875" style="231" customWidth="1"/>
    <col min="8719" max="8959" width="9.140625" style="231"/>
    <col min="8960" max="8960" width="7.7109375" style="231" customWidth="1"/>
    <col min="8961" max="8961" width="22.85546875" style="231" customWidth="1"/>
    <col min="8962" max="8962" width="12" style="231" customWidth="1"/>
    <col min="8963" max="8965" width="10.28515625" style="231" customWidth="1"/>
    <col min="8966" max="8967" width="11.140625" style="231" customWidth="1"/>
    <col min="8968" max="8968" width="10.140625" style="231" bestFit="1" customWidth="1"/>
    <col min="8969" max="8969" width="13.28515625" style="231" customWidth="1"/>
    <col min="8970" max="8970" width="11.7109375" style="231" customWidth="1"/>
    <col min="8971" max="8971" width="8.42578125" style="231" bestFit="1" customWidth="1"/>
    <col min="8972" max="8972" width="10" style="231" customWidth="1"/>
    <col min="8973" max="8973" width="13.28515625" style="231" bestFit="1" customWidth="1"/>
    <col min="8974" max="8974" width="12.85546875" style="231" customWidth="1"/>
    <col min="8975" max="9215" width="9.140625" style="231"/>
    <col min="9216" max="9216" width="7.7109375" style="231" customWidth="1"/>
    <col min="9217" max="9217" width="22.85546875" style="231" customWidth="1"/>
    <col min="9218" max="9218" width="12" style="231" customWidth="1"/>
    <col min="9219" max="9221" width="10.28515625" style="231" customWidth="1"/>
    <col min="9222" max="9223" width="11.140625" style="231" customWidth="1"/>
    <col min="9224" max="9224" width="10.140625" style="231" bestFit="1" customWidth="1"/>
    <col min="9225" max="9225" width="13.28515625" style="231" customWidth="1"/>
    <col min="9226" max="9226" width="11.7109375" style="231" customWidth="1"/>
    <col min="9227" max="9227" width="8.42578125" style="231" bestFit="1" customWidth="1"/>
    <col min="9228" max="9228" width="10" style="231" customWidth="1"/>
    <col min="9229" max="9229" width="13.28515625" style="231" bestFit="1" customWidth="1"/>
    <col min="9230" max="9230" width="12.85546875" style="231" customWidth="1"/>
    <col min="9231" max="9471" width="9.140625" style="231"/>
    <col min="9472" max="9472" width="7.7109375" style="231" customWidth="1"/>
    <col min="9473" max="9473" width="22.85546875" style="231" customWidth="1"/>
    <col min="9474" max="9474" width="12" style="231" customWidth="1"/>
    <col min="9475" max="9477" width="10.28515625" style="231" customWidth="1"/>
    <col min="9478" max="9479" width="11.140625" style="231" customWidth="1"/>
    <col min="9480" max="9480" width="10.140625" style="231" bestFit="1" customWidth="1"/>
    <col min="9481" max="9481" width="13.28515625" style="231" customWidth="1"/>
    <col min="9482" max="9482" width="11.7109375" style="231" customWidth="1"/>
    <col min="9483" max="9483" width="8.42578125" style="231" bestFit="1" customWidth="1"/>
    <col min="9484" max="9484" width="10" style="231" customWidth="1"/>
    <col min="9485" max="9485" width="13.28515625" style="231" bestFit="1" customWidth="1"/>
    <col min="9486" max="9486" width="12.85546875" style="231" customWidth="1"/>
    <col min="9487" max="9727" width="9.140625" style="231"/>
    <col min="9728" max="9728" width="7.7109375" style="231" customWidth="1"/>
    <col min="9729" max="9729" width="22.85546875" style="231" customWidth="1"/>
    <col min="9730" max="9730" width="12" style="231" customWidth="1"/>
    <col min="9731" max="9733" width="10.28515625" style="231" customWidth="1"/>
    <col min="9734" max="9735" width="11.140625" style="231" customWidth="1"/>
    <col min="9736" max="9736" width="10.140625" style="231" bestFit="1" customWidth="1"/>
    <col min="9737" max="9737" width="13.28515625" style="231" customWidth="1"/>
    <col min="9738" max="9738" width="11.7109375" style="231" customWidth="1"/>
    <col min="9739" max="9739" width="8.42578125" style="231" bestFit="1" customWidth="1"/>
    <col min="9740" max="9740" width="10" style="231" customWidth="1"/>
    <col min="9741" max="9741" width="13.28515625" style="231" bestFit="1" customWidth="1"/>
    <col min="9742" max="9742" width="12.85546875" style="231" customWidth="1"/>
    <col min="9743" max="9983" width="9.140625" style="231"/>
    <col min="9984" max="9984" width="7.7109375" style="231" customWidth="1"/>
    <col min="9985" max="9985" width="22.85546875" style="231" customWidth="1"/>
    <col min="9986" max="9986" width="12" style="231" customWidth="1"/>
    <col min="9987" max="9989" width="10.28515625" style="231" customWidth="1"/>
    <col min="9990" max="9991" width="11.140625" style="231" customWidth="1"/>
    <col min="9992" max="9992" width="10.140625" style="231" bestFit="1" customWidth="1"/>
    <col min="9993" max="9993" width="13.28515625" style="231" customWidth="1"/>
    <col min="9994" max="9994" width="11.7109375" style="231" customWidth="1"/>
    <col min="9995" max="9995" width="8.42578125" style="231" bestFit="1" customWidth="1"/>
    <col min="9996" max="9996" width="10" style="231" customWidth="1"/>
    <col min="9997" max="9997" width="13.28515625" style="231" bestFit="1" customWidth="1"/>
    <col min="9998" max="9998" width="12.85546875" style="231" customWidth="1"/>
    <col min="9999" max="10239" width="9.140625" style="231"/>
    <col min="10240" max="10240" width="7.7109375" style="231" customWidth="1"/>
    <col min="10241" max="10241" width="22.85546875" style="231" customWidth="1"/>
    <col min="10242" max="10242" width="12" style="231" customWidth="1"/>
    <col min="10243" max="10245" width="10.28515625" style="231" customWidth="1"/>
    <col min="10246" max="10247" width="11.140625" style="231" customWidth="1"/>
    <col min="10248" max="10248" width="10.140625" style="231" bestFit="1" customWidth="1"/>
    <col min="10249" max="10249" width="13.28515625" style="231" customWidth="1"/>
    <col min="10250" max="10250" width="11.7109375" style="231" customWidth="1"/>
    <col min="10251" max="10251" width="8.42578125" style="231" bestFit="1" customWidth="1"/>
    <col min="10252" max="10252" width="10" style="231" customWidth="1"/>
    <col min="10253" max="10253" width="13.28515625" style="231" bestFit="1" customWidth="1"/>
    <col min="10254" max="10254" width="12.85546875" style="231" customWidth="1"/>
    <col min="10255" max="10495" width="9.140625" style="231"/>
    <col min="10496" max="10496" width="7.7109375" style="231" customWidth="1"/>
    <col min="10497" max="10497" width="22.85546875" style="231" customWidth="1"/>
    <col min="10498" max="10498" width="12" style="231" customWidth="1"/>
    <col min="10499" max="10501" width="10.28515625" style="231" customWidth="1"/>
    <col min="10502" max="10503" width="11.140625" style="231" customWidth="1"/>
    <col min="10504" max="10504" width="10.140625" style="231" bestFit="1" customWidth="1"/>
    <col min="10505" max="10505" width="13.28515625" style="231" customWidth="1"/>
    <col min="10506" max="10506" width="11.7109375" style="231" customWidth="1"/>
    <col min="10507" max="10507" width="8.42578125" style="231" bestFit="1" customWidth="1"/>
    <col min="10508" max="10508" width="10" style="231" customWidth="1"/>
    <col min="10509" max="10509" width="13.28515625" style="231" bestFit="1" customWidth="1"/>
    <col min="10510" max="10510" width="12.85546875" style="231" customWidth="1"/>
    <col min="10511" max="10751" width="9.140625" style="231"/>
    <col min="10752" max="10752" width="7.7109375" style="231" customWidth="1"/>
    <col min="10753" max="10753" width="22.85546875" style="231" customWidth="1"/>
    <col min="10754" max="10754" width="12" style="231" customWidth="1"/>
    <col min="10755" max="10757" width="10.28515625" style="231" customWidth="1"/>
    <col min="10758" max="10759" width="11.140625" style="231" customWidth="1"/>
    <col min="10760" max="10760" width="10.140625" style="231" bestFit="1" customWidth="1"/>
    <col min="10761" max="10761" width="13.28515625" style="231" customWidth="1"/>
    <col min="10762" max="10762" width="11.7109375" style="231" customWidth="1"/>
    <col min="10763" max="10763" width="8.42578125" style="231" bestFit="1" customWidth="1"/>
    <col min="10764" max="10764" width="10" style="231" customWidth="1"/>
    <col min="10765" max="10765" width="13.28515625" style="231" bestFit="1" customWidth="1"/>
    <col min="10766" max="10766" width="12.85546875" style="231" customWidth="1"/>
    <col min="10767" max="11007" width="9.140625" style="231"/>
    <col min="11008" max="11008" width="7.7109375" style="231" customWidth="1"/>
    <col min="11009" max="11009" width="22.85546875" style="231" customWidth="1"/>
    <col min="11010" max="11010" width="12" style="231" customWidth="1"/>
    <col min="11011" max="11013" width="10.28515625" style="231" customWidth="1"/>
    <col min="11014" max="11015" width="11.140625" style="231" customWidth="1"/>
    <col min="11016" max="11016" width="10.140625" style="231" bestFit="1" customWidth="1"/>
    <col min="11017" max="11017" width="13.28515625" style="231" customWidth="1"/>
    <col min="11018" max="11018" width="11.7109375" style="231" customWidth="1"/>
    <col min="11019" max="11019" width="8.42578125" style="231" bestFit="1" customWidth="1"/>
    <col min="11020" max="11020" width="10" style="231" customWidth="1"/>
    <col min="11021" max="11021" width="13.28515625" style="231" bestFit="1" customWidth="1"/>
    <col min="11022" max="11022" width="12.85546875" style="231" customWidth="1"/>
    <col min="11023" max="11263" width="9.140625" style="231"/>
    <col min="11264" max="11264" width="7.7109375" style="231" customWidth="1"/>
    <col min="11265" max="11265" width="22.85546875" style="231" customWidth="1"/>
    <col min="11266" max="11266" width="12" style="231" customWidth="1"/>
    <col min="11267" max="11269" width="10.28515625" style="231" customWidth="1"/>
    <col min="11270" max="11271" width="11.140625" style="231" customWidth="1"/>
    <col min="11272" max="11272" width="10.140625" style="231" bestFit="1" customWidth="1"/>
    <col min="11273" max="11273" width="13.28515625" style="231" customWidth="1"/>
    <col min="11274" max="11274" width="11.7109375" style="231" customWidth="1"/>
    <col min="11275" max="11275" width="8.42578125" style="231" bestFit="1" customWidth="1"/>
    <col min="11276" max="11276" width="10" style="231" customWidth="1"/>
    <col min="11277" max="11277" width="13.28515625" style="231" bestFit="1" customWidth="1"/>
    <col min="11278" max="11278" width="12.85546875" style="231" customWidth="1"/>
    <col min="11279" max="11519" width="9.140625" style="231"/>
    <col min="11520" max="11520" width="7.7109375" style="231" customWidth="1"/>
    <col min="11521" max="11521" width="22.85546875" style="231" customWidth="1"/>
    <col min="11522" max="11522" width="12" style="231" customWidth="1"/>
    <col min="11523" max="11525" width="10.28515625" style="231" customWidth="1"/>
    <col min="11526" max="11527" width="11.140625" style="231" customWidth="1"/>
    <col min="11528" max="11528" width="10.140625" style="231" bestFit="1" customWidth="1"/>
    <col min="11529" max="11529" width="13.28515625" style="231" customWidth="1"/>
    <col min="11530" max="11530" width="11.7109375" style="231" customWidth="1"/>
    <col min="11531" max="11531" width="8.42578125" style="231" bestFit="1" customWidth="1"/>
    <col min="11532" max="11532" width="10" style="231" customWidth="1"/>
    <col min="11533" max="11533" width="13.28515625" style="231" bestFit="1" customWidth="1"/>
    <col min="11534" max="11534" width="12.85546875" style="231" customWidth="1"/>
    <col min="11535" max="11775" width="9.140625" style="231"/>
    <col min="11776" max="11776" width="7.7109375" style="231" customWidth="1"/>
    <col min="11777" max="11777" width="22.85546875" style="231" customWidth="1"/>
    <col min="11778" max="11778" width="12" style="231" customWidth="1"/>
    <col min="11779" max="11781" width="10.28515625" style="231" customWidth="1"/>
    <col min="11782" max="11783" width="11.140625" style="231" customWidth="1"/>
    <col min="11784" max="11784" width="10.140625" style="231" bestFit="1" customWidth="1"/>
    <col min="11785" max="11785" width="13.28515625" style="231" customWidth="1"/>
    <col min="11786" max="11786" width="11.7109375" style="231" customWidth="1"/>
    <col min="11787" max="11787" width="8.42578125" style="231" bestFit="1" customWidth="1"/>
    <col min="11788" max="11788" width="10" style="231" customWidth="1"/>
    <col min="11789" max="11789" width="13.28515625" style="231" bestFit="1" customWidth="1"/>
    <col min="11790" max="11790" width="12.85546875" style="231" customWidth="1"/>
    <col min="11791" max="12031" width="9.140625" style="231"/>
    <col min="12032" max="12032" width="7.7109375" style="231" customWidth="1"/>
    <col min="12033" max="12033" width="22.85546875" style="231" customWidth="1"/>
    <col min="12034" max="12034" width="12" style="231" customWidth="1"/>
    <col min="12035" max="12037" width="10.28515625" style="231" customWidth="1"/>
    <col min="12038" max="12039" width="11.140625" style="231" customWidth="1"/>
    <col min="12040" max="12040" width="10.140625" style="231" bestFit="1" customWidth="1"/>
    <col min="12041" max="12041" width="13.28515625" style="231" customWidth="1"/>
    <col min="12042" max="12042" width="11.7109375" style="231" customWidth="1"/>
    <col min="12043" max="12043" width="8.42578125" style="231" bestFit="1" customWidth="1"/>
    <col min="12044" max="12044" width="10" style="231" customWidth="1"/>
    <col min="12045" max="12045" width="13.28515625" style="231" bestFit="1" customWidth="1"/>
    <col min="12046" max="12046" width="12.85546875" style="231" customWidth="1"/>
    <col min="12047" max="12287" width="9.140625" style="231"/>
    <col min="12288" max="12288" width="7.7109375" style="231" customWidth="1"/>
    <col min="12289" max="12289" width="22.85546875" style="231" customWidth="1"/>
    <col min="12290" max="12290" width="12" style="231" customWidth="1"/>
    <col min="12291" max="12293" width="10.28515625" style="231" customWidth="1"/>
    <col min="12294" max="12295" width="11.140625" style="231" customWidth="1"/>
    <col min="12296" max="12296" width="10.140625" style="231" bestFit="1" customWidth="1"/>
    <col min="12297" max="12297" width="13.28515625" style="231" customWidth="1"/>
    <col min="12298" max="12298" width="11.7109375" style="231" customWidth="1"/>
    <col min="12299" max="12299" width="8.42578125" style="231" bestFit="1" customWidth="1"/>
    <col min="12300" max="12300" width="10" style="231" customWidth="1"/>
    <col min="12301" max="12301" width="13.28515625" style="231" bestFit="1" customWidth="1"/>
    <col min="12302" max="12302" width="12.85546875" style="231" customWidth="1"/>
    <col min="12303" max="12543" width="9.140625" style="231"/>
    <col min="12544" max="12544" width="7.7109375" style="231" customWidth="1"/>
    <col min="12545" max="12545" width="22.85546875" style="231" customWidth="1"/>
    <col min="12546" max="12546" width="12" style="231" customWidth="1"/>
    <col min="12547" max="12549" width="10.28515625" style="231" customWidth="1"/>
    <col min="12550" max="12551" width="11.140625" style="231" customWidth="1"/>
    <col min="12552" max="12552" width="10.140625" style="231" bestFit="1" customWidth="1"/>
    <col min="12553" max="12553" width="13.28515625" style="231" customWidth="1"/>
    <col min="12554" max="12554" width="11.7109375" style="231" customWidth="1"/>
    <col min="12555" max="12555" width="8.42578125" style="231" bestFit="1" customWidth="1"/>
    <col min="12556" max="12556" width="10" style="231" customWidth="1"/>
    <col min="12557" max="12557" width="13.28515625" style="231" bestFit="1" customWidth="1"/>
    <col min="12558" max="12558" width="12.85546875" style="231" customWidth="1"/>
    <col min="12559" max="12799" width="9.140625" style="231"/>
    <col min="12800" max="12800" width="7.7109375" style="231" customWidth="1"/>
    <col min="12801" max="12801" width="22.85546875" style="231" customWidth="1"/>
    <col min="12802" max="12802" width="12" style="231" customWidth="1"/>
    <col min="12803" max="12805" width="10.28515625" style="231" customWidth="1"/>
    <col min="12806" max="12807" width="11.140625" style="231" customWidth="1"/>
    <col min="12808" max="12808" width="10.140625" style="231" bestFit="1" customWidth="1"/>
    <col min="12809" max="12809" width="13.28515625" style="231" customWidth="1"/>
    <col min="12810" max="12810" width="11.7109375" style="231" customWidth="1"/>
    <col min="12811" max="12811" width="8.42578125" style="231" bestFit="1" customWidth="1"/>
    <col min="12812" max="12812" width="10" style="231" customWidth="1"/>
    <col min="12813" max="12813" width="13.28515625" style="231" bestFit="1" customWidth="1"/>
    <col min="12814" max="12814" width="12.85546875" style="231" customWidth="1"/>
    <col min="12815" max="13055" width="9.140625" style="231"/>
    <col min="13056" max="13056" width="7.7109375" style="231" customWidth="1"/>
    <col min="13057" max="13057" width="22.85546875" style="231" customWidth="1"/>
    <col min="13058" max="13058" width="12" style="231" customWidth="1"/>
    <col min="13059" max="13061" width="10.28515625" style="231" customWidth="1"/>
    <col min="13062" max="13063" width="11.140625" style="231" customWidth="1"/>
    <col min="13064" max="13064" width="10.140625" style="231" bestFit="1" customWidth="1"/>
    <col min="13065" max="13065" width="13.28515625" style="231" customWidth="1"/>
    <col min="13066" max="13066" width="11.7109375" style="231" customWidth="1"/>
    <col min="13067" max="13067" width="8.42578125" style="231" bestFit="1" customWidth="1"/>
    <col min="13068" max="13068" width="10" style="231" customWidth="1"/>
    <col min="13069" max="13069" width="13.28515625" style="231" bestFit="1" customWidth="1"/>
    <col min="13070" max="13070" width="12.85546875" style="231" customWidth="1"/>
    <col min="13071" max="13311" width="9.140625" style="231"/>
    <col min="13312" max="13312" width="7.7109375" style="231" customWidth="1"/>
    <col min="13313" max="13313" width="22.85546875" style="231" customWidth="1"/>
    <col min="13314" max="13314" width="12" style="231" customWidth="1"/>
    <col min="13315" max="13317" width="10.28515625" style="231" customWidth="1"/>
    <col min="13318" max="13319" width="11.140625" style="231" customWidth="1"/>
    <col min="13320" max="13320" width="10.140625" style="231" bestFit="1" customWidth="1"/>
    <col min="13321" max="13321" width="13.28515625" style="231" customWidth="1"/>
    <col min="13322" max="13322" width="11.7109375" style="231" customWidth="1"/>
    <col min="13323" max="13323" width="8.42578125" style="231" bestFit="1" customWidth="1"/>
    <col min="13324" max="13324" width="10" style="231" customWidth="1"/>
    <col min="13325" max="13325" width="13.28515625" style="231" bestFit="1" customWidth="1"/>
    <col min="13326" max="13326" width="12.85546875" style="231" customWidth="1"/>
    <col min="13327" max="13567" width="9.140625" style="231"/>
    <col min="13568" max="13568" width="7.7109375" style="231" customWidth="1"/>
    <col min="13569" max="13569" width="22.85546875" style="231" customWidth="1"/>
    <col min="13570" max="13570" width="12" style="231" customWidth="1"/>
    <col min="13571" max="13573" width="10.28515625" style="231" customWidth="1"/>
    <col min="13574" max="13575" width="11.140625" style="231" customWidth="1"/>
    <col min="13576" max="13576" width="10.140625" style="231" bestFit="1" customWidth="1"/>
    <col min="13577" max="13577" width="13.28515625" style="231" customWidth="1"/>
    <col min="13578" max="13578" width="11.7109375" style="231" customWidth="1"/>
    <col min="13579" max="13579" width="8.42578125" style="231" bestFit="1" customWidth="1"/>
    <col min="13580" max="13580" width="10" style="231" customWidth="1"/>
    <col min="13581" max="13581" width="13.28515625" style="231" bestFit="1" customWidth="1"/>
    <col min="13582" max="13582" width="12.85546875" style="231" customWidth="1"/>
    <col min="13583" max="13823" width="9.140625" style="231"/>
    <col min="13824" max="13824" width="7.7109375" style="231" customWidth="1"/>
    <col min="13825" max="13825" width="22.85546875" style="231" customWidth="1"/>
    <col min="13826" max="13826" width="12" style="231" customWidth="1"/>
    <col min="13827" max="13829" width="10.28515625" style="231" customWidth="1"/>
    <col min="13830" max="13831" width="11.140625" style="231" customWidth="1"/>
    <col min="13832" max="13832" width="10.140625" style="231" bestFit="1" customWidth="1"/>
    <col min="13833" max="13833" width="13.28515625" style="231" customWidth="1"/>
    <col min="13834" max="13834" width="11.7109375" style="231" customWidth="1"/>
    <col min="13835" max="13835" width="8.42578125" style="231" bestFit="1" customWidth="1"/>
    <col min="13836" max="13836" width="10" style="231" customWidth="1"/>
    <col min="13837" max="13837" width="13.28515625" style="231" bestFit="1" customWidth="1"/>
    <col min="13838" max="13838" width="12.85546875" style="231" customWidth="1"/>
    <col min="13839" max="14079" width="9.140625" style="231"/>
    <col min="14080" max="14080" width="7.7109375" style="231" customWidth="1"/>
    <col min="14081" max="14081" width="22.85546875" style="231" customWidth="1"/>
    <col min="14082" max="14082" width="12" style="231" customWidth="1"/>
    <col min="14083" max="14085" width="10.28515625" style="231" customWidth="1"/>
    <col min="14086" max="14087" width="11.140625" style="231" customWidth="1"/>
    <col min="14088" max="14088" width="10.140625" style="231" bestFit="1" customWidth="1"/>
    <col min="14089" max="14089" width="13.28515625" style="231" customWidth="1"/>
    <col min="14090" max="14090" width="11.7109375" style="231" customWidth="1"/>
    <col min="14091" max="14091" width="8.42578125" style="231" bestFit="1" customWidth="1"/>
    <col min="14092" max="14092" width="10" style="231" customWidth="1"/>
    <col min="14093" max="14093" width="13.28515625" style="231" bestFit="1" customWidth="1"/>
    <col min="14094" max="14094" width="12.85546875" style="231" customWidth="1"/>
    <col min="14095" max="14335" width="9.140625" style="231"/>
    <col min="14336" max="14336" width="7.7109375" style="231" customWidth="1"/>
    <col min="14337" max="14337" width="22.85546875" style="231" customWidth="1"/>
    <col min="14338" max="14338" width="12" style="231" customWidth="1"/>
    <col min="14339" max="14341" width="10.28515625" style="231" customWidth="1"/>
    <col min="14342" max="14343" width="11.140625" style="231" customWidth="1"/>
    <col min="14344" max="14344" width="10.140625" style="231" bestFit="1" customWidth="1"/>
    <col min="14345" max="14345" width="13.28515625" style="231" customWidth="1"/>
    <col min="14346" max="14346" width="11.7109375" style="231" customWidth="1"/>
    <col min="14347" max="14347" width="8.42578125" style="231" bestFit="1" customWidth="1"/>
    <col min="14348" max="14348" width="10" style="231" customWidth="1"/>
    <col min="14349" max="14349" width="13.28515625" style="231" bestFit="1" customWidth="1"/>
    <col min="14350" max="14350" width="12.85546875" style="231" customWidth="1"/>
    <col min="14351" max="14591" width="9.140625" style="231"/>
    <col min="14592" max="14592" width="7.7109375" style="231" customWidth="1"/>
    <col min="14593" max="14593" width="22.85546875" style="231" customWidth="1"/>
    <col min="14594" max="14594" width="12" style="231" customWidth="1"/>
    <col min="14595" max="14597" width="10.28515625" style="231" customWidth="1"/>
    <col min="14598" max="14599" width="11.140625" style="231" customWidth="1"/>
    <col min="14600" max="14600" width="10.140625" style="231" bestFit="1" customWidth="1"/>
    <col min="14601" max="14601" width="13.28515625" style="231" customWidth="1"/>
    <col min="14602" max="14602" width="11.7109375" style="231" customWidth="1"/>
    <col min="14603" max="14603" width="8.42578125" style="231" bestFit="1" customWidth="1"/>
    <col min="14604" max="14604" width="10" style="231" customWidth="1"/>
    <col min="14605" max="14605" width="13.28515625" style="231" bestFit="1" customWidth="1"/>
    <col min="14606" max="14606" width="12.85546875" style="231" customWidth="1"/>
    <col min="14607" max="14847" width="9.140625" style="231"/>
    <col min="14848" max="14848" width="7.7109375" style="231" customWidth="1"/>
    <col min="14849" max="14849" width="22.85546875" style="231" customWidth="1"/>
    <col min="14850" max="14850" width="12" style="231" customWidth="1"/>
    <col min="14851" max="14853" width="10.28515625" style="231" customWidth="1"/>
    <col min="14854" max="14855" width="11.140625" style="231" customWidth="1"/>
    <col min="14856" max="14856" width="10.140625" style="231" bestFit="1" customWidth="1"/>
    <col min="14857" max="14857" width="13.28515625" style="231" customWidth="1"/>
    <col min="14858" max="14858" width="11.7109375" style="231" customWidth="1"/>
    <col min="14859" max="14859" width="8.42578125" style="231" bestFit="1" customWidth="1"/>
    <col min="14860" max="14860" width="10" style="231" customWidth="1"/>
    <col min="14861" max="14861" width="13.28515625" style="231" bestFit="1" customWidth="1"/>
    <col min="14862" max="14862" width="12.85546875" style="231" customWidth="1"/>
    <col min="14863" max="15103" width="9.140625" style="231"/>
    <col min="15104" max="15104" width="7.7109375" style="231" customWidth="1"/>
    <col min="15105" max="15105" width="22.85546875" style="231" customWidth="1"/>
    <col min="15106" max="15106" width="12" style="231" customWidth="1"/>
    <col min="15107" max="15109" width="10.28515625" style="231" customWidth="1"/>
    <col min="15110" max="15111" width="11.140625" style="231" customWidth="1"/>
    <col min="15112" max="15112" width="10.140625" style="231" bestFit="1" customWidth="1"/>
    <col min="15113" max="15113" width="13.28515625" style="231" customWidth="1"/>
    <col min="15114" max="15114" width="11.7109375" style="231" customWidth="1"/>
    <col min="15115" max="15115" width="8.42578125" style="231" bestFit="1" customWidth="1"/>
    <col min="15116" max="15116" width="10" style="231" customWidth="1"/>
    <col min="15117" max="15117" width="13.28515625" style="231" bestFit="1" customWidth="1"/>
    <col min="15118" max="15118" width="12.85546875" style="231" customWidth="1"/>
    <col min="15119" max="15359" width="9.140625" style="231"/>
    <col min="15360" max="15360" width="7.7109375" style="231" customWidth="1"/>
    <col min="15361" max="15361" width="22.85546875" style="231" customWidth="1"/>
    <col min="15362" max="15362" width="12" style="231" customWidth="1"/>
    <col min="15363" max="15365" width="10.28515625" style="231" customWidth="1"/>
    <col min="15366" max="15367" width="11.140625" style="231" customWidth="1"/>
    <col min="15368" max="15368" width="10.140625" style="231" bestFit="1" customWidth="1"/>
    <col min="15369" max="15369" width="13.28515625" style="231" customWidth="1"/>
    <col min="15370" max="15370" width="11.7109375" style="231" customWidth="1"/>
    <col min="15371" max="15371" width="8.42578125" style="231" bestFit="1" customWidth="1"/>
    <col min="15372" max="15372" width="10" style="231" customWidth="1"/>
    <col min="15373" max="15373" width="13.28515625" style="231" bestFit="1" customWidth="1"/>
    <col min="15374" max="15374" width="12.85546875" style="231" customWidth="1"/>
    <col min="15375" max="15615" width="9.140625" style="231"/>
    <col min="15616" max="15616" width="7.7109375" style="231" customWidth="1"/>
    <col min="15617" max="15617" width="22.85546875" style="231" customWidth="1"/>
    <col min="15618" max="15618" width="12" style="231" customWidth="1"/>
    <col min="15619" max="15621" width="10.28515625" style="231" customWidth="1"/>
    <col min="15622" max="15623" width="11.140625" style="231" customWidth="1"/>
    <col min="15624" max="15624" width="10.140625" style="231" bestFit="1" customWidth="1"/>
    <col min="15625" max="15625" width="13.28515625" style="231" customWidth="1"/>
    <col min="15626" max="15626" width="11.7109375" style="231" customWidth="1"/>
    <col min="15627" max="15627" width="8.42578125" style="231" bestFit="1" customWidth="1"/>
    <col min="15628" max="15628" width="10" style="231" customWidth="1"/>
    <col min="15629" max="15629" width="13.28515625" style="231" bestFit="1" customWidth="1"/>
    <col min="15630" max="15630" width="12.85546875" style="231" customWidth="1"/>
    <col min="15631" max="15871" width="9.140625" style="231"/>
    <col min="15872" max="15872" width="7.7109375" style="231" customWidth="1"/>
    <col min="15873" max="15873" width="22.85546875" style="231" customWidth="1"/>
    <col min="15874" max="15874" width="12" style="231" customWidth="1"/>
    <col min="15875" max="15877" width="10.28515625" style="231" customWidth="1"/>
    <col min="15878" max="15879" width="11.140625" style="231" customWidth="1"/>
    <col min="15880" max="15880" width="10.140625" style="231" bestFit="1" customWidth="1"/>
    <col min="15881" max="15881" width="13.28515625" style="231" customWidth="1"/>
    <col min="15882" max="15882" width="11.7109375" style="231" customWidth="1"/>
    <col min="15883" max="15883" width="8.42578125" style="231" bestFit="1" customWidth="1"/>
    <col min="15884" max="15884" width="10" style="231" customWidth="1"/>
    <col min="15885" max="15885" width="13.28515625" style="231" bestFit="1" customWidth="1"/>
    <col min="15886" max="15886" width="12.85546875" style="231" customWidth="1"/>
    <col min="15887" max="16127" width="9.140625" style="231"/>
    <col min="16128" max="16128" width="7.7109375" style="231" customWidth="1"/>
    <col min="16129" max="16129" width="22.85546875" style="231" customWidth="1"/>
    <col min="16130" max="16130" width="12" style="231" customWidth="1"/>
    <col min="16131" max="16133" width="10.28515625" style="231" customWidth="1"/>
    <col min="16134" max="16135" width="11.140625" style="231" customWidth="1"/>
    <col min="16136" max="16136" width="10.140625" style="231" bestFit="1" customWidth="1"/>
    <col min="16137" max="16137" width="13.28515625" style="231" customWidth="1"/>
    <col min="16138" max="16138" width="11.7109375" style="231" customWidth="1"/>
    <col min="16139" max="16139" width="8.42578125" style="231" bestFit="1" customWidth="1"/>
    <col min="16140" max="16140" width="10" style="231" customWidth="1"/>
    <col min="16141" max="16141" width="13.28515625" style="231" bestFit="1" customWidth="1"/>
    <col min="16142" max="16142" width="12.85546875" style="231" customWidth="1"/>
    <col min="16143" max="16384" width="9.140625" style="231"/>
  </cols>
  <sheetData>
    <row r="1" spans="1:14">
      <c r="A1" s="1113" t="s">
        <v>1232</v>
      </c>
      <c r="B1" s="1113"/>
      <c r="C1" s="1113"/>
      <c r="D1" s="1113"/>
      <c r="E1" s="229"/>
      <c r="F1" s="229"/>
      <c r="G1" s="229"/>
      <c r="H1" s="230"/>
      <c r="I1" s="230"/>
      <c r="J1" s="230"/>
    </row>
    <row r="2" spans="1:14">
      <c r="A2" s="1114" t="s">
        <v>532</v>
      </c>
      <c r="B2" s="1114"/>
      <c r="C2" s="229"/>
      <c r="D2" s="229"/>
      <c r="E2" s="229"/>
      <c r="F2" s="229"/>
      <c r="G2" s="229"/>
      <c r="H2" s="230"/>
      <c r="I2" s="230"/>
      <c r="J2" s="230"/>
    </row>
    <row r="3" spans="1:14">
      <c r="A3" s="233"/>
      <c r="B3" s="234"/>
      <c r="C3" s="230"/>
      <c r="D3" s="230"/>
      <c r="E3" s="230"/>
      <c r="F3" s="230"/>
      <c r="G3" s="230"/>
      <c r="H3" s="230"/>
      <c r="I3" s="235"/>
      <c r="J3" s="230"/>
    </row>
    <row r="4" spans="1:14">
      <c r="A4" s="233"/>
      <c r="B4" s="234"/>
      <c r="C4" s="236" t="s">
        <v>533</v>
      </c>
      <c r="D4" s="236" t="s">
        <v>534</v>
      </c>
      <c r="E4" s="236" t="s">
        <v>535</v>
      </c>
      <c r="F4" s="236" t="s">
        <v>536</v>
      </c>
      <c r="G4" s="236" t="s">
        <v>537</v>
      </c>
      <c r="H4" s="236" t="s">
        <v>538</v>
      </c>
      <c r="I4" s="236" t="s">
        <v>539</v>
      </c>
      <c r="J4" s="236" t="s">
        <v>540</v>
      </c>
      <c r="K4" s="236" t="s">
        <v>541</v>
      </c>
      <c r="L4" s="236" t="s">
        <v>542</v>
      </c>
      <c r="M4" s="236" t="s">
        <v>543</v>
      </c>
    </row>
    <row r="5" spans="1:14">
      <c r="A5" s="233"/>
      <c r="B5" s="234"/>
      <c r="C5" s="237" t="s">
        <v>544</v>
      </c>
      <c r="D5" s="237" t="s">
        <v>21</v>
      </c>
      <c r="E5" s="237"/>
      <c r="F5" s="237"/>
      <c r="G5" s="237"/>
      <c r="H5" s="237"/>
      <c r="I5" s="237"/>
      <c r="J5" s="237"/>
      <c r="K5" s="238"/>
      <c r="L5" s="238"/>
      <c r="M5" s="238"/>
    </row>
    <row r="6" spans="1:14">
      <c r="A6" s="233" t="s">
        <v>545</v>
      </c>
      <c r="B6" s="234" t="s">
        <v>546</v>
      </c>
      <c r="C6" s="237" t="s">
        <v>547</v>
      </c>
      <c r="D6" s="240" t="s">
        <v>548</v>
      </c>
      <c r="E6" s="237" t="s">
        <v>549</v>
      </c>
      <c r="F6" s="237" t="s">
        <v>550</v>
      </c>
      <c r="G6" s="237" t="s">
        <v>550</v>
      </c>
      <c r="H6" s="237" t="s">
        <v>162</v>
      </c>
      <c r="I6" s="241" t="s">
        <v>551</v>
      </c>
      <c r="J6" s="237" t="s">
        <v>552</v>
      </c>
      <c r="K6" s="239" t="s">
        <v>553</v>
      </c>
      <c r="L6" s="239" t="s">
        <v>554</v>
      </c>
      <c r="M6" s="239" t="s">
        <v>101</v>
      </c>
      <c r="N6" s="242" t="s">
        <v>1</v>
      </c>
    </row>
    <row r="7" spans="1:14">
      <c r="A7" s="233"/>
      <c r="B7" s="243" t="s">
        <v>127</v>
      </c>
      <c r="C7" s="240" t="s">
        <v>555</v>
      </c>
      <c r="D7" s="240" t="s">
        <v>1242</v>
      </c>
      <c r="E7" s="240" t="s">
        <v>250</v>
      </c>
      <c r="F7" s="240" t="s">
        <v>556</v>
      </c>
      <c r="G7" s="240" t="s">
        <v>427</v>
      </c>
      <c r="H7" s="240"/>
      <c r="I7" s="244" t="s">
        <v>557</v>
      </c>
      <c r="J7" s="240"/>
      <c r="K7" s="245"/>
      <c r="L7" s="244" t="s">
        <v>558</v>
      </c>
      <c r="M7" s="245" t="s">
        <v>559</v>
      </c>
      <c r="N7" s="246"/>
    </row>
    <row r="8" spans="1:14">
      <c r="A8" s="247">
        <v>32000</v>
      </c>
      <c r="B8" s="248" t="s">
        <v>128</v>
      </c>
      <c r="C8" s="249">
        <f>'Restating Expl'!B21</f>
        <v>-117.40000000025611</v>
      </c>
      <c r="D8" s="249"/>
      <c r="E8" s="249"/>
      <c r="F8" s="249"/>
      <c r="G8" s="249"/>
      <c r="H8" s="249"/>
      <c r="I8" s="249"/>
      <c r="J8" s="249"/>
      <c r="K8" s="250"/>
      <c r="L8" s="250"/>
      <c r="M8" s="250"/>
      <c r="N8" s="250">
        <f t="shared" ref="N8:N13" si="0">SUM(C8:M8)</f>
        <v>-117.40000000025611</v>
      </c>
    </row>
    <row r="9" spans="1:14">
      <c r="A9" s="247">
        <v>33000</v>
      </c>
      <c r="B9" s="248" t="s">
        <v>560</v>
      </c>
      <c r="C9" s="249">
        <f>'Restating Expl'!B22</f>
        <v>-6840.6499999999069</v>
      </c>
      <c r="D9" s="249"/>
      <c r="E9" s="249"/>
      <c r="F9" s="249"/>
      <c r="G9" s="249"/>
      <c r="H9" s="249"/>
      <c r="I9" s="249"/>
      <c r="J9" s="249"/>
      <c r="K9" s="250"/>
      <c r="L9" s="250"/>
      <c r="M9" s="250"/>
      <c r="N9" s="250">
        <f t="shared" si="0"/>
        <v>-6840.6499999999069</v>
      </c>
    </row>
    <row r="10" spans="1:14">
      <c r="A10" s="247">
        <v>31000</v>
      </c>
      <c r="B10" s="248" t="s">
        <v>131</v>
      </c>
      <c r="C10" s="249">
        <f>'Restating Expl'!B23</f>
        <v>-361.60000000002037</v>
      </c>
      <c r="D10" s="249"/>
      <c r="E10" s="249"/>
      <c r="F10" s="249"/>
      <c r="G10" s="249"/>
      <c r="H10" s="249"/>
      <c r="I10" s="249"/>
      <c r="J10" s="249"/>
      <c r="K10" s="250"/>
      <c r="L10" s="250"/>
      <c r="M10" s="250"/>
      <c r="N10" s="250">
        <f t="shared" si="0"/>
        <v>-361.60000000002037</v>
      </c>
    </row>
    <row r="11" spans="1:14">
      <c r="A11" s="247">
        <v>31005</v>
      </c>
      <c r="B11" s="248" t="s">
        <v>132</v>
      </c>
      <c r="C11" s="249">
        <f>'Restating Expl'!B24</f>
        <v>-635.68999999998778</v>
      </c>
      <c r="D11" s="249"/>
      <c r="E11" s="249"/>
      <c r="F11" s="249"/>
      <c r="G11" s="249"/>
      <c r="H11" s="249"/>
      <c r="I11" s="249"/>
      <c r="J11" s="249"/>
      <c r="K11" s="250"/>
      <c r="L11" s="250"/>
      <c r="M11" s="250"/>
      <c r="N11" s="250">
        <f t="shared" si="0"/>
        <v>-635.68999999998778</v>
      </c>
    </row>
    <row r="12" spans="1:14">
      <c r="A12" s="247">
        <v>38001</v>
      </c>
      <c r="B12" s="248" t="s">
        <v>561</v>
      </c>
      <c r="C12" s="249">
        <f>'Restating Expl'!B31</f>
        <v>-2652.4800000000005</v>
      </c>
      <c r="D12" s="249"/>
      <c r="E12" s="249"/>
      <c r="F12" s="249"/>
      <c r="G12" s="249"/>
      <c r="H12" s="249"/>
      <c r="I12" s="249"/>
      <c r="J12" s="249"/>
      <c r="K12" s="250"/>
      <c r="L12" s="250"/>
      <c r="M12" s="250"/>
      <c r="N12" s="250">
        <f t="shared" si="0"/>
        <v>-2652.4800000000005</v>
      </c>
    </row>
    <row r="13" spans="1:14">
      <c r="A13" s="373">
        <v>61000</v>
      </c>
      <c r="B13" s="234" t="s">
        <v>562</v>
      </c>
      <c r="C13" s="249">
        <f>'Restating Expl'!B25</f>
        <v>466.23000000000138</v>
      </c>
      <c r="D13" s="249"/>
      <c r="E13" s="249"/>
      <c r="F13" s="249"/>
      <c r="G13" s="249"/>
      <c r="H13" s="249"/>
      <c r="I13" s="249"/>
      <c r="J13" s="249"/>
      <c r="K13" s="250"/>
      <c r="L13" s="250"/>
      <c r="M13" s="250"/>
      <c r="N13" s="250">
        <f t="shared" si="0"/>
        <v>466.23000000000138</v>
      </c>
    </row>
    <row r="14" spans="1:14">
      <c r="A14" s="252"/>
      <c r="B14" s="243" t="s">
        <v>563</v>
      </c>
      <c r="C14" s="253">
        <f>SUM(C8:C13)</f>
        <v>-10141.590000000169</v>
      </c>
      <c r="D14" s="253">
        <f>SUM(D8:D13)</f>
        <v>0</v>
      </c>
      <c r="E14" s="253"/>
      <c r="F14" s="253">
        <f t="shared" ref="F14:N14" si="1">SUM(F8:F13)</f>
        <v>0</v>
      </c>
      <c r="G14" s="253">
        <f t="shared" si="1"/>
        <v>0</v>
      </c>
      <c r="H14" s="253">
        <f t="shared" si="1"/>
        <v>0</v>
      </c>
      <c r="I14" s="253">
        <f t="shared" si="1"/>
        <v>0</v>
      </c>
      <c r="J14" s="253">
        <f t="shared" si="1"/>
        <v>0</v>
      </c>
      <c r="K14" s="253">
        <f t="shared" si="1"/>
        <v>0</v>
      </c>
      <c r="L14" s="253">
        <f t="shared" si="1"/>
        <v>0</v>
      </c>
      <c r="M14" s="253">
        <f t="shared" si="1"/>
        <v>0</v>
      </c>
      <c r="N14" s="253">
        <f t="shared" si="1"/>
        <v>-10141.590000000169</v>
      </c>
    </row>
    <row r="15" spans="1:14">
      <c r="A15" s="251"/>
      <c r="B15" s="243"/>
      <c r="C15" s="253"/>
      <c r="D15" s="253"/>
      <c r="E15" s="253"/>
      <c r="F15" s="253"/>
      <c r="G15" s="253"/>
      <c r="H15" s="253"/>
      <c r="I15" s="249"/>
      <c r="J15" s="253"/>
      <c r="K15" s="250"/>
      <c r="L15" s="250"/>
      <c r="M15" s="250"/>
      <c r="N15" s="250"/>
    </row>
    <row r="16" spans="1:14">
      <c r="A16" s="251"/>
      <c r="B16" s="243" t="s">
        <v>134</v>
      </c>
      <c r="C16" s="253"/>
      <c r="D16" s="253"/>
      <c r="E16" s="253"/>
      <c r="F16" s="253"/>
      <c r="G16" s="253"/>
      <c r="H16" s="249"/>
      <c r="I16" s="249"/>
      <c r="J16" s="249"/>
      <c r="K16" s="250"/>
      <c r="L16" s="250"/>
      <c r="M16" s="250"/>
      <c r="N16" s="250"/>
    </row>
    <row r="17" spans="1:15">
      <c r="A17" s="251">
        <v>41200</v>
      </c>
      <c r="B17" s="234" t="s">
        <v>136</v>
      </c>
      <c r="C17" s="249"/>
      <c r="D17" s="249"/>
      <c r="E17" s="249"/>
      <c r="F17" s="249"/>
      <c r="G17" s="249"/>
      <c r="H17" s="249"/>
      <c r="I17" s="249"/>
      <c r="J17" s="249"/>
      <c r="K17" s="250"/>
      <c r="L17" s="250"/>
      <c r="M17" s="250"/>
      <c r="N17" s="250">
        <f t="shared" ref="N17:N58" si="2">SUM(C17:M17)</f>
        <v>0</v>
      </c>
    </row>
    <row r="18" spans="1:15">
      <c r="A18" s="251">
        <v>41310</v>
      </c>
      <c r="B18" s="234" t="s">
        <v>564</v>
      </c>
      <c r="C18" s="249"/>
      <c r="D18" s="249"/>
      <c r="E18" s="249"/>
      <c r="F18" s="249">
        <f>'Restating Expl'!B38</f>
        <v>85.769790410958919</v>
      </c>
      <c r="G18" s="249"/>
      <c r="H18" s="249"/>
      <c r="I18" s="249"/>
      <c r="J18" s="249"/>
      <c r="K18" s="250"/>
      <c r="L18" s="250"/>
      <c r="M18" s="250"/>
      <c r="N18" s="250">
        <f t="shared" si="2"/>
        <v>85.769790410958919</v>
      </c>
    </row>
    <row r="19" spans="1:15">
      <c r="A19" s="251">
        <v>41320</v>
      </c>
      <c r="B19" s="234" t="s">
        <v>565</v>
      </c>
      <c r="C19" s="249">
        <f>C12</f>
        <v>-2652.4800000000005</v>
      </c>
      <c r="D19" s="249"/>
      <c r="E19" s="249"/>
      <c r="F19" s="249"/>
      <c r="G19" s="249"/>
      <c r="H19" s="249"/>
      <c r="I19" s="249"/>
      <c r="J19" s="249"/>
      <c r="K19" s="250"/>
      <c r="L19" s="250"/>
      <c r="M19" s="250"/>
      <c r="N19" s="250">
        <f t="shared" si="2"/>
        <v>-2652.4800000000005</v>
      </c>
    </row>
    <row r="20" spans="1:15">
      <c r="A20" s="251">
        <v>41325</v>
      </c>
      <c r="B20" s="234" t="s">
        <v>566</v>
      </c>
      <c r="C20" s="249"/>
      <c r="D20" s="249"/>
      <c r="E20" s="249"/>
      <c r="F20" s="249"/>
      <c r="G20" s="249"/>
      <c r="H20" s="249"/>
      <c r="I20" s="249"/>
      <c r="J20" s="249"/>
      <c r="K20" s="250"/>
      <c r="L20" s="250"/>
      <c r="M20" s="250"/>
      <c r="N20" s="250">
        <f t="shared" si="2"/>
        <v>0</v>
      </c>
    </row>
    <row r="21" spans="1:15">
      <c r="A21" s="251">
        <v>41330</v>
      </c>
      <c r="B21" s="234" t="s">
        <v>145</v>
      </c>
      <c r="C21" s="249"/>
      <c r="D21" s="249"/>
      <c r="E21" s="249"/>
      <c r="F21" s="249"/>
      <c r="G21" s="249"/>
      <c r="H21" s="249"/>
      <c r="I21" s="249"/>
      <c r="J21" s="249"/>
      <c r="K21" s="250"/>
      <c r="L21" s="250"/>
      <c r="M21" s="250"/>
      <c r="N21" s="250">
        <f t="shared" si="2"/>
        <v>0</v>
      </c>
    </row>
    <row r="22" spans="1:15">
      <c r="A22" s="251">
        <v>41340</v>
      </c>
      <c r="B22" s="234" t="s">
        <v>147</v>
      </c>
      <c r="C22" s="249"/>
      <c r="D22" s="249"/>
      <c r="E22" s="249"/>
      <c r="F22" s="249"/>
      <c r="G22" s="249"/>
      <c r="H22" s="249"/>
      <c r="I22" s="249"/>
      <c r="J22" s="249"/>
      <c r="K22" s="250"/>
      <c r="L22" s="250"/>
      <c r="M22" s="250"/>
      <c r="N22" s="250">
        <f t="shared" si="2"/>
        <v>0</v>
      </c>
    </row>
    <row r="23" spans="1:15">
      <c r="A23" s="251">
        <v>41600</v>
      </c>
      <c r="B23" s="234" t="s">
        <v>567</v>
      </c>
      <c r="C23" s="249"/>
      <c r="D23" s="249"/>
      <c r="E23" s="249"/>
      <c r="F23" s="249"/>
      <c r="G23" s="249"/>
      <c r="H23" s="249"/>
      <c r="I23" s="249"/>
      <c r="J23" s="249"/>
      <c r="K23" s="250"/>
      <c r="L23" s="250"/>
      <c r="M23" s="250"/>
      <c r="N23" s="250">
        <f t="shared" si="2"/>
        <v>0</v>
      </c>
    </row>
    <row r="24" spans="1:15">
      <c r="A24" s="251">
        <v>41800</v>
      </c>
      <c r="B24" s="234" t="s">
        <v>568</v>
      </c>
      <c r="C24" s="249"/>
      <c r="D24" s="249"/>
      <c r="E24" s="249"/>
      <c r="F24" s="249"/>
      <c r="G24" s="249"/>
      <c r="H24" s="249"/>
      <c r="I24" s="249"/>
      <c r="J24" s="249"/>
      <c r="K24" s="250"/>
      <c r="L24" s="250"/>
      <c r="M24" s="250"/>
      <c r="N24" s="250">
        <f t="shared" si="2"/>
        <v>0</v>
      </c>
    </row>
    <row r="25" spans="1:15">
      <c r="A25" s="251">
        <v>42100</v>
      </c>
      <c r="B25" s="234" t="s">
        <v>153</v>
      </c>
      <c r="C25" s="249"/>
      <c r="D25" s="249"/>
      <c r="E25" s="249"/>
      <c r="F25" s="249"/>
      <c r="G25" s="249"/>
      <c r="H25" s="249"/>
      <c r="I25" s="249"/>
      <c r="J25" s="249"/>
      <c r="K25" s="250"/>
      <c r="L25" s="250"/>
      <c r="M25" s="250"/>
      <c r="N25" s="250">
        <f t="shared" si="2"/>
        <v>0</v>
      </c>
    </row>
    <row r="26" spans="1:15">
      <c r="A26" s="251">
        <v>42300</v>
      </c>
      <c r="B26" s="234" t="s">
        <v>569</v>
      </c>
      <c r="C26" s="249"/>
      <c r="D26" s="249"/>
      <c r="E26" s="249"/>
      <c r="F26" s="249">
        <f>'Restating Expl'!B37</f>
        <v>280.87252533698626</v>
      </c>
      <c r="G26" s="249"/>
      <c r="H26" s="249"/>
      <c r="I26" s="249"/>
      <c r="J26" s="249"/>
      <c r="K26" s="250"/>
      <c r="L26" s="250"/>
      <c r="M26" s="250"/>
      <c r="N26" s="250">
        <f t="shared" si="2"/>
        <v>280.87252533698626</v>
      </c>
    </row>
    <row r="27" spans="1:15">
      <c r="A27" s="251">
        <v>42400</v>
      </c>
      <c r="B27" s="234" t="s">
        <v>570</v>
      </c>
      <c r="C27" s="249"/>
      <c r="D27" s="249"/>
      <c r="E27" s="249"/>
      <c r="F27" s="249"/>
      <c r="G27" s="249"/>
      <c r="H27" s="249"/>
      <c r="I27" s="249"/>
      <c r="J27" s="249"/>
      <c r="K27" s="250"/>
      <c r="L27" s="250"/>
      <c r="M27" s="250"/>
      <c r="N27" s="250">
        <f t="shared" si="2"/>
        <v>0</v>
      </c>
    </row>
    <row r="28" spans="1:15">
      <c r="A28" s="251">
        <v>42600</v>
      </c>
      <c r="B28" s="234" t="s">
        <v>571</v>
      </c>
      <c r="C28" s="249"/>
      <c r="D28" s="249"/>
      <c r="E28" s="249"/>
      <c r="F28" s="249"/>
      <c r="G28" s="249"/>
      <c r="H28" s="249"/>
      <c r="I28" s="249"/>
      <c r="J28" s="249"/>
      <c r="K28" s="250"/>
      <c r="L28" s="250"/>
      <c r="M28" s="250"/>
      <c r="N28" s="250">
        <f t="shared" si="2"/>
        <v>0</v>
      </c>
    </row>
    <row r="29" spans="1:15">
      <c r="A29" s="251">
        <v>42800</v>
      </c>
      <c r="B29" s="234" t="s">
        <v>572</v>
      </c>
      <c r="C29" s="249"/>
      <c r="D29" s="249"/>
      <c r="E29" s="249">
        <f>'Restating Expl'!D91</f>
        <v>-456.75</v>
      </c>
      <c r="F29" s="249"/>
      <c r="G29" s="249"/>
      <c r="H29" s="249"/>
      <c r="I29" s="249"/>
      <c r="J29" s="249"/>
      <c r="K29" s="250"/>
      <c r="L29" s="250"/>
      <c r="M29" s="250"/>
      <c r="N29" s="250">
        <f t="shared" si="2"/>
        <v>-456.75</v>
      </c>
    </row>
    <row r="30" spans="1:15">
      <c r="A30" s="251">
        <v>43600</v>
      </c>
      <c r="B30" s="234" t="s">
        <v>132</v>
      </c>
      <c r="C30" s="249"/>
      <c r="D30" s="249"/>
      <c r="E30" s="249"/>
      <c r="F30" s="249"/>
      <c r="G30" s="249"/>
      <c r="H30" s="249"/>
      <c r="I30" s="249"/>
      <c r="J30" s="249"/>
      <c r="K30" s="250"/>
      <c r="L30" s="250"/>
      <c r="M30" s="250"/>
      <c r="N30" s="250">
        <f t="shared" si="2"/>
        <v>0</v>
      </c>
    </row>
    <row r="31" spans="1:15">
      <c r="A31" s="251"/>
      <c r="B31" s="234" t="s">
        <v>573</v>
      </c>
      <c r="C31" s="249"/>
      <c r="D31" s="249"/>
      <c r="E31" s="249"/>
      <c r="F31" s="249"/>
      <c r="G31" s="249"/>
      <c r="H31" s="249"/>
      <c r="I31" s="249"/>
      <c r="J31" s="249"/>
      <c r="K31" s="250"/>
      <c r="L31" s="250"/>
      <c r="M31" s="250"/>
      <c r="N31" s="250">
        <f t="shared" si="2"/>
        <v>0</v>
      </c>
      <c r="O31" s="254"/>
    </row>
    <row r="32" spans="1:15">
      <c r="A32" s="251">
        <v>43650</v>
      </c>
      <c r="B32" s="234" t="s">
        <v>574</v>
      </c>
      <c r="C32" s="249"/>
      <c r="D32" s="249"/>
      <c r="E32" s="249"/>
      <c r="F32" s="249"/>
      <c r="G32" s="249"/>
      <c r="H32" s="249"/>
      <c r="I32" s="249"/>
      <c r="J32" s="249"/>
      <c r="K32" s="250"/>
      <c r="L32" s="250"/>
      <c r="M32" s="250"/>
      <c r="N32" s="250">
        <f t="shared" si="2"/>
        <v>0</v>
      </c>
    </row>
    <row r="33" spans="1:15">
      <c r="A33" s="251">
        <v>44300</v>
      </c>
      <c r="B33" s="234" t="s">
        <v>163</v>
      </c>
      <c r="C33" s="249"/>
      <c r="D33" s="249"/>
      <c r="E33" s="249"/>
      <c r="F33" s="249"/>
      <c r="G33" s="249"/>
      <c r="H33" s="249">
        <f>'Restating Expl'!B69</f>
        <v>13.482845486861152</v>
      </c>
      <c r="I33" s="249"/>
      <c r="J33" s="249"/>
      <c r="K33" s="250"/>
      <c r="L33" s="250"/>
      <c r="M33" s="250"/>
      <c r="N33" s="250">
        <f t="shared" si="2"/>
        <v>13.482845486861152</v>
      </c>
    </row>
    <row r="34" spans="1:15">
      <c r="A34" s="251">
        <v>44500</v>
      </c>
      <c r="B34" s="234" t="s">
        <v>165</v>
      </c>
      <c r="C34" s="249"/>
      <c r="D34" s="249"/>
      <c r="E34" s="249"/>
      <c r="F34" s="249"/>
      <c r="G34" s="249"/>
      <c r="H34" s="249"/>
      <c r="I34" s="249"/>
      <c r="J34" s="249"/>
      <c r="K34" s="250"/>
      <c r="L34" s="250"/>
      <c r="M34" s="250"/>
      <c r="N34" s="250">
        <f t="shared" si="2"/>
        <v>0</v>
      </c>
    </row>
    <row r="35" spans="1:15">
      <c r="A35" s="251">
        <v>45300</v>
      </c>
      <c r="B35" s="230" t="s">
        <v>166</v>
      </c>
      <c r="C35" s="249"/>
      <c r="D35" s="249"/>
      <c r="E35" s="249"/>
      <c r="F35" s="249"/>
      <c r="G35" s="249"/>
      <c r="H35" s="249"/>
      <c r="I35" s="249"/>
      <c r="J35" s="249"/>
      <c r="K35" s="250"/>
      <c r="L35" s="250"/>
      <c r="M35" s="250"/>
      <c r="N35" s="250">
        <f t="shared" si="2"/>
        <v>0</v>
      </c>
    </row>
    <row r="36" spans="1:15">
      <c r="A36" s="251">
        <v>45400</v>
      </c>
      <c r="B36" s="255" t="s">
        <v>168</v>
      </c>
      <c r="C36" s="249"/>
      <c r="D36" s="249"/>
      <c r="E36" s="249"/>
      <c r="F36" s="249"/>
      <c r="G36" s="249"/>
      <c r="H36" s="249"/>
      <c r="I36" s="249"/>
      <c r="J36" s="249"/>
      <c r="K36" s="250"/>
      <c r="L36" s="250"/>
      <c r="M36" s="250"/>
      <c r="N36" s="250">
        <f t="shared" si="2"/>
        <v>0</v>
      </c>
    </row>
    <row r="37" spans="1:15">
      <c r="A37" s="251">
        <v>46130</v>
      </c>
      <c r="B37" s="234" t="s">
        <v>575</v>
      </c>
      <c r="C37" s="249"/>
      <c r="D37" s="249"/>
      <c r="E37" s="249"/>
      <c r="F37" s="249"/>
      <c r="G37" s="249">
        <f>'Restating Expl'!B54</f>
        <v>1066.8509238785446</v>
      </c>
      <c r="H37" s="249"/>
      <c r="I37" s="249"/>
      <c r="J37" s="249"/>
      <c r="K37" s="250"/>
      <c r="L37" s="250"/>
      <c r="M37" s="250"/>
      <c r="N37" s="250">
        <f t="shared" si="2"/>
        <v>1066.8509238785446</v>
      </c>
    </row>
    <row r="38" spans="1:15">
      <c r="A38" s="251">
        <v>46100</v>
      </c>
      <c r="B38" s="230" t="s">
        <v>172</v>
      </c>
      <c r="C38" s="249"/>
      <c r="D38" s="249"/>
      <c r="E38" s="249"/>
      <c r="F38" s="249"/>
      <c r="G38" s="249"/>
      <c r="H38" s="249"/>
      <c r="I38" s="249">
        <f>'Restating Expl'!B124</f>
        <v>-6917.4852458360619</v>
      </c>
      <c r="J38" s="249"/>
      <c r="K38" s="250"/>
      <c r="L38" s="250"/>
      <c r="M38" s="250"/>
      <c r="N38" s="250">
        <f t="shared" si="2"/>
        <v>-6917.4852458360619</v>
      </c>
      <c r="O38" s="254"/>
    </row>
    <row r="39" spans="1:15">
      <c r="A39" s="251">
        <v>46200</v>
      </c>
      <c r="B39" s="234" t="s">
        <v>576</v>
      </c>
      <c r="C39" s="249"/>
      <c r="D39" s="249"/>
      <c r="E39" s="249"/>
      <c r="F39" s="249"/>
      <c r="G39" s="249"/>
      <c r="H39" s="249"/>
      <c r="I39" s="249"/>
      <c r="J39" s="249"/>
      <c r="K39" s="250"/>
      <c r="L39" s="250"/>
      <c r="M39" s="250"/>
      <c r="N39" s="250">
        <f t="shared" si="2"/>
        <v>0</v>
      </c>
    </row>
    <row r="40" spans="1:15">
      <c r="A40" s="251">
        <v>46300</v>
      </c>
      <c r="B40" s="234" t="s">
        <v>180</v>
      </c>
      <c r="C40" s="249"/>
      <c r="D40" s="249"/>
      <c r="E40" s="249"/>
      <c r="F40" s="249"/>
      <c r="G40" s="249"/>
      <c r="H40" s="249"/>
      <c r="I40" s="249"/>
      <c r="J40" s="249"/>
      <c r="K40" s="250"/>
      <c r="L40" s="250"/>
      <c r="M40" s="250"/>
      <c r="N40" s="250">
        <f t="shared" si="2"/>
        <v>0</v>
      </c>
    </row>
    <row r="41" spans="1:15">
      <c r="A41" s="251">
        <v>46410</v>
      </c>
      <c r="B41" s="234" t="s">
        <v>577</v>
      </c>
      <c r="C41" s="249"/>
      <c r="D41" s="249"/>
      <c r="E41" s="249"/>
      <c r="F41" s="249"/>
      <c r="G41" s="249"/>
      <c r="H41" s="249"/>
      <c r="I41" s="249"/>
      <c r="J41" s="249"/>
      <c r="K41" s="250"/>
      <c r="L41" s="250"/>
      <c r="M41" s="250"/>
      <c r="N41" s="250">
        <f t="shared" si="2"/>
        <v>0</v>
      </c>
    </row>
    <row r="42" spans="1:15">
      <c r="A42" s="251">
        <v>46500</v>
      </c>
      <c r="B42" s="234" t="s">
        <v>182</v>
      </c>
      <c r="C42" s="249"/>
      <c r="D42" s="249"/>
      <c r="E42" s="249"/>
      <c r="F42" s="249"/>
      <c r="G42" s="249"/>
      <c r="H42" s="249"/>
      <c r="I42" s="249"/>
      <c r="J42" s="249"/>
      <c r="K42" s="250"/>
      <c r="L42" s="250"/>
      <c r="M42" s="250"/>
      <c r="N42" s="250">
        <f t="shared" si="2"/>
        <v>0</v>
      </c>
    </row>
    <row r="43" spans="1:15">
      <c r="A43" s="251">
        <v>46510</v>
      </c>
      <c r="B43" s="234" t="s">
        <v>183</v>
      </c>
      <c r="C43" s="249"/>
      <c r="D43" s="249"/>
      <c r="E43" s="249"/>
      <c r="F43" s="249"/>
      <c r="G43" s="249"/>
      <c r="H43" s="249"/>
      <c r="I43" s="249"/>
      <c r="J43" s="249"/>
      <c r="K43" s="250"/>
      <c r="L43" s="250"/>
      <c r="M43" s="250"/>
      <c r="N43" s="250">
        <f t="shared" si="2"/>
        <v>0</v>
      </c>
    </row>
    <row r="44" spans="1:15">
      <c r="A44" s="251">
        <v>46700</v>
      </c>
      <c r="B44" s="234" t="s">
        <v>184</v>
      </c>
      <c r="C44" s="249"/>
      <c r="D44" s="249"/>
      <c r="E44" s="249"/>
      <c r="F44" s="249"/>
      <c r="G44" s="249"/>
      <c r="H44" s="249"/>
      <c r="I44" s="249"/>
      <c r="J44" s="249">
        <f>'Restating Expl'!B112</f>
        <v>-9411.39</v>
      </c>
      <c r="K44" s="250"/>
      <c r="L44" s="250"/>
      <c r="M44" s="250"/>
      <c r="N44" s="250">
        <f t="shared" si="2"/>
        <v>-9411.39</v>
      </c>
    </row>
    <row r="45" spans="1:15">
      <c r="A45" s="251">
        <v>46900</v>
      </c>
      <c r="B45" s="234" t="s">
        <v>578</v>
      </c>
      <c r="C45" s="249"/>
      <c r="D45" s="249"/>
      <c r="E45" s="249">
        <f>'Restating Expl'!D89</f>
        <v>-920</v>
      </c>
      <c r="F45" s="249"/>
      <c r="G45" s="249"/>
      <c r="H45" s="249"/>
      <c r="I45" s="249">
        <f>'Restating Expl'!B129</f>
        <v>-1139.4142321549552</v>
      </c>
      <c r="J45" s="249"/>
      <c r="K45" s="250"/>
      <c r="L45" s="250"/>
      <c r="M45" s="250"/>
      <c r="N45" s="250">
        <f t="shared" si="2"/>
        <v>-2059.4142321549552</v>
      </c>
    </row>
    <row r="46" spans="1:15">
      <c r="A46" s="251">
        <v>46920</v>
      </c>
      <c r="B46" s="234" t="s">
        <v>76</v>
      </c>
      <c r="C46" s="249"/>
      <c r="D46" s="249"/>
      <c r="E46" s="249"/>
      <c r="F46" s="249"/>
      <c r="G46" s="249"/>
      <c r="H46" s="249"/>
      <c r="I46" s="249"/>
      <c r="J46" s="249"/>
      <c r="K46" s="250"/>
      <c r="L46" s="250"/>
      <c r="M46" s="250"/>
      <c r="N46" s="250">
        <f t="shared" si="2"/>
        <v>0</v>
      </c>
    </row>
    <row r="47" spans="1:15">
      <c r="A47" s="251">
        <v>50200</v>
      </c>
      <c r="B47" s="234" t="s">
        <v>579</v>
      </c>
      <c r="C47" s="249"/>
      <c r="D47" s="249"/>
      <c r="E47" s="249"/>
      <c r="F47" s="249"/>
      <c r="G47" s="249"/>
      <c r="H47" s="249"/>
      <c r="I47" s="249"/>
      <c r="J47" s="249"/>
      <c r="K47" s="250"/>
      <c r="L47" s="250"/>
      <c r="M47" s="250">
        <f>'Restating Expl'!D134</f>
        <v>-26933.530504445953</v>
      </c>
      <c r="N47" s="250">
        <f t="shared" si="2"/>
        <v>-26933.530504445953</v>
      </c>
    </row>
    <row r="48" spans="1:15">
      <c r="A48" s="251"/>
      <c r="B48" s="234" t="s">
        <v>580</v>
      </c>
      <c r="C48" s="249"/>
      <c r="D48" s="249"/>
      <c r="E48" s="249"/>
      <c r="F48" s="249"/>
      <c r="G48" s="249"/>
      <c r="H48" s="249"/>
      <c r="I48" s="249"/>
      <c r="J48" s="249"/>
      <c r="K48" s="250"/>
      <c r="L48" s="250"/>
      <c r="M48" s="250">
        <f>'Restating Expl'!D135</f>
        <v>5706.2733333330052</v>
      </c>
      <c r="N48" s="250">
        <f t="shared" si="2"/>
        <v>5706.2733333330052</v>
      </c>
    </row>
    <row r="49" spans="1:16">
      <c r="A49" s="251">
        <v>50300</v>
      </c>
      <c r="B49" s="234" t="s">
        <v>581</v>
      </c>
      <c r="C49" s="249"/>
      <c r="D49" s="249"/>
      <c r="E49" s="249"/>
      <c r="F49" s="249"/>
      <c r="G49" s="249"/>
      <c r="H49" s="249"/>
      <c r="I49" s="249"/>
      <c r="J49" s="249"/>
      <c r="K49" s="250"/>
      <c r="L49" s="250"/>
      <c r="M49" s="250">
        <f>'Restating Expl'!D136</f>
        <v>0</v>
      </c>
      <c r="N49" s="250">
        <f t="shared" si="2"/>
        <v>0</v>
      </c>
    </row>
    <row r="50" spans="1:16">
      <c r="A50" s="251">
        <v>50400</v>
      </c>
      <c r="B50" s="234" t="s">
        <v>582</v>
      </c>
      <c r="C50" s="249"/>
      <c r="D50" s="249"/>
      <c r="E50" s="249"/>
      <c r="F50" s="249"/>
      <c r="G50" s="249"/>
      <c r="H50" s="249"/>
      <c r="I50" s="249"/>
      <c r="J50" s="249"/>
      <c r="K50" s="250"/>
      <c r="L50" s="250"/>
      <c r="M50" s="250">
        <f>'Restating Expl'!D137</f>
        <v>8473.7921633339938</v>
      </c>
      <c r="N50" s="250">
        <f t="shared" si="2"/>
        <v>8473.7921633339938</v>
      </c>
    </row>
    <row r="51" spans="1:16">
      <c r="A51" s="251">
        <v>50500</v>
      </c>
      <c r="B51" s="234" t="s">
        <v>583</v>
      </c>
      <c r="C51" s="249"/>
      <c r="D51" s="249"/>
      <c r="E51" s="249"/>
      <c r="F51" s="249"/>
      <c r="G51" s="249"/>
      <c r="H51" s="249"/>
      <c r="I51" s="249"/>
      <c r="J51" s="249"/>
      <c r="K51" s="250"/>
      <c r="L51" s="250"/>
      <c r="M51" s="250">
        <f>'Restating Expl'!D138</f>
        <v>-71.796000000000276</v>
      </c>
      <c r="N51" s="250">
        <f t="shared" si="2"/>
        <v>-71.796000000000276</v>
      </c>
    </row>
    <row r="52" spans="1:16">
      <c r="A52" s="251"/>
      <c r="B52" s="256" t="s">
        <v>584</v>
      </c>
      <c r="C52" s="249"/>
      <c r="D52" s="249"/>
      <c r="E52" s="249"/>
      <c r="F52" s="249"/>
      <c r="G52" s="249"/>
      <c r="H52" s="249"/>
      <c r="I52" s="249"/>
      <c r="J52" s="249"/>
      <c r="K52" s="250"/>
      <c r="L52" s="250"/>
      <c r="M52" s="250"/>
      <c r="N52" s="250">
        <f t="shared" si="2"/>
        <v>0</v>
      </c>
      <c r="P52" s="257"/>
    </row>
    <row r="53" spans="1:16">
      <c r="A53" s="251">
        <v>52000</v>
      </c>
      <c r="B53" s="234" t="s">
        <v>585</v>
      </c>
      <c r="C53" s="249"/>
      <c r="D53" s="249"/>
      <c r="E53" s="249"/>
      <c r="F53" s="249"/>
      <c r="G53" s="249"/>
      <c r="H53" s="249"/>
      <c r="I53" s="249"/>
      <c r="J53" s="249"/>
      <c r="K53" s="250"/>
      <c r="L53" s="250"/>
      <c r="M53" s="250"/>
      <c r="N53" s="250">
        <f t="shared" si="2"/>
        <v>0</v>
      </c>
      <c r="O53" s="254"/>
    </row>
    <row r="54" spans="1:16">
      <c r="A54" s="251">
        <v>52030</v>
      </c>
      <c r="B54" s="234" t="s">
        <v>210</v>
      </c>
      <c r="C54" s="249"/>
      <c r="D54" s="249"/>
      <c r="E54" s="249"/>
      <c r="F54" s="249"/>
      <c r="G54" s="249"/>
      <c r="H54" s="249"/>
      <c r="I54" s="249"/>
      <c r="J54" s="249"/>
      <c r="K54" s="250"/>
      <c r="L54" s="250">
        <f>'Restating Expl'!B82</f>
        <v>1115.4389315328444</v>
      </c>
      <c r="M54" s="250"/>
      <c r="N54" s="250">
        <f t="shared" si="2"/>
        <v>1115.4389315328444</v>
      </c>
    </row>
    <row r="55" spans="1:16">
      <c r="A55" s="251">
        <v>52200</v>
      </c>
      <c r="B55" s="234" t="s">
        <v>586</v>
      </c>
      <c r="C55" s="249"/>
      <c r="D55" s="249"/>
      <c r="E55" s="249"/>
      <c r="F55" s="249"/>
      <c r="G55" s="249"/>
      <c r="H55" s="249"/>
      <c r="I55" s="249"/>
      <c r="J55" s="249"/>
      <c r="K55" s="250"/>
      <c r="L55" s="250"/>
      <c r="M55" s="250"/>
      <c r="N55" s="250">
        <f t="shared" si="2"/>
        <v>0</v>
      </c>
    </row>
    <row r="56" spans="1:16">
      <c r="A56" s="251">
        <v>52300</v>
      </c>
      <c r="B56" s="234" t="s">
        <v>212</v>
      </c>
      <c r="C56" s="249"/>
      <c r="D56" s="249"/>
      <c r="E56" s="249"/>
      <c r="F56" s="249"/>
      <c r="G56" s="249"/>
      <c r="H56" s="249"/>
      <c r="I56" s="249"/>
      <c r="J56" s="249"/>
      <c r="K56" s="250"/>
      <c r="L56" s="250"/>
      <c r="M56" s="250"/>
      <c r="N56" s="250">
        <f t="shared" si="2"/>
        <v>0</v>
      </c>
    </row>
    <row r="57" spans="1:16">
      <c r="A57" s="251">
        <v>52400</v>
      </c>
      <c r="B57" s="234" t="s">
        <v>34</v>
      </c>
      <c r="C57" s="249"/>
      <c r="D57" s="249"/>
      <c r="E57" s="249"/>
      <c r="F57" s="249">
        <f>'Restating Expl'!B47</f>
        <v>28.048137154717807</v>
      </c>
      <c r="G57" s="249">
        <f>'Restating Expl'!B55</f>
        <v>81.614095676708658</v>
      </c>
      <c r="H57" s="249"/>
      <c r="I57" s="249"/>
      <c r="J57" s="249"/>
      <c r="K57" s="250"/>
      <c r="L57" s="250"/>
      <c r="M57" s="250"/>
      <c r="N57" s="250">
        <f t="shared" si="2"/>
        <v>109.66223283142646</v>
      </c>
    </row>
    <row r="58" spans="1:16">
      <c r="A58" s="251">
        <v>53200</v>
      </c>
      <c r="B58" s="234" t="s">
        <v>587</v>
      </c>
      <c r="C58" s="249"/>
      <c r="D58" s="249"/>
      <c r="E58" s="249"/>
      <c r="F58" s="249"/>
      <c r="G58" s="249"/>
      <c r="H58" s="249"/>
      <c r="I58" s="249"/>
      <c r="J58" s="249"/>
      <c r="K58" s="250"/>
      <c r="L58" s="250"/>
      <c r="M58" s="250"/>
      <c r="N58" s="250">
        <f t="shared" si="2"/>
        <v>0</v>
      </c>
    </row>
    <row r="59" spans="1:16">
      <c r="A59" s="252"/>
      <c r="B59" s="243" t="s">
        <v>588</v>
      </c>
      <c r="C59" s="253">
        <f t="shared" ref="C59:N59" si="3">SUM(C17:C58)</f>
        <v>-2652.4800000000005</v>
      </c>
      <c r="D59" s="253">
        <f t="shared" si="3"/>
        <v>0</v>
      </c>
      <c r="E59" s="253">
        <f>SUM(E17:E58)</f>
        <v>-1376.75</v>
      </c>
      <c r="F59" s="253">
        <f>SUM(F17:F58)</f>
        <v>394.69045290266297</v>
      </c>
      <c r="G59" s="253">
        <f t="shared" si="3"/>
        <v>1148.4650195552533</v>
      </c>
      <c r="H59" s="253">
        <f t="shared" si="3"/>
        <v>13.482845486861152</v>
      </c>
      <c r="I59" s="253">
        <f t="shared" si="3"/>
        <v>-8056.8994779910172</v>
      </c>
      <c r="J59" s="253">
        <f t="shared" si="3"/>
        <v>-9411.39</v>
      </c>
      <c r="K59" s="253">
        <f t="shared" si="3"/>
        <v>0</v>
      </c>
      <c r="L59" s="253">
        <f t="shared" si="3"/>
        <v>1115.4389315328444</v>
      </c>
      <c r="M59" s="253">
        <f t="shared" si="3"/>
        <v>-12825.261007778956</v>
      </c>
      <c r="N59" s="258">
        <f t="shared" si="3"/>
        <v>-31650.703236292349</v>
      </c>
      <c r="O59" s="254"/>
    </row>
    <row r="60" spans="1:16">
      <c r="A60" s="251"/>
      <c r="B60" s="234"/>
      <c r="C60" s="230"/>
      <c r="D60" s="230"/>
      <c r="E60" s="230"/>
      <c r="F60" s="230"/>
      <c r="G60" s="230"/>
      <c r="H60" s="230"/>
      <c r="I60" s="230"/>
      <c r="J60" s="230"/>
    </row>
    <row r="61" spans="1:16">
      <c r="A61" s="259"/>
      <c r="B61" s="234"/>
      <c r="C61" s="230"/>
      <c r="D61" s="230"/>
      <c r="E61" s="230"/>
      <c r="F61" s="230"/>
      <c r="G61" s="230"/>
      <c r="H61" s="230"/>
      <c r="I61" s="230"/>
      <c r="J61" s="230"/>
    </row>
    <row r="62" spans="1:16">
      <c r="A62" s="252"/>
      <c r="B62" s="234"/>
      <c r="C62" s="230"/>
      <c r="D62" s="230"/>
      <c r="E62" s="230"/>
      <c r="F62" s="230"/>
      <c r="G62" s="230"/>
      <c r="H62" s="230"/>
      <c r="I62" s="230"/>
      <c r="J62" s="230"/>
    </row>
    <row r="63" spans="1:16">
      <c r="A63" s="251"/>
      <c r="B63" s="234"/>
      <c r="C63" s="230"/>
      <c r="D63" s="230"/>
      <c r="E63" s="230"/>
      <c r="F63" s="230"/>
      <c r="G63" s="230"/>
      <c r="H63" s="230"/>
      <c r="I63" s="230"/>
      <c r="J63" s="230"/>
    </row>
    <row r="64" spans="1:16">
      <c r="A64" s="252"/>
      <c r="B64" s="234"/>
      <c r="C64" s="230"/>
      <c r="D64" s="230"/>
      <c r="E64" s="230"/>
      <c r="F64" s="230"/>
      <c r="G64" s="230"/>
      <c r="H64" s="230"/>
      <c r="I64" s="230"/>
      <c r="J64" s="230"/>
    </row>
    <row r="65" spans="1:14">
      <c r="A65" s="251"/>
      <c r="B65" s="234"/>
      <c r="C65" s="230"/>
      <c r="D65" s="230"/>
      <c r="E65" s="230"/>
      <c r="F65" s="230"/>
      <c r="G65" s="230"/>
      <c r="H65" s="230"/>
      <c r="I65" s="230"/>
      <c r="J65" s="230"/>
    </row>
    <row r="66" spans="1:14">
      <c r="A66" s="251"/>
      <c r="B66" s="234"/>
      <c r="C66" s="230"/>
      <c r="D66" s="230"/>
      <c r="E66" s="230"/>
      <c r="F66" s="230"/>
      <c r="G66" s="230"/>
      <c r="H66" s="230"/>
      <c r="I66" s="230"/>
      <c r="J66" s="230"/>
    </row>
    <row r="67" spans="1:14">
      <c r="A67" s="251"/>
      <c r="B67" s="260"/>
      <c r="C67" s="230"/>
      <c r="D67" s="230"/>
      <c r="E67" s="230"/>
      <c r="F67" s="230"/>
      <c r="G67" s="230"/>
      <c r="H67" s="230"/>
      <c r="I67" s="230"/>
      <c r="J67" s="230"/>
    </row>
    <row r="68" spans="1:14">
      <c r="A68" s="251"/>
      <c r="B68" s="234"/>
      <c r="C68" s="230"/>
      <c r="D68" s="230"/>
      <c r="E68" s="230"/>
      <c r="F68" s="230"/>
      <c r="G68" s="230"/>
      <c r="H68" s="230"/>
      <c r="I68" s="230"/>
      <c r="J68" s="230"/>
    </row>
    <row r="69" spans="1:14">
      <c r="A69" s="252"/>
      <c r="B69" s="234"/>
      <c r="C69" s="230"/>
      <c r="D69" s="230"/>
      <c r="E69" s="230"/>
      <c r="F69" s="230"/>
      <c r="G69" s="230"/>
      <c r="H69" s="230"/>
      <c r="I69" s="230"/>
      <c r="J69" s="230"/>
    </row>
    <row r="70" spans="1:14">
      <c r="A70" s="251"/>
      <c r="B70" s="234"/>
      <c r="C70" s="230"/>
      <c r="D70" s="230"/>
      <c r="E70" s="230"/>
      <c r="F70" s="230"/>
      <c r="G70" s="230"/>
      <c r="H70" s="230"/>
      <c r="I70" s="230"/>
      <c r="J70" s="230"/>
    </row>
    <row r="71" spans="1:14">
      <c r="A71" s="251"/>
      <c r="B71" s="234"/>
      <c r="C71" s="230"/>
      <c r="D71" s="230"/>
      <c r="E71" s="230"/>
      <c r="F71" s="230"/>
      <c r="G71" s="230"/>
      <c r="H71" s="230"/>
      <c r="I71" s="230"/>
      <c r="J71" s="230"/>
    </row>
    <row r="72" spans="1:14">
      <c r="A72" s="252"/>
      <c r="B72" s="234"/>
      <c r="C72" s="230"/>
      <c r="D72" s="230"/>
      <c r="E72" s="230"/>
      <c r="F72" s="230"/>
      <c r="G72" s="230"/>
      <c r="H72" s="230"/>
      <c r="I72" s="230"/>
      <c r="J72" s="230"/>
      <c r="N72" s="231"/>
    </row>
    <row r="73" spans="1:14">
      <c r="A73" s="251"/>
      <c r="B73" s="234"/>
      <c r="C73" s="230"/>
      <c r="D73" s="230"/>
      <c r="E73" s="230"/>
      <c r="F73" s="230"/>
      <c r="G73" s="230"/>
      <c r="H73" s="230"/>
      <c r="I73" s="230"/>
      <c r="J73" s="230"/>
      <c r="N73" s="231"/>
    </row>
    <row r="74" spans="1:14">
      <c r="A74" s="251"/>
      <c r="B74" s="234"/>
      <c r="C74" s="230"/>
      <c r="D74" s="230"/>
      <c r="E74" s="230"/>
      <c r="F74" s="230"/>
      <c r="G74" s="230"/>
      <c r="H74" s="230"/>
      <c r="I74" s="230"/>
      <c r="J74" s="230"/>
      <c r="N74" s="231"/>
    </row>
    <row r="75" spans="1:14">
      <c r="A75" s="252"/>
      <c r="B75" s="234"/>
      <c r="C75" s="230"/>
      <c r="D75" s="230"/>
      <c r="E75" s="230"/>
      <c r="F75" s="230"/>
      <c r="G75" s="230"/>
      <c r="H75" s="230"/>
      <c r="I75" s="230"/>
      <c r="J75" s="230"/>
      <c r="N75" s="231"/>
    </row>
    <row r="76" spans="1:14">
      <c r="A76" s="251"/>
      <c r="B76" s="234"/>
      <c r="C76" s="230"/>
      <c r="D76" s="230"/>
      <c r="E76" s="230"/>
      <c r="F76" s="230"/>
      <c r="G76" s="230"/>
      <c r="H76" s="230"/>
      <c r="I76" s="230"/>
      <c r="J76" s="230"/>
      <c r="N76" s="231"/>
    </row>
    <row r="77" spans="1:14">
      <c r="A77" s="251"/>
      <c r="B77" s="234"/>
      <c r="C77" s="230"/>
      <c r="D77" s="230"/>
      <c r="E77" s="230"/>
      <c r="F77" s="230"/>
      <c r="G77" s="230"/>
      <c r="H77" s="230"/>
      <c r="I77" s="230"/>
      <c r="J77" s="230"/>
      <c r="N77" s="231"/>
    </row>
    <row r="78" spans="1:14">
      <c r="A78" s="252"/>
      <c r="B78" s="234"/>
      <c r="C78" s="230"/>
      <c r="D78" s="230"/>
      <c r="E78" s="230"/>
      <c r="F78" s="230"/>
      <c r="G78" s="230"/>
      <c r="H78" s="230"/>
      <c r="I78" s="230"/>
      <c r="J78" s="230"/>
      <c r="N78" s="231"/>
    </row>
    <row r="79" spans="1:14">
      <c r="A79" s="251"/>
      <c r="B79" s="234"/>
      <c r="C79" s="230"/>
      <c r="D79" s="230"/>
      <c r="E79" s="230"/>
      <c r="F79" s="230"/>
      <c r="G79" s="230"/>
      <c r="H79" s="230"/>
      <c r="I79" s="230"/>
      <c r="J79" s="230"/>
      <c r="N79" s="231"/>
    </row>
    <row r="80" spans="1:14">
      <c r="A80" s="252"/>
      <c r="B80" s="234"/>
      <c r="C80" s="230"/>
      <c r="D80" s="230"/>
      <c r="E80" s="230"/>
      <c r="F80" s="230"/>
      <c r="G80" s="230"/>
      <c r="H80" s="230"/>
      <c r="I80" s="230"/>
      <c r="J80" s="230"/>
      <c r="N80" s="231"/>
    </row>
    <row r="81" spans="1:14">
      <c r="A81" s="251"/>
      <c r="B81" s="234"/>
      <c r="C81" s="230"/>
      <c r="D81" s="230"/>
      <c r="E81" s="230"/>
      <c r="F81" s="230"/>
      <c r="G81" s="230"/>
      <c r="H81" s="230"/>
      <c r="I81" s="230"/>
      <c r="J81" s="230"/>
      <c r="N81" s="231"/>
    </row>
    <row r="82" spans="1:14">
      <c r="A82" s="251"/>
      <c r="B82" s="234"/>
      <c r="C82" s="230"/>
      <c r="D82" s="230"/>
      <c r="E82" s="230"/>
      <c r="F82" s="230"/>
      <c r="G82" s="230"/>
      <c r="H82" s="230"/>
      <c r="I82" s="230"/>
      <c r="J82" s="230"/>
      <c r="N82" s="231"/>
    </row>
    <row r="83" spans="1:14">
      <c r="A83" s="252"/>
      <c r="B83" s="234"/>
      <c r="C83" s="230"/>
      <c r="D83" s="230"/>
      <c r="E83" s="230"/>
      <c r="F83" s="230"/>
      <c r="G83" s="230"/>
      <c r="H83" s="230"/>
      <c r="I83" s="230"/>
      <c r="J83" s="230"/>
      <c r="N83" s="231"/>
    </row>
    <row r="84" spans="1:14">
      <c r="A84" s="251"/>
      <c r="B84" s="234"/>
      <c r="C84" s="230"/>
      <c r="D84" s="230"/>
      <c r="E84" s="230"/>
      <c r="F84" s="230"/>
      <c r="G84" s="230"/>
      <c r="H84" s="230"/>
      <c r="I84" s="230"/>
      <c r="J84" s="230"/>
      <c r="N84" s="231"/>
    </row>
    <row r="85" spans="1:14">
      <c r="A85" s="251"/>
      <c r="B85" s="234"/>
      <c r="C85" s="230"/>
      <c r="D85" s="230"/>
      <c r="E85" s="230"/>
      <c r="F85" s="230"/>
      <c r="G85" s="230"/>
      <c r="H85" s="230"/>
      <c r="I85" s="230"/>
      <c r="J85" s="230"/>
      <c r="N85" s="231"/>
    </row>
    <row r="86" spans="1:14">
      <c r="A86" s="251"/>
      <c r="B86" s="234"/>
      <c r="C86" s="230"/>
      <c r="D86" s="230"/>
      <c r="E86" s="230"/>
      <c r="F86" s="230"/>
      <c r="G86" s="230"/>
      <c r="H86" s="230"/>
      <c r="I86" s="230"/>
      <c r="J86" s="230"/>
      <c r="N86" s="231"/>
    </row>
    <row r="87" spans="1:14">
      <c r="A87" s="251"/>
      <c r="B87" s="234"/>
      <c r="C87" s="230"/>
      <c r="D87" s="230"/>
      <c r="E87" s="230"/>
      <c r="F87" s="230"/>
      <c r="G87" s="230"/>
      <c r="H87" s="230"/>
      <c r="I87" s="230"/>
      <c r="J87" s="230"/>
      <c r="N87" s="231"/>
    </row>
    <row r="88" spans="1:14">
      <c r="A88" s="251"/>
      <c r="B88" s="234"/>
      <c r="C88" s="230"/>
      <c r="D88" s="230"/>
      <c r="E88" s="230"/>
      <c r="F88" s="230"/>
      <c r="G88" s="230"/>
      <c r="H88" s="230"/>
      <c r="I88" s="230"/>
      <c r="J88" s="230"/>
      <c r="N88" s="231"/>
    </row>
    <row r="89" spans="1:14">
      <c r="A89" s="251"/>
      <c r="B89" s="234"/>
      <c r="C89" s="230"/>
      <c r="D89" s="230"/>
      <c r="E89" s="230"/>
      <c r="F89" s="230"/>
      <c r="G89" s="230"/>
      <c r="H89" s="230"/>
      <c r="I89" s="230"/>
      <c r="J89" s="230"/>
      <c r="N89" s="231"/>
    </row>
    <row r="90" spans="1:14">
      <c r="A90" s="252"/>
      <c r="B90" s="234"/>
      <c r="C90" s="230"/>
      <c r="D90" s="230"/>
      <c r="E90" s="230"/>
      <c r="F90" s="230"/>
      <c r="G90" s="230"/>
      <c r="H90" s="230"/>
      <c r="I90" s="230"/>
      <c r="J90" s="230"/>
      <c r="N90" s="231"/>
    </row>
    <row r="91" spans="1:14">
      <c r="A91" s="251"/>
      <c r="B91" s="234"/>
      <c r="C91" s="230"/>
      <c r="D91" s="230"/>
      <c r="E91" s="230"/>
      <c r="F91" s="230"/>
      <c r="G91" s="230"/>
      <c r="H91" s="230"/>
      <c r="I91" s="230"/>
      <c r="J91" s="230"/>
      <c r="N91" s="231"/>
    </row>
    <row r="92" spans="1:14">
      <c r="A92" s="252"/>
      <c r="B92" s="234"/>
      <c r="C92" s="230"/>
      <c r="D92" s="230"/>
      <c r="E92" s="230"/>
      <c r="F92" s="230"/>
      <c r="G92" s="230"/>
      <c r="H92" s="230"/>
      <c r="I92" s="230"/>
      <c r="J92" s="230"/>
      <c r="N92" s="231"/>
    </row>
    <row r="93" spans="1:14">
      <c r="A93" s="251"/>
      <c r="B93" s="234"/>
      <c r="C93" s="230"/>
      <c r="D93" s="230"/>
      <c r="E93" s="230"/>
      <c r="F93" s="230"/>
      <c r="G93" s="230"/>
      <c r="H93" s="230"/>
      <c r="I93" s="230"/>
      <c r="J93" s="230"/>
      <c r="N93" s="231"/>
    </row>
    <row r="94" spans="1:14">
      <c r="A94" s="252"/>
      <c r="B94" s="234"/>
      <c r="C94" s="230"/>
      <c r="D94" s="230"/>
      <c r="E94" s="230"/>
      <c r="F94" s="230"/>
      <c r="G94" s="230"/>
      <c r="H94" s="230"/>
      <c r="I94" s="230"/>
      <c r="J94" s="230"/>
      <c r="N94" s="231"/>
    </row>
    <row r="95" spans="1:14">
      <c r="A95" s="251"/>
      <c r="B95" s="234"/>
      <c r="C95" s="230"/>
      <c r="D95" s="230"/>
      <c r="E95" s="230"/>
      <c r="F95" s="230"/>
      <c r="G95" s="230"/>
      <c r="H95" s="230"/>
      <c r="I95" s="230"/>
      <c r="J95" s="230"/>
      <c r="N95" s="231"/>
    </row>
    <row r="96" spans="1:14">
      <c r="A96" s="251"/>
      <c r="B96" s="234"/>
      <c r="C96" s="230"/>
      <c r="D96" s="230"/>
      <c r="E96" s="230"/>
      <c r="F96" s="230"/>
      <c r="G96" s="230"/>
      <c r="H96" s="230"/>
      <c r="I96" s="230"/>
      <c r="J96" s="230"/>
      <c r="N96" s="231"/>
    </row>
    <row r="97" spans="1:14">
      <c r="A97" s="251"/>
      <c r="B97" s="234"/>
      <c r="C97" s="230"/>
      <c r="D97" s="230"/>
      <c r="E97" s="230"/>
      <c r="F97" s="230"/>
      <c r="G97" s="230"/>
      <c r="H97" s="230"/>
      <c r="I97" s="230"/>
      <c r="J97" s="230"/>
      <c r="N97" s="231"/>
    </row>
    <row r="98" spans="1:14">
      <c r="A98" s="251"/>
      <c r="B98" s="234"/>
      <c r="C98" s="230"/>
      <c r="D98" s="230"/>
      <c r="E98" s="230"/>
      <c r="F98" s="230"/>
      <c r="G98" s="230"/>
      <c r="H98" s="230"/>
      <c r="I98" s="230"/>
      <c r="J98" s="230"/>
      <c r="N98" s="231"/>
    </row>
    <row r="99" spans="1:14">
      <c r="A99" s="251"/>
      <c r="B99" s="234"/>
      <c r="C99" s="230"/>
      <c r="D99" s="230"/>
      <c r="E99" s="230"/>
      <c r="F99" s="230"/>
      <c r="G99" s="230"/>
      <c r="H99" s="230"/>
      <c r="I99" s="230"/>
      <c r="J99" s="230"/>
      <c r="N99" s="231"/>
    </row>
    <row r="100" spans="1:14">
      <c r="A100" s="251"/>
      <c r="B100" s="234"/>
      <c r="C100" s="230"/>
      <c r="D100" s="230"/>
      <c r="E100" s="230"/>
      <c r="F100" s="230"/>
      <c r="G100" s="230"/>
      <c r="H100" s="230"/>
      <c r="I100" s="230"/>
      <c r="J100" s="230"/>
      <c r="N100" s="231"/>
    </row>
    <row r="101" spans="1:14">
      <c r="A101" s="251"/>
      <c r="B101" s="234"/>
      <c r="C101" s="230"/>
      <c r="D101" s="230"/>
      <c r="E101" s="230"/>
      <c r="F101" s="230"/>
      <c r="G101" s="230"/>
      <c r="H101" s="230"/>
      <c r="I101" s="230"/>
      <c r="J101" s="230"/>
      <c r="N101" s="231"/>
    </row>
    <row r="102" spans="1:14">
      <c r="A102" s="251"/>
      <c r="B102" s="234"/>
      <c r="C102" s="230"/>
      <c r="D102" s="230"/>
      <c r="E102" s="230"/>
      <c r="F102" s="230"/>
      <c r="G102" s="230"/>
      <c r="H102" s="230"/>
      <c r="I102" s="230"/>
      <c r="J102" s="230"/>
      <c r="N102" s="231"/>
    </row>
    <row r="103" spans="1:14">
      <c r="A103" s="251"/>
      <c r="B103" s="234"/>
      <c r="C103" s="230"/>
      <c r="D103" s="230"/>
      <c r="E103" s="230"/>
      <c r="F103" s="230"/>
      <c r="G103" s="230"/>
      <c r="H103" s="230"/>
      <c r="I103" s="230"/>
      <c r="J103" s="230"/>
      <c r="N103" s="231"/>
    </row>
    <row r="104" spans="1:14">
      <c r="A104" s="251"/>
      <c r="B104" s="234"/>
      <c r="C104" s="230"/>
      <c r="D104" s="230"/>
      <c r="E104" s="230"/>
      <c r="F104" s="230"/>
      <c r="G104" s="230"/>
      <c r="H104" s="230"/>
      <c r="I104" s="230"/>
      <c r="J104" s="230"/>
      <c r="N104" s="231"/>
    </row>
    <row r="105" spans="1:14">
      <c r="A105" s="251"/>
      <c r="B105" s="234"/>
      <c r="C105" s="230"/>
      <c r="D105" s="230"/>
      <c r="E105" s="230"/>
      <c r="F105" s="230"/>
      <c r="G105" s="230"/>
      <c r="H105" s="230"/>
      <c r="I105" s="230"/>
      <c r="J105" s="230"/>
      <c r="N105" s="231"/>
    </row>
    <row r="106" spans="1:14">
      <c r="A106" s="251"/>
      <c r="B106" s="234"/>
      <c r="C106" s="230"/>
      <c r="D106" s="230"/>
      <c r="E106" s="230"/>
      <c r="F106" s="230"/>
      <c r="G106" s="230"/>
      <c r="H106" s="230"/>
      <c r="I106" s="230"/>
      <c r="J106" s="230"/>
      <c r="N106" s="231"/>
    </row>
    <row r="107" spans="1:14">
      <c r="A107" s="251"/>
      <c r="B107" s="234"/>
      <c r="C107" s="230"/>
      <c r="D107" s="230"/>
      <c r="E107" s="230"/>
      <c r="F107" s="230"/>
      <c r="G107" s="230"/>
      <c r="H107" s="230"/>
      <c r="I107" s="230"/>
      <c r="J107" s="230"/>
      <c r="N107" s="231"/>
    </row>
    <row r="108" spans="1:14">
      <c r="A108" s="251"/>
      <c r="B108" s="234"/>
      <c r="C108" s="230"/>
      <c r="D108" s="230"/>
      <c r="E108" s="230"/>
      <c r="F108" s="230"/>
      <c r="G108" s="230"/>
      <c r="H108" s="230"/>
      <c r="I108" s="230"/>
      <c r="J108" s="230"/>
      <c r="N108" s="231"/>
    </row>
    <row r="109" spans="1:14">
      <c r="A109" s="251"/>
      <c r="B109" s="234"/>
      <c r="C109" s="230"/>
      <c r="D109" s="230"/>
      <c r="E109" s="230"/>
      <c r="F109" s="230"/>
      <c r="G109" s="230"/>
      <c r="H109" s="230"/>
      <c r="I109" s="230"/>
      <c r="J109" s="230"/>
      <c r="N109" s="231"/>
    </row>
    <row r="110" spans="1:14">
      <c r="A110" s="251"/>
      <c r="B110" s="234"/>
      <c r="C110" s="230"/>
      <c r="D110" s="230"/>
      <c r="E110" s="230"/>
      <c r="F110" s="230"/>
      <c r="G110" s="230"/>
      <c r="H110" s="230"/>
      <c r="I110" s="230"/>
      <c r="J110" s="230"/>
      <c r="N110" s="231"/>
    </row>
    <row r="111" spans="1:14">
      <c r="A111" s="251"/>
      <c r="B111" s="234"/>
      <c r="C111" s="230"/>
      <c r="D111" s="230"/>
      <c r="E111" s="230"/>
      <c r="F111" s="230"/>
      <c r="G111" s="230"/>
      <c r="H111" s="230"/>
      <c r="I111" s="230"/>
      <c r="J111" s="230"/>
      <c r="N111" s="231"/>
    </row>
    <row r="112" spans="1:14">
      <c r="A112" s="251"/>
      <c r="B112" s="234"/>
      <c r="C112" s="230"/>
      <c r="D112" s="230"/>
      <c r="E112" s="230"/>
      <c r="F112" s="230"/>
      <c r="G112" s="230"/>
      <c r="H112" s="230"/>
      <c r="I112" s="230"/>
      <c r="J112" s="230"/>
      <c r="N112" s="231"/>
    </row>
    <row r="113" spans="1:14">
      <c r="A113" s="251"/>
      <c r="B113" s="234"/>
      <c r="C113" s="230"/>
      <c r="D113" s="230"/>
      <c r="E113" s="230"/>
      <c r="F113" s="230"/>
      <c r="G113" s="230"/>
      <c r="H113" s="230"/>
      <c r="I113" s="230"/>
      <c r="J113" s="230"/>
      <c r="N113" s="231"/>
    </row>
    <row r="114" spans="1:14">
      <c r="A114" s="251"/>
      <c r="B114" s="234"/>
      <c r="C114" s="230"/>
      <c r="D114" s="230"/>
      <c r="E114" s="230"/>
      <c r="F114" s="230"/>
      <c r="G114" s="230"/>
      <c r="H114" s="230"/>
      <c r="I114" s="230"/>
      <c r="J114" s="230"/>
      <c r="N114" s="231"/>
    </row>
    <row r="115" spans="1:14">
      <c r="A115" s="251"/>
      <c r="B115" s="234"/>
      <c r="C115" s="230"/>
      <c r="D115" s="230"/>
      <c r="E115" s="230"/>
      <c r="F115" s="230"/>
      <c r="G115" s="230"/>
      <c r="H115" s="230"/>
      <c r="I115" s="230"/>
      <c r="J115" s="230"/>
      <c r="N115" s="231"/>
    </row>
    <row r="116" spans="1:14">
      <c r="A116" s="251"/>
      <c r="B116" s="234"/>
      <c r="C116" s="230"/>
      <c r="D116" s="230"/>
      <c r="E116" s="230"/>
      <c r="F116" s="230"/>
      <c r="G116" s="230"/>
      <c r="H116" s="230"/>
      <c r="I116" s="230"/>
      <c r="J116" s="230"/>
      <c r="N116" s="231"/>
    </row>
    <row r="117" spans="1:14">
      <c r="A117" s="252"/>
      <c r="B117" s="243"/>
      <c r="C117" s="230"/>
      <c r="D117" s="230"/>
      <c r="E117" s="230"/>
      <c r="F117" s="230"/>
      <c r="G117" s="230"/>
      <c r="H117" s="230"/>
      <c r="I117" s="230"/>
      <c r="J117" s="230"/>
      <c r="N117" s="231"/>
    </row>
    <row r="118" spans="1:14">
      <c r="A118" s="251"/>
      <c r="B118" s="234"/>
      <c r="C118" s="230"/>
      <c r="D118" s="230"/>
      <c r="E118" s="230"/>
      <c r="F118" s="230"/>
      <c r="G118" s="230"/>
      <c r="H118" s="230"/>
      <c r="I118" s="230"/>
      <c r="J118" s="230"/>
      <c r="N118" s="231"/>
    </row>
    <row r="119" spans="1:14">
      <c r="A119" s="251"/>
      <c r="B119" s="234"/>
      <c r="C119" s="230"/>
      <c r="D119" s="230"/>
      <c r="E119" s="230"/>
      <c r="F119" s="230"/>
      <c r="G119" s="230"/>
      <c r="H119" s="230"/>
      <c r="I119" s="230"/>
      <c r="J119" s="230"/>
      <c r="N119" s="231"/>
    </row>
    <row r="120" spans="1:14">
      <c r="A120" s="251"/>
      <c r="B120" s="234"/>
      <c r="C120" s="230"/>
      <c r="D120" s="230"/>
      <c r="E120" s="230"/>
      <c r="F120" s="230"/>
      <c r="G120" s="230"/>
      <c r="H120" s="230"/>
      <c r="I120" s="230"/>
      <c r="J120" s="230"/>
      <c r="L120" s="232"/>
      <c r="N120" s="231"/>
    </row>
    <row r="121" spans="1:14">
      <c r="A121" s="251"/>
      <c r="B121" s="234"/>
      <c r="C121" s="230"/>
      <c r="D121" s="230"/>
      <c r="E121" s="230"/>
      <c r="F121" s="230"/>
      <c r="G121" s="230"/>
      <c r="H121" s="230"/>
      <c r="I121" s="230"/>
      <c r="J121" s="230"/>
      <c r="N121" s="231"/>
    </row>
    <row r="122" spans="1:14">
      <c r="A122" s="251"/>
      <c r="B122" s="234"/>
      <c r="C122" s="230"/>
      <c r="D122" s="230"/>
      <c r="E122" s="230"/>
      <c r="F122" s="230"/>
      <c r="G122" s="230"/>
      <c r="H122" s="230"/>
      <c r="I122" s="230"/>
      <c r="J122" s="230"/>
      <c r="N122" s="231"/>
    </row>
    <row r="123" spans="1:14">
      <c r="A123" s="251"/>
      <c r="B123" s="234"/>
      <c r="C123" s="230"/>
      <c r="D123" s="230"/>
      <c r="E123" s="230"/>
      <c r="F123" s="230"/>
      <c r="G123" s="230"/>
      <c r="H123" s="230"/>
      <c r="I123" s="230"/>
      <c r="J123" s="230"/>
      <c r="N123" s="231"/>
    </row>
    <row r="124" spans="1:14">
      <c r="A124" s="251"/>
      <c r="B124" s="234"/>
      <c r="C124" s="230"/>
      <c r="D124" s="230"/>
      <c r="E124" s="230"/>
      <c r="F124" s="230"/>
      <c r="G124" s="230"/>
      <c r="H124" s="230"/>
      <c r="I124" s="230"/>
      <c r="J124" s="230"/>
      <c r="N124" s="231"/>
    </row>
    <row r="125" spans="1:14">
      <c r="A125" s="251"/>
      <c r="B125" s="234"/>
      <c r="C125" s="230"/>
      <c r="D125" s="230"/>
      <c r="E125" s="230"/>
      <c r="F125" s="230"/>
      <c r="G125" s="230"/>
      <c r="H125" s="230"/>
      <c r="I125" s="230"/>
      <c r="J125" s="230"/>
      <c r="N125" s="231"/>
    </row>
    <row r="126" spans="1:14">
      <c r="A126" s="251"/>
      <c r="B126" s="234"/>
      <c r="C126" s="230"/>
      <c r="D126" s="230"/>
      <c r="E126" s="230"/>
      <c r="F126" s="230"/>
      <c r="G126" s="230"/>
      <c r="H126" s="230"/>
      <c r="I126" s="230"/>
      <c r="J126" s="230"/>
      <c r="N126" s="231"/>
    </row>
    <row r="127" spans="1:14">
      <c r="A127" s="251"/>
      <c r="B127" s="234"/>
      <c r="C127" s="230"/>
      <c r="D127" s="230"/>
      <c r="E127" s="230"/>
      <c r="F127" s="230"/>
      <c r="G127" s="230"/>
      <c r="H127" s="230"/>
      <c r="I127" s="230"/>
      <c r="J127" s="230"/>
      <c r="N127" s="231"/>
    </row>
    <row r="128" spans="1:14">
      <c r="A128" s="251"/>
      <c r="B128" s="234"/>
      <c r="C128" s="230"/>
      <c r="D128" s="230"/>
      <c r="E128" s="230"/>
      <c r="F128" s="230"/>
      <c r="G128" s="230"/>
      <c r="H128" s="230"/>
      <c r="I128" s="230"/>
      <c r="J128" s="230"/>
      <c r="N128" s="231"/>
    </row>
    <row r="129" spans="1:14">
      <c r="A129" s="251"/>
      <c r="B129" s="234"/>
      <c r="C129" s="230"/>
      <c r="D129" s="230"/>
      <c r="E129" s="230"/>
      <c r="F129" s="230"/>
      <c r="G129" s="230"/>
      <c r="H129" s="230"/>
      <c r="I129" s="230"/>
      <c r="J129" s="230"/>
      <c r="N129" s="231"/>
    </row>
    <row r="130" spans="1:14">
      <c r="A130" s="251"/>
      <c r="B130" s="234"/>
      <c r="C130" s="230"/>
      <c r="D130" s="230"/>
      <c r="E130" s="230"/>
      <c r="F130" s="230"/>
      <c r="G130" s="230"/>
      <c r="H130" s="230"/>
      <c r="I130" s="230"/>
      <c r="J130" s="230"/>
      <c r="N130" s="231"/>
    </row>
    <row r="131" spans="1:14">
      <c r="A131" s="251"/>
      <c r="B131" s="234"/>
      <c r="C131" s="230"/>
      <c r="D131" s="230"/>
      <c r="E131" s="230"/>
      <c r="F131" s="230"/>
      <c r="G131" s="230"/>
      <c r="H131" s="230"/>
      <c r="I131" s="230"/>
      <c r="J131" s="230"/>
      <c r="N131" s="231"/>
    </row>
    <row r="132" spans="1:14">
      <c r="A132" s="251"/>
      <c r="B132" s="234"/>
      <c r="C132" s="230"/>
      <c r="D132" s="230"/>
      <c r="E132" s="230"/>
      <c r="F132" s="230"/>
      <c r="G132" s="230"/>
      <c r="H132" s="230"/>
      <c r="I132" s="230"/>
      <c r="J132" s="230"/>
      <c r="N132" s="231"/>
    </row>
    <row r="133" spans="1:14">
      <c r="A133" s="251"/>
      <c r="B133" s="234"/>
      <c r="C133" s="230"/>
      <c r="D133" s="230"/>
      <c r="E133" s="230"/>
      <c r="F133" s="230"/>
      <c r="G133" s="230"/>
      <c r="H133" s="230"/>
      <c r="I133" s="230"/>
      <c r="J133" s="230"/>
      <c r="N133" s="231"/>
    </row>
    <row r="134" spans="1:14">
      <c r="A134" s="251"/>
      <c r="B134" s="234"/>
      <c r="C134" s="230"/>
      <c r="D134" s="230"/>
      <c r="E134" s="230"/>
      <c r="F134" s="230"/>
      <c r="G134" s="230"/>
      <c r="H134" s="230"/>
      <c r="I134" s="230"/>
      <c r="J134" s="230"/>
      <c r="N134" s="231"/>
    </row>
    <row r="135" spans="1:14">
      <c r="A135" s="251"/>
      <c r="B135" s="234"/>
      <c r="C135" s="230"/>
      <c r="D135" s="230"/>
      <c r="E135" s="230"/>
      <c r="F135" s="230"/>
      <c r="G135" s="230"/>
      <c r="H135" s="230"/>
      <c r="I135" s="230"/>
      <c r="J135" s="230"/>
      <c r="N135" s="231"/>
    </row>
    <row r="136" spans="1:14">
      <c r="A136" s="251"/>
      <c r="B136" s="234"/>
      <c r="C136" s="230"/>
      <c r="D136" s="230"/>
      <c r="E136" s="230"/>
      <c r="F136" s="230"/>
      <c r="G136" s="230"/>
      <c r="H136" s="230"/>
      <c r="I136" s="230"/>
      <c r="J136" s="230"/>
      <c r="N136" s="231"/>
    </row>
    <row r="137" spans="1:14">
      <c r="A137" s="251"/>
      <c r="B137" s="234"/>
      <c r="C137" s="230"/>
      <c r="D137" s="230"/>
      <c r="E137" s="230"/>
      <c r="F137" s="230"/>
      <c r="G137" s="230"/>
      <c r="H137" s="230"/>
      <c r="I137" s="230"/>
      <c r="J137" s="230"/>
      <c r="N137" s="231"/>
    </row>
    <row r="138" spans="1:14">
      <c r="A138" s="251"/>
      <c r="B138" s="234"/>
      <c r="C138" s="230"/>
      <c r="D138" s="230"/>
      <c r="E138" s="230"/>
      <c r="F138" s="230"/>
      <c r="G138" s="230"/>
      <c r="H138" s="230"/>
      <c r="I138" s="230"/>
      <c r="J138" s="230"/>
      <c r="N138" s="231"/>
    </row>
    <row r="139" spans="1:14">
      <c r="A139" s="251"/>
      <c r="B139" s="234"/>
      <c r="C139" s="230"/>
      <c r="D139" s="230"/>
      <c r="E139" s="230"/>
      <c r="F139" s="230"/>
      <c r="G139" s="230"/>
      <c r="H139" s="230"/>
      <c r="I139" s="230"/>
      <c r="J139" s="230"/>
      <c r="N139" s="231"/>
    </row>
    <row r="140" spans="1:14">
      <c r="A140" s="251"/>
      <c r="B140" s="234"/>
      <c r="C140" s="230"/>
      <c r="D140" s="230"/>
      <c r="E140" s="230"/>
      <c r="F140" s="230"/>
      <c r="G140" s="230"/>
      <c r="H140" s="230"/>
      <c r="I140" s="230"/>
      <c r="J140" s="230"/>
      <c r="N140" s="231"/>
    </row>
    <row r="141" spans="1:14">
      <c r="A141" s="251"/>
      <c r="B141" s="234"/>
      <c r="C141" s="230"/>
      <c r="D141" s="230"/>
      <c r="E141" s="230"/>
      <c r="F141" s="230"/>
      <c r="G141" s="230"/>
      <c r="H141" s="230"/>
      <c r="I141" s="230"/>
      <c r="J141" s="230"/>
      <c r="N141" s="231"/>
    </row>
    <row r="142" spans="1:14">
      <c r="A142" s="251"/>
      <c r="B142" s="234"/>
      <c r="C142" s="230"/>
      <c r="D142" s="230"/>
      <c r="E142" s="230"/>
      <c r="F142" s="230"/>
      <c r="G142" s="230"/>
      <c r="H142" s="230"/>
      <c r="I142" s="230"/>
      <c r="J142" s="230"/>
      <c r="N142" s="231"/>
    </row>
    <row r="143" spans="1:14">
      <c r="A143" s="251"/>
      <c r="B143" s="234"/>
      <c r="C143" s="230"/>
      <c r="D143" s="230"/>
      <c r="E143" s="230"/>
      <c r="F143" s="230"/>
      <c r="G143" s="230"/>
      <c r="H143" s="230"/>
      <c r="I143" s="230"/>
      <c r="J143" s="230"/>
      <c r="N143" s="231"/>
    </row>
    <row r="144" spans="1:14">
      <c r="A144" s="251"/>
      <c r="B144" s="234"/>
      <c r="C144" s="230"/>
      <c r="D144" s="230"/>
      <c r="E144" s="230"/>
      <c r="F144" s="230"/>
      <c r="G144" s="230"/>
      <c r="H144" s="230"/>
      <c r="I144" s="230"/>
      <c r="J144" s="230"/>
      <c r="N144" s="231"/>
    </row>
    <row r="145" spans="1:14">
      <c r="A145" s="251"/>
      <c r="B145" s="234"/>
      <c r="C145" s="230"/>
      <c r="D145" s="230"/>
      <c r="E145" s="230"/>
      <c r="F145" s="230"/>
      <c r="G145" s="230"/>
      <c r="H145" s="230"/>
      <c r="I145" s="230"/>
      <c r="J145" s="230"/>
      <c r="N145" s="231"/>
    </row>
    <row r="146" spans="1:14">
      <c r="A146" s="251"/>
      <c r="B146" s="234"/>
      <c r="C146" s="230"/>
      <c r="D146" s="230"/>
      <c r="E146" s="230"/>
      <c r="F146" s="230"/>
      <c r="G146" s="230"/>
      <c r="H146" s="230"/>
      <c r="I146" s="230"/>
      <c r="J146" s="230"/>
      <c r="N146" s="231"/>
    </row>
    <row r="147" spans="1:14">
      <c r="A147" s="251"/>
      <c r="B147" s="234"/>
      <c r="C147" s="230"/>
      <c r="D147" s="230"/>
      <c r="E147" s="230"/>
      <c r="F147" s="230"/>
      <c r="G147" s="230"/>
      <c r="H147" s="230"/>
      <c r="I147" s="230"/>
      <c r="J147" s="230"/>
      <c r="N147" s="231"/>
    </row>
    <row r="148" spans="1:14">
      <c r="A148" s="251"/>
      <c r="B148" s="234"/>
      <c r="C148" s="230"/>
      <c r="D148" s="230"/>
      <c r="E148" s="230"/>
      <c r="F148" s="230"/>
      <c r="G148" s="230"/>
      <c r="H148" s="230"/>
      <c r="I148" s="230"/>
      <c r="J148" s="230"/>
      <c r="N148" s="231"/>
    </row>
    <row r="149" spans="1:14">
      <c r="A149" s="251"/>
      <c r="B149" s="234"/>
      <c r="C149" s="230"/>
      <c r="D149" s="230"/>
      <c r="E149" s="230"/>
      <c r="F149" s="230"/>
      <c r="G149" s="230"/>
      <c r="H149" s="230"/>
      <c r="I149" s="230"/>
      <c r="J149" s="230"/>
      <c r="N149" s="231"/>
    </row>
    <row r="150" spans="1:14">
      <c r="A150" s="251"/>
      <c r="B150" s="234"/>
      <c r="C150" s="230"/>
      <c r="D150" s="230"/>
      <c r="E150" s="230"/>
      <c r="F150" s="230"/>
      <c r="G150" s="230"/>
      <c r="H150" s="230"/>
      <c r="I150" s="230"/>
      <c r="J150" s="230"/>
      <c r="N150" s="231"/>
    </row>
    <row r="151" spans="1:14">
      <c r="A151" s="251"/>
      <c r="B151" s="234"/>
      <c r="C151" s="230"/>
      <c r="D151" s="230"/>
      <c r="E151" s="230"/>
      <c r="F151" s="230"/>
      <c r="G151" s="230"/>
      <c r="H151" s="230"/>
      <c r="I151" s="230"/>
      <c r="J151" s="230"/>
      <c r="N151" s="231"/>
    </row>
    <row r="152" spans="1:14">
      <c r="A152" s="251"/>
      <c r="B152" s="234"/>
      <c r="C152" s="230"/>
      <c r="D152" s="230"/>
      <c r="E152" s="230"/>
      <c r="F152" s="230"/>
      <c r="G152" s="230"/>
      <c r="H152" s="230"/>
      <c r="I152" s="230"/>
      <c r="J152" s="230"/>
      <c r="N152" s="231"/>
    </row>
    <row r="153" spans="1:14">
      <c r="A153" s="251"/>
      <c r="B153" s="234"/>
      <c r="C153" s="230"/>
      <c r="D153" s="230"/>
      <c r="E153" s="230"/>
      <c r="F153" s="230"/>
      <c r="G153" s="230"/>
      <c r="H153" s="230"/>
      <c r="I153" s="230"/>
      <c r="J153" s="230"/>
      <c r="N153" s="231"/>
    </row>
    <row r="154" spans="1:14">
      <c r="A154" s="251"/>
      <c r="B154" s="234"/>
      <c r="C154" s="230"/>
      <c r="D154" s="230"/>
      <c r="E154" s="230"/>
      <c r="F154" s="230"/>
      <c r="G154" s="230"/>
      <c r="H154" s="230"/>
      <c r="I154" s="230"/>
      <c r="J154" s="230"/>
      <c r="N154" s="231"/>
    </row>
  </sheetData>
  <mergeCells count="3">
    <mergeCell ref="A1:B1"/>
    <mergeCell ref="C1:D1"/>
    <mergeCell ref="A2:B2"/>
  </mergeCells>
  <pageMargins left="0.75" right="0.75" top="1" bottom="1" header="0.5"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T157"/>
  <sheetViews>
    <sheetView topLeftCell="A31" workbookViewId="0">
      <selection activeCell="F69" sqref="F69"/>
    </sheetView>
  </sheetViews>
  <sheetFormatPr defaultRowHeight="12.75"/>
  <cols>
    <col min="1" max="1" width="23" style="702" customWidth="1"/>
    <col min="2" max="2" width="8.7109375" style="702" bestFit="1" customWidth="1"/>
    <col min="3" max="3" width="8.5703125" style="702" bestFit="1" customWidth="1"/>
    <col min="4" max="4" width="9.140625" style="702" bestFit="1" customWidth="1"/>
    <col min="5" max="5" width="19" style="702" bestFit="1" customWidth="1"/>
    <col min="6" max="6" width="23.140625" style="702" customWidth="1"/>
    <col min="7" max="7" width="6.42578125" style="702" customWidth="1"/>
    <col min="8" max="8" width="3.5703125" style="702" customWidth="1"/>
    <col min="9" max="9" width="4.85546875" style="702" customWidth="1"/>
    <col min="10" max="10" width="35.7109375" style="702" bestFit="1" customWidth="1"/>
    <col min="11" max="11" width="10.140625" style="702" bestFit="1" customWidth="1"/>
    <col min="12" max="12" width="11.28515625" style="702" bestFit="1" customWidth="1"/>
    <col min="13" max="13" width="19.42578125" style="702" customWidth="1"/>
    <col min="14" max="14" width="6.28515625" style="702" bestFit="1" customWidth="1"/>
    <col min="15" max="15" width="41.140625" style="702" customWidth="1"/>
    <col min="16" max="16" width="7.7109375" style="702" bestFit="1" customWidth="1"/>
    <col min="17" max="17" width="8.85546875" style="702" bestFit="1" customWidth="1"/>
    <col min="18" max="18" width="11.28515625" style="702" bestFit="1" customWidth="1"/>
    <col min="19" max="19" width="14.42578125" style="702" bestFit="1" customWidth="1"/>
    <col min="20" max="20" width="38.42578125" style="702" bestFit="1" customWidth="1"/>
    <col min="21" max="16384" width="9.140625" style="702"/>
  </cols>
  <sheetData>
    <row r="1" spans="1:20" ht="13.5" thickBot="1">
      <c r="A1" s="701" t="s">
        <v>218</v>
      </c>
    </row>
    <row r="2" spans="1:20">
      <c r="A2" s="701" t="s">
        <v>1002</v>
      </c>
      <c r="J2" s="703"/>
      <c r="K2" s="704"/>
      <c r="L2" s="704"/>
      <c r="M2" s="704"/>
      <c r="N2" s="704"/>
      <c r="O2" s="704"/>
      <c r="P2" s="704"/>
      <c r="Q2" s="704"/>
      <c r="R2" s="704"/>
      <c r="S2" s="704"/>
      <c r="T2" s="705"/>
    </row>
    <row r="3" spans="1:20">
      <c r="J3" s="654" t="s">
        <v>1004</v>
      </c>
      <c r="K3" s="647"/>
      <c r="L3" s="647"/>
      <c r="M3" s="706" t="s">
        <v>1005</v>
      </c>
      <c r="N3" s="647"/>
      <c r="O3" s="647"/>
      <c r="P3" s="647"/>
      <c r="Q3" s="647"/>
      <c r="R3" s="647"/>
      <c r="S3" s="647"/>
      <c r="T3" s="648"/>
    </row>
    <row r="4" spans="1:20" ht="12.75" customHeight="1">
      <c r="A4" s="1043" t="s">
        <v>1606</v>
      </c>
      <c r="B4" s="1044"/>
      <c r="C4" s="1044"/>
      <c r="D4" s="752"/>
      <c r="E4" s="1044"/>
      <c r="F4" s="1045"/>
      <c r="G4" s="822"/>
      <c r="H4" s="825"/>
      <c r="I4" s="782"/>
      <c r="J4" s="649" t="s">
        <v>1006</v>
      </c>
      <c r="K4" s="647"/>
      <c r="L4" s="647"/>
      <c r="M4" s="711"/>
      <c r="N4" s="647"/>
      <c r="O4" s="647"/>
      <c r="P4" s="647"/>
      <c r="Q4" s="647"/>
      <c r="R4" s="647"/>
      <c r="S4" s="647"/>
      <c r="T4" s="648"/>
    </row>
    <row r="5" spans="1:20" ht="12.75" customHeight="1">
      <c r="A5" s="1046"/>
      <c r="B5" s="782"/>
      <c r="C5" s="782"/>
      <c r="D5" s="337"/>
      <c r="E5" s="782"/>
      <c r="F5" s="822"/>
      <c r="G5" s="822"/>
      <c r="H5" s="825"/>
      <c r="I5" s="782"/>
      <c r="J5" s="649"/>
      <c r="K5" s="647"/>
      <c r="L5" s="647"/>
      <c r="M5" s="711"/>
      <c r="N5" s="647"/>
      <c r="O5" s="647"/>
      <c r="P5" s="647"/>
      <c r="Q5" s="647"/>
      <c r="R5" s="647"/>
      <c r="S5" s="647"/>
      <c r="T5" s="648"/>
    </row>
    <row r="6" spans="1:20">
      <c r="A6" s="707"/>
      <c r="B6" s="709" t="s">
        <v>547</v>
      </c>
      <c r="C6" s="709" t="s">
        <v>547</v>
      </c>
      <c r="D6" s="708" t="s">
        <v>1</v>
      </c>
      <c r="E6" s="709" t="s">
        <v>19</v>
      </c>
      <c r="G6" s="709"/>
      <c r="H6" s="710"/>
      <c r="I6" s="708"/>
      <c r="J6" s="649"/>
      <c r="K6" s="647"/>
      <c r="L6" s="647"/>
      <c r="M6" s="650" t="s">
        <v>1007</v>
      </c>
      <c r="N6" s="651"/>
      <c r="O6" s="652"/>
      <c r="P6" s="647"/>
      <c r="Q6" s="647"/>
      <c r="R6" s="651" t="s">
        <v>1008</v>
      </c>
      <c r="S6" s="651"/>
      <c r="T6" s="653"/>
    </row>
    <row r="7" spans="1:20">
      <c r="A7" s="712"/>
      <c r="B7" s="709" t="s">
        <v>590</v>
      </c>
      <c r="C7" s="709" t="s">
        <v>590</v>
      </c>
      <c r="D7" s="709" t="s">
        <v>547</v>
      </c>
      <c r="E7" s="709" t="s">
        <v>1003</v>
      </c>
      <c r="F7" s="710" t="s">
        <v>589</v>
      </c>
      <c r="G7" s="709"/>
      <c r="H7" s="713"/>
      <c r="I7" s="713"/>
      <c r="J7" s="654"/>
      <c r="K7" s="655"/>
      <c r="L7" s="655"/>
      <c r="M7" s="655"/>
      <c r="N7" s="656" t="s">
        <v>1009</v>
      </c>
      <c r="O7" s="657" t="s">
        <v>1010</v>
      </c>
      <c r="P7" s="655"/>
      <c r="Q7" s="658"/>
      <c r="R7" s="655" t="s">
        <v>1011</v>
      </c>
      <c r="S7" s="657" t="s">
        <v>1012</v>
      </c>
      <c r="T7" s="659"/>
    </row>
    <row r="8" spans="1:20">
      <c r="A8" s="712"/>
      <c r="B8" s="709" t="s">
        <v>374</v>
      </c>
      <c r="C8" s="709" t="s">
        <v>375</v>
      </c>
      <c r="D8" s="709" t="s">
        <v>590</v>
      </c>
      <c r="E8" s="709"/>
      <c r="F8" s="709"/>
      <c r="G8" s="709"/>
      <c r="H8" s="713"/>
      <c r="I8" s="713"/>
      <c r="J8" s="654"/>
      <c r="K8" s="655"/>
      <c r="L8" s="655"/>
      <c r="M8" s="655"/>
      <c r="N8" s="656" t="s">
        <v>1013</v>
      </c>
      <c r="O8" s="657" t="s">
        <v>1014</v>
      </c>
      <c r="P8" s="655"/>
      <c r="Q8" s="658"/>
      <c r="R8" s="655" t="s">
        <v>1015</v>
      </c>
      <c r="S8" s="657" t="s">
        <v>1016</v>
      </c>
      <c r="T8" s="648"/>
    </row>
    <row r="9" spans="1:20">
      <c r="A9" s="714" t="s">
        <v>127</v>
      </c>
      <c r="B9" s="709"/>
      <c r="C9" s="709"/>
      <c r="D9" s="709"/>
      <c r="E9" s="709"/>
      <c r="F9" s="709"/>
      <c r="G9" s="709"/>
      <c r="H9" s="713"/>
      <c r="I9" s="713"/>
      <c r="J9" s="649"/>
      <c r="K9" s="647"/>
      <c r="L9" s="647"/>
      <c r="M9" s="647"/>
      <c r="N9" s="647"/>
      <c r="O9" s="647"/>
      <c r="P9" s="647"/>
      <c r="Q9" s="647"/>
      <c r="R9" s="655" t="s">
        <v>642</v>
      </c>
      <c r="S9" s="657"/>
      <c r="T9" s="648"/>
    </row>
    <row r="10" spans="1:20">
      <c r="A10" s="712" t="s">
        <v>128</v>
      </c>
      <c r="B10" s="715">
        <f>'G-48 Price Out'!G41</f>
        <v>345506.96999999974</v>
      </c>
      <c r="C10" s="715">
        <f>'G-51 Price Out'!D41</f>
        <v>34768.29</v>
      </c>
      <c r="D10" s="715">
        <f>SUM(B10:C10)</f>
        <v>380275.25999999972</v>
      </c>
      <c r="E10" s="715">
        <f>'Consolidated IS'!C8</f>
        <v>380392.66</v>
      </c>
      <c r="F10" s="716">
        <f>D10-E10</f>
        <v>-117.40000000025611</v>
      </c>
      <c r="G10" s="709"/>
      <c r="H10" s="713"/>
      <c r="I10" s="713"/>
      <c r="J10" s="649"/>
      <c r="K10" s="647"/>
      <c r="L10" s="647"/>
      <c r="M10" s="647"/>
      <c r="N10" s="647"/>
      <c r="O10" s="647"/>
      <c r="P10" s="647"/>
      <c r="Q10" s="647"/>
      <c r="R10" s="655" t="s">
        <v>643</v>
      </c>
      <c r="S10" s="657" t="s">
        <v>0</v>
      </c>
      <c r="T10" s="648"/>
    </row>
    <row r="11" spans="1:20">
      <c r="A11" s="712" t="s">
        <v>638</v>
      </c>
      <c r="B11" s="717">
        <f>'G-48 Price Out'!G116</f>
        <v>348151.18000000017</v>
      </c>
      <c r="C11" s="717">
        <f>'G-51 Price Out'!D81</f>
        <v>47705.509999999987</v>
      </c>
      <c r="D11" s="715">
        <f t="shared" ref="D11:D16" si="0">SUM(B11:C11)</f>
        <v>395856.69000000018</v>
      </c>
      <c r="E11" s="715">
        <f>'Consolidated IS'!C9</f>
        <v>402697.34000000008</v>
      </c>
      <c r="F11" s="716">
        <f t="shared" ref="F11:F16" si="1">D11-E11</f>
        <v>-6840.6499999999069</v>
      </c>
      <c r="G11" s="718" t="s">
        <v>431</v>
      </c>
      <c r="H11" s="719"/>
      <c r="I11" s="719"/>
      <c r="J11" s="660" t="s">
        <v>1017</v>
      </c>
      <c r="K11" s="661"/>
      <c r="L11" s="662"/>
      <c r="M11" s="647" t="s">
        <v>1018</v>
      </c>
      <c r="N11" s="647"/>
      <c r="O11" s="647"/>
      <c r="P11" s="647"/>
      <c r="Q11" s="647"/>
      <c r="R11" s="647"/>
      <c r="S11" s="647"/>
      <c r="T11" s="663"/>
    </row>
    <row r="12" spans="1:20">
      <c r="A12" s="720" t="s">
        <v>592</v>
      </c>
      <c r="B12" s="717">
        <f>'G-48 Price Out'!G135</f>
        <v>100945.43999999999</v>
      </c>
      <c r="C12" s="717">
        <f>'G-51 Price Out'!D96</f>
        <v>14887.420000000004</v>
      </c>
      <c r="D12" s="715">
        <f t="shared" si="0"/>
        <v>115832.85999999999</v>
      </c>
      <c r="E12" s="715">
        <f>'Consolidated IS'!C10</f>
        <v>116194.46</v>
      </c>
      <c r="F12" s="716">
        <f t="shared" si="1"/>
        <v>-361.60000000002037</v>
      </c>
      <c r="G12" s="719"/>
      <c r="H12" s="719"/>
      <c r="I12" s="719"/>
      <c r="J12" s="660" t="s">
        <v>1019</v>
      </c>
      <c r="K12" s="661"/>
      <c r="L12" s="664">
        <v>23</v>
      </c>
      <c r="M12" s="647" t="s">
        <v>1020</v>
      </c>
      <c r="N12" s="665" t="s">
        <v>1021</v>
      </c>
      <c r="O12" s="647"/>
      <c r="P12" s="647"/>
      <c r="Q12" s="647"/>
      <c r="R12" s="647"/>
      <c r="S12" s="647"/>
      <c r="T12" s="648"/>
    </row>
    <row r="13" spans="1:20">
      <c r="A13" s="720" t="s">
        <v>132</v>
      </c>
      <c r="B13" s="717">
        <f>'G-48 Price Out'!G140</f>
        <v>88035.360000000015</v>
      </c>
      <c r="C13" s="717">
        <f>'G-51 Price Out'!D101</f>
        <v>7126.7</v>
      </c>
      <c r="D13" s="715">
        <f t="shared" si="0"/>
        <v>95162.060000000012</v>
      </c>
      <c r="E13" s="715">
        <f>'Consolidated IS'!C11</f>
        <v>95797.75</v>
      </c>
      <c r="F13" s="716">
        <f t="shared" si="1"/>
        <v>-635.68999999998778</v>
      </c>
      <c r="G13" s="719"/>
      <c r="H13" s="719"/>
      <c r="I13" s="719"/>
      <c r="J13" s="649"/>
      <c r="K13" s="647"/>
      <c r="L13" s="647"/>
      <c r="M13" s="647"/>
      <c r="N13" s="647"/>
      <c r="O13" s="647"/>
      <c r="P13" s="647"/>
      <c r="Q13" s="647"/>
      <c r="R13" s="647"/>
      <c r="S13" s="647"/>
      <c r="T13" s="648"/>
    </row>
    <row r="14" spans="1:20" ht="13.5" thickBot="1">
      <c r="A14" s="720" t="s">
        <v>133</v>
      </c>
      <c r="B14" s="717">
        <f>'G-48 Price Out'!G147</f>
        <v>4805.2800000000007</v>
      </c>
      <c r="C14" s="717">
        <f>'G-51 Price Out'!D108</f>
        <v>416.75</v>
      </c>
      <c r="D14" s="715">
        <f t="shared" si="0"/>
        <v>5222.0300000000007</v>
      </c>
      <c r="E14" s="715">
        <f>-'38000 Other Rev'!D56</f>
        <v>4755.7999999999993</v>
      </c>
      <c r="F14" s="716">
        <f t="shared" si="1"/>
        <v>466.23000000000138</v>
      </c>
      <c r="G14" s="721"/>
      <c r="H14" s="722"/>
      <c r="I14" s="722"/>
      <c r="J14" s="666" t="s">
        <v>1022</v>
      </c>
      <c r="K14" s="667" t="s">
        <v>1023</v>
      </c>
      <c r="L14" s="668" t="s">
        <v>1024</v>
      </c>
      <c r="M14" s="669" t="s">
        <v>1025</v>
      </c>
      <c r="N14" s="670" t="s">
        <v>1026</v>
      </c>
      <c r="O14" s="670" t="s">
        <v>1027</v>
      </c>
      <c r="P14" s="670" t="s">
        <v>1028</v>
      </c>
      <c r="Q14" s="670" t="s">
        <v>1029</v>
      </c>
      <c r="R14" s="670" t="s">
        <v>1030</v>
      </c>
      <c r="S14" s="670" t="s">
        <v>1031</v>
      </c>
      <c r="T14" s="671" t="s">
        <v>1032</v>
      </c>
    </row>
    <row r="15" spans="1:20">
      <c r="A15" s="720" t="s">
        <v>1083</v>
      </c>
      <c r="B15" s="717">
        <v>0</v>
      </c>
      <c r="C15" s="717">
        <v>0</v>
      </c>
      <c r="D15" s="715">
        <f t="shared" si="0"/>
        <v>0</v>
      </c>
      <c r="E15" s="715">
        <f>-'38000 Other Rev'!D72</f>
        <v>2375.3300000000004</v>
      </c>
      <c r="F15" s="716">
        <f t="shared" si="1"/>
        <v>-2375.3300000000004</v>
      </c>
      <c r="G15" s="721"/>
      <c r="H15" s="722"/>
      <c r="I15" s="722"/>
      <c r="J15" s="672"/>
      <c r="K15" s="673"/>
      <c r="L15" s="674"/>
      <c r="M15" s="675"/>
      <c r="N15" s="661"/>
      <c r="O15" s="661"/>
      <c r="P15" s="661"/>
      <c r="Q15" s="661"/>
      <c r="R15" s="661"/>
      <c r="S15" s="661"/>
      <c r="T15" s="676"/>
    </row>
    <row r="16" spans="1:20">
      <c r="A16" s="720" t="s">
        <v>1082</v>
      </c>
      <c r="B16" s="723">
        <v>0</v>
      </c>
      <c r="C16" s="723">
        <v>0</v>
      </c>
      <c r="D16" s="724">
        <f t="shared" si="0"/>
        <v>0</v>
      </c>
      <c r="E16" s="724">
        <f>'Consolidated IS'!C13</f>
        <v>277.14999999999998</v>
      </c>
      <c r="F16" s="716">
        <f t="shared" si="1"/>
        <v>-277.14999999999998</v>
      </c>
      <c r="G16" s="722"/>
      <c r="H16" s="722"/>
      <c r="I16" s="722"/>
      <c r="J16" s="649" t="s">
        <v>1033</v>
      </c>
      <c r="K16" s="677">
        <v>42124</v>
      </c>
      <c r="L16" s="678">
        <v>-4182.42</v>
      </c>
      <c r="M16" s="647" t="s">
        <v>1034</v>
      </c>
      <c r="N16" s="679" t="s">
        <v>1035</v>
      </c>
      <c r="O16" s="647" t="s">
        <v>1036</v>
      </c>
      <c r="P16" s="647" t="s">
        <v>1037</v>
      </c>
      <c r="Q16" s="647" t="s">
        <v>1038</v>
      </c>
      <c r="R16" s="680"/>
      <c r="S16" s="680"/>
      <c r="T16" s="681" t="s">
        <v>1039</v>
      </c>
    </row>
    <row r="17" spans="1:20">
      <c r="A17" s="725"/>
      <c r="B17" s="726">
        <f t="shared" ref="B17:D17" si="2">SUM(B10:B16)</f>
        <v>887444.22999999986</v>
      </c>
      <c r="C17" s="726">
        <f t="shared" si="2"/>
        <v>104904.66999999998</v>
      </c>
      <c r="D17" s="726">
        <f t="shared" si="2"/>
        <v>992348.9</v>
      </c>
      <c r="E17" s="726">
        <f>SUM(E10:E16)</f>
        <v>1002490.49</v>
      </c>
      <c r="F17" s="726"/>
      <c r="G17" s="722"/>
      <c r="H17" s="719"/>
      <c r="I17" s="722"/>
      <c r="J17" s="649" t="s">
        <v>1033</v>
      </c>
      <c r="K17" s="677">
        <v>42185</v>
      </c>
      <c r="L17" s="682">
        <v>-2658.71</v>
      </c>
      <c r="M17" s="647" t="s">
        <v>1040</v>
      </c>
      <c r="N17" s="679" t="s">
        <v>1035</v>
      </c>
      <c r="O17" s="647" t="s">
        <v>1041</v>
      </c>
      <c r="P17" s="647" t="s">
        <v>1042</v>
      </c>
      <c r="Q17" s="647" t="s">
        <v>1043</v>
      </c>
      <c r="R17" s="680"/>
      <c r="S17" s="680"/>
      <c r="T17" s="681" t="s">
        <v>1044</v>
      </c>
    </row>
    <row r="18" spans="1:20">
      <c r="A18" s="727"/>
      <c r="B18" s="722"/>
      <c r="C18" s="722"/>
      <c r="D18" s="722"/>
      <c r="E18" s="722"/>
      <c r="F18" s="722"/>
      <c r="G18" s="722"/>
      <c r="H18" s="722"/>
      <c r="I18" s="722"/>
      <c r="J18" s="728"/>
      <c r="K18" s="729"/>
      <c r="L18" s="678">
        <f>SUM(L16:L17)</f>
        <v>-6841.13</v>
      </c>
      <c r="M18" s="730" t="s">
        <v>431</v>
      </c>
      <c r="T18" s="731"/>
    </row>
    <row r="19" spans="1:20" ht="13.5" thickBot="1">
      <c r="A19" s="712"/>
      <c r="B19" s="732"/>
      <c r="C19" s="733"/>
      <c r="D19" s="733"/>
      <c r="E19" s="734"/>
      <c r="F19" s="734"/>
      <c r="G19" s="734"/>
      <c r="H19" s="732"/>
      <c r="I19" s="732"/>
      <c r="J19" s="735" t="s">
        <v>1045</v>
      </c>
      <c r="K19" s="736"/>
      <c r="L19" s="736"/>
      <c r="M19" s="736"/>
      <c r="N19" s="736"/>
      <c r="O19" s="736"/>
      <c r="P19" s="736"/>
      <c r="Q19" s="736"/>
      <c r="R19" s="736"/>
      <c r="S19" s="736"/>
      <c r="T19" s="737"/>
    </row>
    <row r="20" spans="1:20">
      <c r="A20" s="712"/>
      <c r="B20" s="738"/>
      <c r="C20" s="738"/>
      <c r="D20" s="739"/>
      <c r="E20" s="739"/>
      <c r="F20" s="739"/>
      <c r="G20" s="739"/>
      <c r="H20" s="738"/>
      <c r="I20" s="712"/>
    </row>
    <row r="21" spans="1:20">
      <c r="A21" s="740" t="s">
        <v>128</v>
      </c>
      <c r="B21" s="741">
        <f>F10</f>
        <v>-117.40000000025611</v>
      </c>
      <c r="C21" s="742" t="s">
        <v>533</v>
      </c>
      <c r="D21" s="739"/>
      <c r="E21" s="739"/>
      <c r="F21" s="739"/>
      <c r="G21" s="739"/>
      <c r="H21" s="743"/>
      <c r="I21" s="712"/>
      <c r="J21" s="686"/>
      <c r="K21" s="683"/>
      <c r="L21" s="683"/>
      <c r="M21" s="744"/>
      <c r="N21" s="683"/>
      <c r="O21" s="683"/>
      <c r="P21" s="683"/>
      <c r="Q21" s="683"/>
      <c r="R21" s="683"/>
      <c r="S21" s="683"/>
      <c r="T21" s="683"/>
    </row>
    <row r="22" spans="1:20">
      <c r="A22" s="745" t="s">
        <v>593</v>
      </c>
      <c r="B22" s="741">
        <f t="shared" ref="B22:B24" si="3">F11</f>
        <v>-6840.6499999999069</v>
      </c>
      <c r="C22" s="742" t="s">
        <v>533</v>
      </c>
      <c r="D22" s="739"/>
      <c r="E22" s="739"/>
      <c r="F22" s="739"/>
      <c r="G22" s="738"/>
      <c r="H22" s="738"/>
      <c r="I22" s="712"/>
      <c r="J22" s="683"/>
      <c r="K22" s="683"/>
      <c r="L22" s="683"/>
      <c r="M22" s="746"/>
      <c r="N22" s="683"/>
      <c r="O22" s="683"/>
      <c r="P22" s="683"/>
      <c r="Q22" s="683"/>
      <c r="R22" s="683"/>
      <c r="S22" s="683"/>
      <c r="T22" s="683"/>
    </row>
    <row r="23" spans="1:20">
      <c r="A23" s="745" t="s">
        <v>594</v>
      </c>
      <c r="B23" s="741">
        <f t="shared" si="3"/>
        <v>-361.60000000002037</v>
      </c>
      <c r="C23" s="742" t="s">
        <v>533</v>
      </c>
      <c r="D23" s="739"/>
      <c r="E23" s="738"/>
      <c r="F23" s="739"/>
      <c r="G23" s="739"/>
      <c r="H23" s="738"/>
      <c r="I23" s="712"/>
      <c r="J23" s="683"/>
      <c r="K23" s="683"/>
      <c r="L23" s="683"/>
      <c r="M23" s="684"/>
      <c r="N23" s="684"/>
      <c r="O23" s="685"/>
      <c r="P23" s="683"/>
      <c r="Q23" s="683"/>
      <c r="R23" s="684"/>
      <c r="S23" s="684"/>
      <c r="T23" s="684"/>
    </row>
    <row r="24" spans="1:20">
      <c r="A24" s="745" t="s">
        <v>595</v>
      </c>
      <c r="B24" s="741">
        <f t="shared" si="3"/>
        <v>-635.68999999998778</v>
      </c>
      <c r="C24" s="742" t="s">
        <v>533</v>
      </c>
      <c r="D24" s="739"/>
      <c r="E24" s="739"/>
      <c r="F24" s="739"/>
      <c r="G24" s="739"/>
      <c r="H24" s="743"/>
      <c r="I24" s="712"/>
      <c r="J24" s="686"/>
      <c r="K24" s="686"/>
      <c r="L24" s="686"/>
      <c r="M24" s="686"/>
      <c r="N24" s="687"/>
      <c r="O24" s="688"/>
      <c r="P24" s="686"/>
      <c r="Q24" s="689"/>
      <c r="R24" s="686"/>
      <c r="S24" s="688"/>
      <c r="T24" s="686"/>
    </row>
    <row r="25" spans="1:20">
      <c r="A25" s="745" t="s">
        <v>562</v>
      </c>
      <c r="B25" s="741">
        <f>F14</f>
        <v>466.23000000000138</v>
      </c>
      <c r="C25" s="742" t="s">
        <v>533</v>
      </c>
      <c r="D25" s="739"/>
      <c r="E25" s="739"/>
      <c r="F25" s="739"/>
      <c r="G25" s="739"/>
      <c r="H25" s="739"/>
      <c r="I25" s="712"/>
      <c r="J25" s="686"/>
      <c r="K25" s="686"/>
      <c r="L25" s="686"/>
      <c r="M25" s="686"/>
      <c r="N25" s="687"/>
      <c r="O25" s="688"/>
      <c r="P25" s="686"/>
      <c r="Q25" s="689"/>
      <c r="R25" s="686"/>
      <c r="S25" s="688"/>
      <c r="T25" s="683"/>
    </row>
    <row r="26" spans="1:20">
      <c r="A26" s="745" t="s">
        <v>17</v>
      </c>
      <c r="B26" s="741">
        <f>F16+F15</f>
        <v>-2652.4800000000005</v>
      </c>
      <c r="C26" s="742" t="s">
        <v>533</v>
      </c>
      <c r="D26" s="739"/>
      <c r="E26" s="738"/>
      <c r="F26" s="738"/>
      <c r="G26" s="738"/>
      <c r="H26" s="738"/>
      <c r="I26" s="712"/>
      <c r="J26" s="683"/>
      <c r="K26" s="683"/>
      <c r="L26" s="683"/>
      <c r="M26" s="683"/>
      <c r="N26" s="683"/>
      <c r="O26" s="683"/>
      <c r="P26" s="683"/>
      <c r="Q26" s="683"/>
      <c r="R26" s="686"/>
      <c r="S26" s="688"/>
      <c r="T26" s="683"/>
    </row>
    <row r="27" spans="1:20">
      <c r="A27" s="740" t="s">
        <v>555</v>
      </c>
      <c r="B27" s="741"/>
      <c r="C27" s="742"/>
      <c r="D27" s="738"/>
      <c r="E27" s="738"/>
      <c r="F27" s="738"/>
      <c r="G27" s="738"/>
      <c r="H27" s="738"/>
      <c r="I27" s="712"/>
      <c r="J27" s="683"/>
      <c r="K27" s="683"/>
      <c r="L27" s="683"/>
      <c r="M27" s="683"/>
      <c r="N27" s="683"/>
      <c r="O27" s="683"/>
      <c r="P27" s="683"/>
      <c r="Q27" s="683"/>
      <c r="R27" s="686"/>
      <c r="S27" s="688"/>
      <c r="T27" s="683"/>
    </row>
    <row r="28" spans="1:20">
      <c r="A28" s="740"/>
      <c r="B28" s="747">
        <f>SUM(B21:B27)</f>
        <v>-10141.590000000171</v>
      </c>
      <c r="C28" s="742"/>
      <c r="D28" s="738"/>
      <c r="E28" s="738"/>
      <c r="F28" s="738"/>
      <c r="G28" s="738"/>
      <c r="H28" s="738"/>
      <c r="I28" s="712"/>
      <c r="J28" s="686"/>
      <c r="K28" s="683"/>
      <c r="L28" s="690"/>
      <c r="M28" s="683"/>
      <c r="N28" s="683"/>
      <c r="O28" s="683"/>
      <c r="P28" s="683"/>
      <c r="Q28" s="683"/>
      <c r="R28" s="683"/>
      <c r="S28" s="683"/>
      <c r="T28" s="691"/>
    </row>
    <row r="29" spans="1:20">
      <c r="A29" s="740"/>
      <c r="B29" s="747"/>
      <c r="C29" s="742"/>
      <c r="D29" s="738"/>
      <c r="E29" s="738"/>
      <c r="F29" s="738"/>
      <c r="G29" s="738"/>
      <c r="H29" s="738"/>
      <c r="I29" s="712"/>
      <c r="J29" s="686"/>
      <c r="K29" s="683"/>
      <c r="L29" s="692"/>
      <c r="M29" s="683"/>
      <c r="N29" s="693"/>
      <c r="O29" s="683"/>
      <c r="P29" s="683"/>
      <c r="Q29" s="683"/>
      <c r="R29" s="683"/>
      <c r="S29" s="683"/>
      <c r="T29" s="683"/>
    </row>
    <row r="30" spans="1:20">
      <c r="A30" s="740" t="s">
        <v>561</v>
      </c>
      <c r="B30" s="741"/>
      <c r="C30" s="742"/>
      <c r="D30" s="739"/>
      <c r="E30" s="748"/>
      <c r="F30" s="748"/>
      <c r="G30" s="748"/>
      <c r="H30" s="749"/>
      <c r="I30" s="712"/>
      <c r="J30" s="683"/>
      <c r="K30" s="683"/>
      <c r="L30" s="683"/>
      <c r="M30" s="683"/>
      <c r="N30" s="683"/>
      <c r="O30" s="683"/>
      <c r="P30" s="683"/>
      <c r="Q30" s="683"/>
      <c r="R30" s="683"/>
      <c r="S30" s="683"/>
      <c r="T30" s="683"/>
    </row>
    <row r="31" spans="1:20">
      <c r="A31" s="740" t="s">
        <v>596</v>
      </c>
      <c r="B31" s="750">
        <f>B26</f>
        <v>-2652.4800000000005</v>
      </c>
      <c r="C31" s="742" t="s">
        <v>533</v>
      </c>
      <c r="D31" s="739"/>
      <c r="E31" s="738"/>
      <c r="F31" s="738"/>
      <c r="G31" s="738"/>
      <c r="H31" s="738"/>
      <c r="I31" s="712"/>
      <c r="J31" s="683"/>
      <c r="K31" s="694"/>
      <c r="L31" s="695"/>
      <c r="M31" s="696"/>
      <c r="N31" s="683"/>
      <c r="O31" s="683"/>
      <c r="P31" s="683"/>
      <c r="Q31" s="683"/>
      <c r="R31" s="683"/>
      <c r="S31" s="683"/>
      <c r="T31" s="683"/>
    </row>
    <row r="32" spans="1:20">
      <c r="A32" s="740"/>
      <c r="B32" s="750"/>
      <c r="C32" s="738"/>
      <c r="D32" s="739"/>
      <c r="E32" s="738"/>
      <c r="F32" s="738"/>
      <c r="G32" s="738"/>
      <c r="H32" s="738"/>
      <c r="I32" s="712"/>
      <c r="J32" s="683"/>
      <c r="K32" s="697"/>
      <c r="L32" s="698"/>
      <c r="M32" s="683"/>
      <c r="N32" s="694"/>
      <c r="O32" s="683"/>
      <c r="P32" s="683"/>
      <c r="Q32" s="683"/>
      <c r="R32" s="699"/>
      <c r="S32" s="699"/>
      <c r="T32" s="699"/>
    </row>
    <row r="33" spans="1:20">
      <c r="B33" s="750"/>
      <c r="C33" s="738"/>
      <c r="D33" s="739"/>
      <c r="E33" s="738"/>
      <c r="F33" s="738"/>
      <c r="G33" s="738"/>
      <c r="H33" s="738"/>
      <c r="I33" s="712"/>
      <c r="J33" s="683"/>
      <c r="K33" s="697"/>
      <c r="L33" s="698"/>
      <c r="M33" s="683"/>
      <c r="N33" s="694"/>
      <c r="O33" s="683"/>
      <c r="P33" s="683"/>
      <c r="Q33" s="683"/>
      <c r="R33" s="699"/>
      <c r="S33" s="699"/>
      <c r="T33" s="699"/>
    </row>
    <row r="34" spans="1:20">
      <c r="A34" s="751"/>
      <c r="B34" s="747"/>
      <c r="C34" s="738"/>
      <c r="D34" s="738"/>
      <c r="E34" s="738"/>
      <c r="F34" s="738"/>
      <c r="G34" s="738"/>
      <c r="H34" s="738"/>
      <c r="I34" s="712"/>
      <c r="J34" s="683"/>
      <c r="K34" s="697"/>
      <c r="L34" s="698"/>
      <c r="M34" s="683"/>
      <c r="N34" s="694"/>
      <c r="O34" s="683"/>
      <c r="P34" s="683"/>
      <c r="Q34" s="683"/>
      <c r="R34" s="699"/>
      <c r="S34" s="699"/>
      <c r="T34" s="699"/>
    </row>
    <row r="35" spans="1:20">
      <c r="A35" s="1052" t="s">
        <v>1607</v>
      </c>
      <c r="B35" s="1053"/>
      <c r="C35" s="1053"/>
      <c r="D35" s="1053"/>
      <c r="E35" s="1053"/>
      <c r="F35" s="1053"/>
      <c r="G35" s="337"/>
      <c r="H35" s="337"/>
      <c r="I35" s="337"/>
      <c r="J35" s="683"/>
      <c r="K35" s="697"/>
      <c r="L35" s="698"/>
      <c r="M35" s="683"/>
      <c r="N35" s="694"/>
      <c r="O35" s="683"/>
      <c r="P35" s="683"/>
      <c r="Q35" s="683"/>
      <c r="R35" s="699"/>
      <c r="S35" s="699"/>
      <c r="T35" s="699"/>
    </row>
    <row r="36" spans="1:20">
      <c r="A36" s="753" t="s">
        <v>597</v>
      </c>
      <c r="B36" s="754"/>
      <c r="C36" s="754"/>
      <c r="D36" s="754"/>
      <c r="E36" s="755"/>
      <c r="F36" s="754"/>
      <c r="G36" s="754"/>
      <c r="H36" s="738"/>
      <c r="I36" s="712"/>
      <c r="J36" s="683"/>
      <c r="K36" s="697"/>
      <c r="L36" s="698"/>
      <c r="M36" s="683"/>
      <c r="N36" s="694"/>
      <c r="O36" s="683"/>
      <c r="P36" s="683"/>
      <c r="Q36" s="683"/>
      <c r="R36" s="699"/>
      <c r="S36" s="699"/>
      <c r="T36" s="699"/>
    </row>
    <row r="37" spans="1:20">
      <c r="A37" s="754" t="s">
        <v>598</v>
      </c>
      <c r="B37" s="756">
        <f>'Payroll Detail'!R15</f>
        <v>280.87252533698626</v>
      </c>
      <c r="C37" s="754">
        <v>50020</v>
      </c>
      <c r="D37" s="754"/>
      <c r="E37" s="755"/>
      <c r="F37" s="754"/>
      <c r="G37" s="754"/>
      <c r="H37" s="738"/>
      <c r="I37" s="712"/>
      <c r="J37" s="683"/>
      <c r="K37" s="697"/>
      <c r="L37" s="698"/>
      <c r="M37" s="683"/>
      <c r="N37" s="694"/>
      <c r="O37" s="683"/>
      <c r="P37" s="683"/>
      <c r="Q37" s="683"/>
      <c r="R37" s="699"/>
      <c r="S37" s="699"/>
      <c r="T37" s="699"/>
    </row>
    <row r="38" spans="1:20">
      <c r="A38" s="754" t="s">
        <v>599</v>
      </c>
      <c r="B38" s="755">
        <f>'Payroll Detail'!R20</f>
        <v>85.769790410958919</v>
      </c>
      <c r="C38" s="754">
        <v>52020</v>
      </c>
      <c r="D38" s="754"/>
      <c r="E38" s="757"/>
      <c r="F38" s="754"/>
      <c r="G38" s="754"/>
      <c r="H38" s="738"/>
      <c r="I38" s="712"/>
      <c r="J38" s="683"/>
      <c r="K38" s="697"/>
      <c r="L38" s="698"/>
      <c r="M38" s="683"/>
      <c r="N38" s="694"/>
      <c r="O38" s="683"/>
      <c r="P38" s="683"/>
      <c r="Q38" s="683"/>
      <c r="R38" s="699"/>
      <c r="S38" s="699"/>
      <c r="T38" s="699"/>
    </row>
    <row r="39" spans="1:20">
      <c r="A39" s="754" t="s">
        <v>600</v>
      </c>
      <c r="B39" s="755"/>
      <c r="C39" s="754">
        <v>56010</v>
      </c>
      <c r="D39" s="754"/>
      <c r="E39" s="755"/>
      <c r="F39" s="754"/>
      <c r="G39" s="754"/>
      <c r="H39" s="738"/>
      <c r="I39" s="712"/>
      <c r="J39" s="683"/>
      <c r="K39" s="697"/>
      <c r="L39" s="698"/>
      <c r="M39" s="683"/>
      <c r="N39" s="694"/>
      <c r="O39" s="683"/>
      <c r="P39" s="683"/>
      <c r="Q39" s="683"/>
      <c r="R39" s="699"/>
      <c r="S39" s="699"/>
      <c r="T39" s="699"/>
    </row>
    <row r="40" spans="1:20">
      <c r="A40" s="754" t="s">
        <v>601</v>
      </c>
      <c r="B40" s="755"/>
      <c r="C40" s="754">
        <v>70020</v>
      </c>
      <c r="D40" s="754"/>
      <c r="E40" s="758"/>
      <c r="F40" s="754"/>
      <c r="G40" s="754"/>
      <c r="H40" s="738"/>
      <c r="I40" s="712"/>
      <c r="J40" s="683"/>
      <c r="K40" s="697"/>
      <c r="L40" s="698"/>
      <c r="M40" s="683"/>
      <c r="N40" s="694"/>
      <c r="O40" s="683"/>
      <c r="P40" s="683"/>
      <c r="Q40" s="683"/>
      <c r="R40" s="699"/>
      <c r="S40" s="699"/>
      <c r="T40" s="699"/>
    </row>
    <row r="41" spans="1:20">
      <c r="A41" s="754"/>
      <c r="B41" s="757">
        <f>SUM(B37:B40)</f>
        <v>366.64231574794519</v>
      </c>
      <c r="C41" s="754"/>
      <c r="D41" s="754"/>
      <c r="E41" s="757"/>
      <c r="F41" s="754"/>
      <c r="G41" s="754"/>
      <c r="H41" s="738"/>
      <c r="I41" s="712"/>
      <c r="J41" s="337"/>
      <c r="K41" s="337"/>
      <c r="L41" s="698"/>
      <c r="M41" s="759"/>
      <c r="N41" s="337"/>
      <c r="O41" s="337"/>
      <c r="P41" s="337"/>
      <c r="Q41" s="337"/>
      <c r="R41" s="337"/>
      <c r="S41" s="337"/>
      <c r="T41" s="337"/>
    </row>
    <row r="42" spans="1:20">
      <c r="A42" s="753" t="s">
        <v>602</v>
      </c>
      <c r="B42" s="755"/>
      <c r="C42" s="754"/>
      <c r="D42" s="754"/>
      <c r="E42" s="755"/>
      <c r="F42" s="754"/>
      <c r="G42" s="754"/>
      <c r="H42" s="738"/>
      <c r="I42" s="712"/>
      <c r="J42" s="337"/>
      <c r="K42" s="337"/>
      <c r="L42" s="337"/>
      <c r="M42" s="337"/>
      <c r="N42" s="337"/>
      <c r="O42" s="337"/>
      <c r="P42" s="337"/>
      <c r="Q42" s="337"/>
      <c r="R42" s="337"/>
      <c r="S42" s="337"/>
      <c r="T42" s="337"/>
    </row>
    <row r="43" spans="1:20">
      <c r="A43" s="754" t="s">
        <v>598</v>
      </c>
      <c r="B43" s="755">
        <f>B37*0.0765</f>
        <v>21.486748188279449</v>
      </c>
      <c r="C43" s="754">
        <v>50050</v>
      </c>
      <c r="D43" s="754"/>
      <c r="E43" s="755"/>
      <c r="F43" s="754"/>
      <c r="G43" s="754"/>
      <c r="H43" s="738"/>
      <c r="I43" s="712"/>
      <c r="J43" s="760"/>
      <c r="K43" s="337"/>
      <c r="L43" s="337"/>
      <c r="M43" s="337"/>
      <c r="N43" s="337"/>
      <c r="O43" s="337"/>
      <c r="P43" s="337"/>
      <c r="Q43" s="337"/>
      <c r="R43" s="337"/>
      <c r="S43" s="337"/>
      <c r="T43" s="337"/>
    </row>
    <row r="44" spans="1:20">
      <c r="A44" s="754" t="s">
        <v>599</v>
      </c>
      <c r="B44" s="755">
        <f t="shared" ref="B44:B46" si="4">B38*0.0765</f>
        <v>6.5613889664383569</v>
      </c>
      <c r="C44" s="754">
        <v>52050</v>
      </c>
      <c r="D44" s="754"/>
      <c r="E44" s="755"/>
      <c r="F44" s="754"/>
      <c r="G44" s="754"/>
      <c r="H44" s="738"/>
      <c r="I44" s="712"/>
    </row>
    <row r="45" spans="1:20">
      <c r="A45" s="754" t="s">
        <v>600</v>
      </c>
      <c r="B45" s="755">
        <f t="shared" si="4"/>
        <v>0</v>
      </c>
      <c r="C45" s="754">
        <v>56050</v>
      </c>
      <c r="D45" s="754"/>
      <c r="E45" s="755"/>
      <c r="F45" s="754"/>
      <c r="G45" s="754"/>
      <c r="H45" s="738"/>
      <c r="I45" s="712"/>
    </row>
    <row r="46" spans="1:20">
      <c r="A46" s="754" t="s">
        <v>601</v>
      </c>
      <c r="B46" s="755">
        <f t="shared" si="4"/>
        <v>0</v>
      </c>
      <c r="C46" s="754">
        <v>70050</v>
      </c>
      <c r="D46" s="754"/>
      <c r="E46" s="755"/>
      <c r="F46" s="754"/>
      <c r="G46" s="754"/>
      <c r="H46" s="738"/>
      <c r="I46" s="712"/>
    </row>
    <row r="47" spans="1:20">
      <c r="A47" s="754"/>
      <c r="B47" s="757">
        <f>SUM(B43:B46)</f>
        <v>28.048137154717807</v>
      </c>
      <c r="C47" s="754"/>
      <c r="D47" s="754"/>
      <c r="E47" s="757"/>
      <c r="F47" s="754"/>
      <c r="G47" s="754"/>
      <c r="H47" s="738"/>
      <c r="I47" s="712"/>
    </row>
    <row r="48" spans="1:20">
      <c r="A48" s="754"/>
      <c r="B48" s="754"/>
      <c r="C48" s="754"/>
      <c r="D48" s="754"/>
      <c r="E48" s="757"/>
      <c r="F48" s="753"/>
      <c r="G48" s="754"/>
      <c r="H48" s="738"/>
      <c r="I48" s="712"/>
    </row>
    <row r="49" spans="1:16">
      <c r="A49" s="753" t="s">
        <v>603</v>
      </c>
      <c r="B49" s="761">
        <f>B41+B47</f>
        <v>394.69045290266297</v>
      </c>
      <c r="C49" s="762" t="s">
        <v>536</v>
      </c>
      <c r="D49" s="753"/>
      <c r="E49" s="761"/>
      <c r="F49" s="754"/>
      <c r="G49" s="754"/>
      <c r="H49" s="738"/>
      <c r="I49" s="712"/>
    </row>
    <row r="50" spans="1:16">
      <c r="A50" s="753"/>
      <c r="B50" s="761"/>
      <c r="C50" s="753"/>
      <c r="D50" s="753"/>
      <c r="E50" s="755"/>
      <c r="F50" s="754"/>
      <c r="G50" s="754"/>
      <c r="H50" s="738"/>
      <c r="I50" s="712"/>
    </row>
    <row r="51" spans="1:16">
      <c r="A51" s="753"/>
      <c r="B51" s="763"/>
      <c r="C51" s="764"/>
      <c r="D51" s="765"/>
      <c r="E51" s="766"/>
      <c r="F51" s="756"/>
      <c r="G51" s="756"/>
      <c r="H51" s="738"/>
      <c r="I51" s="712"/>
    </row>
    <row r="52" spans="1:16">
      <c r="A52" s="1054" t="s">
        <v>1608</v>
      </c>
      <c r="B52" s="1047"/>
      <c r="C52" s="1048"/>
      <c r="D52" s="1049"/>
      <c r="E52" s="1050"/>
      <c r="F52" s="1051"/>
      <c r="G52" s="756"/>
      <c r="H52" s="738"/>
      <c r="I52" s="712"/>
    </row>
    <row r="53" spans="1:16">
      <c r="A53" s="753"/>
      <c r="B53" s="763"/>
      <c r="C53" s="764"/>
      <c r="D53" s="765"/>
      <c r="E53" s="766"/>
      <c r="F53" s="756"/>
      <c r="G53" s="756"/>
      <c r="H53" s="738"/>
      <c r="I53" s="712"/>
    </row>
    <row r="54" spans="1:16">
      <c r="A54" s="764" t="s">
        <v>604</v>
      </c>
      <c r="B54" s="763">
        <f>'DivCon-DVP Alloc In'!C24</f>
        <v>1066.8509238785446</v>
      </c>
      <c r="C54" s="754">
        <v>70010</v>
      </c>
      <c r="D54" s="765"/>
      <c r="E54" s="766"/>
      <c r="F54" s="756"/>
      <c r="G54" s="756"/>
      <c r="H54" s="738"/>
      <c r="I54" s="712"/>
    </row>
    <row r="55" spans="1:16">
      <c r="A55" s="754" t="s">
        <v>558</v>
      </c>
      <c r="B55" s="763">
        <f>'DivCon-DVP Alloc In'!C25</f>
        <v>81.614095676708658</v>
      </c>
      <c r="C55" s="754">
        <v>70050</v>
      </c>
      <c r="D55" s="765"/>
      <c r="E55" s="767"/>
      <c r="F55" s="756"/>
      <c r="G55" s="756"/>
      <c r="H55" s="738"/>
      <c r="I55" s="712"/>
    </row>
    <row r="56" spans="1:16">
      <c r="A56" s="768"/>
      <c r="B56" s="769"/>
      <c r="C56" s="753"/>
      <c r="D56" s="765"/>
      <c r="E56" s="756"/>
      <c r="F56" s="756"/>
      <c r="G56" s="756"/>
      <c r="H56" s="738"/>
      <c r="I56" s="712"/>
    </row>
    <row r="57" spans="1:16">
      <c r="A57" s="770" t="s">
        <v>605</v>
      </c>
      <c r="B57" s="769">
        <f>SUM(B54:B56)</f>
        <v>1148.4650195552533</v>
      </c>
      <c r="C57" s="762" t="s">
        <v>537</v>
      </c>
      <c r="D57" s="765"/>
      <c r="E57" s="756"/>
      <c r="F57" s="756"/>
      <c r="G57" s="756"/>
      <c r="H57" s="738"/>
      <c r="I57" s="712"/>
    </row>
    <row r="58" spans="1:16">
      <c r="A58" s="753"/>
      <c r="B58" s="754"/>
      <c r="C58" s="754"/>
      <c r="D58" s="754"/>
      <c r="E58" s="755"/>
      <c r="F58" s="754"/>
      <c r="G58" s="754"/>
      <c r="H58" s="738"/>
      <c r="I58" s="712"/>
    </row>
    <row r="59" spans="1:16">
      <c r="A59" s="1054" t="s">
        <v>1609</v>
      </c>
      <c r="B59" s="771"/>
      <c r="C59" s="772"/>
      <c r="D59" s="772"/>
      <c r="E59" s="773"/>
      <c r="F59" s="771"/>
      <c r="G59" s="754"/>
      <c r="H59" s="738"/>
      <c r="I59" s="712"/>
    </row>
    <row r="60" spans="1:16" s="337" customFormat="1">
      <c r="A60" s="779" t="s">
        <v>607</v>
      </c>
      <c r="C60" s="780"/>
      <c r="D60" s="774" t="s">
        <v>374</v>
      </c>
      <c r="E60" s="774" t="s">
        <v>375</v>
      </c>
      <c r="F60" s="781"/>
      <c r="G60" s="782"/>
      <c r="H60" s="783"/>
    </row>
    <row r="61" spans="1:16">
      <c r="A61" s="707" t="s">
        <v>608</v>
      </c>
      <c r="B61" s="713">
        <f>'Consolidated IS'!I14</f>
        <v>994239.26210218971</v>
      </c>
      <c r="C61" s="739"/>
      <c r="D61" s="784">
        <f>'Consolidated IS'!K14</f>
        <v>889334.59210218966</v>
      </c>
      <c r="E61" s="784">
        <f>'Consolidated IS'!L14</f>
        <v>104904.66999999998</v>
      </c>
      <c r="F61" s="784">
        <f>SUM(D61:E61)</f>
        <v>994239.26210218971</v>
      </c>
      <c r="G61" s="755"/>
      <c r="H61" s="785"/>
    </row>
    <row r="62" spans="1:16">
      <c r="A62" s="707"/>
      <c r="B62" s="786"/>
      <c r="C62" s="739"/>
      <c r="D62" s="787"/>
      <c r="E62" s="788"/>
      <c r="F62" s="754"/>
      <c r="G62" s="755"/>
      <c r="H62" s="337"/>
    </row>
    <row r="63" spans="1:16">
      <c r="A63" s="707" t="s">
        <v>433</v>
      </c>
      <c r="B63" s="789">
        <f>[26]Explanations!B4</f>
        <v>4.2750000000000002E-3</v>
      </c>
      <c r="C63" s="786"/>
      <c r="D63" s="790">
        <f>D61*B63</f>
        <v>3801.9053812368611</v>
      </c>
      <c r="E63" s="791">
        <f>E61*B63</f>
        <v>448.46746424999992</v>
      </c>
      <c r="F63" s="791">
        <f>SUM(D63:E63)</f>
        <v>4250.3728454868615</v>
      </c>
      <c r="G63" s="755"/>
      <c r="H63" s="789"/>
      <c r="I63" s="775"/>
      <c r="J63" s="775"/>
      <c r="K63" s="775"/>
      <c r="L63" s="775"/>
      <c r="M63" s="775"/>
      <c r="N63" s="775"/>
      <c r="O63" s="775"/>
      <c r="P63" s="775"/>
    </row>
    <row r="64" spans="1:16">
      <c r="A64" s="707"/>
      <c r="B64" s="707"/>
      <c r="C64" s="707"/>
      <c r="D64" s="788"/>
      <c r="E64" s="788"/>
      <c r="F64" s="788"/>
      <c r="G64" s="792"/>
      <c r="H64" s="337"/>
    </row>
    <row r="65" spans="1:18">
      <c r="A65" s="707" t="s">
        <v>609</v>
      </c>
      <c r="B65" s="793">
        <f>B61*B63</f>
        <v>4250.3728454868615</v>
      </c>
      <c r="C65" s="713"/>
      <c r="D65" s="794"/>
      <c r="E65" s="795"/>
      <c r="F65" s="755"/>
      <c r="G65" s="754"/>
      <c r="H65" s="785"/>
      <c r="J65" s="775"/>
    </row>
    <row r="66" spans="1:18">
      <c r="A66" s="707"/>
      <c r="B66" s="713"/>
      <c r="C66" s="707"/>
      <c r="D66" s="754"/>
      <c r="E66" s="796"/>
      <c r="F66" s="755"/>
      <c r="G66" s="754"/>
      <c r="H66" s="337"/>
      <c r="K66" s="777"/>
      <c r="L66" s="777"/>
      <c r="M66" s="777"/>
      <c r="Q66" s="777"/>
    </row>
    <row r="67" spans="1:18">
      <c r="A67" s="707" t="s">
        <v>591</v>
      </c>
      <c r="B67" s="713">
        <f>'Consolidated IS'!C79</f>
        <v>4236.8900000000003</v>
      </c>
      <c r="C67" s="707"/>
      <c r="D67" s="753"/>
      <c r="E67" s="797"/>
      <c r="F67" s="754"/>
      <c r="G67" s="754"/>
      <c r="H67" s="337"/>
    </row>
    <row r="68" spans="1:18">
      <c r="A68" s="707"/>
      <c r="B68" s="707"/>
      <c r="C68" s="707"/>
      <c r="D68" s="794"/>
      <c r="E68" s="795"/>
      <c r="F68" s="755"/>
      <c r="G68" s="754"/>
      <c r="H68" s="337"/>
      <c r="I68" s="775"/>
      <c r="J68" s="775"/>
      <c r="K68" s="775"/>
      <c r="L68" s="775"/>
      <c r="M68" s="775"/>
      <c r="N68" s="775"/>
      <c r="O68" s="775"/>
      <c r="P68" s="775"/>
      <c r="R68" s="775"/>
    </row>
    <row r="69" spans="1:18">
      <c r="A69" s="798" t="s">
        <v>610</v>
      </c>
      <c r="B69" s="799">
        <f>B65-B67</f>
        <v>13.482845486861152</v>
      </c>
      <c r="C69" s="897" t="s">
        <v>538</v>
      </c>
      <c r="D69" s="754"/>
      <c r="E69" s="795"/>
      <c r="F69" s="755"/>
      <c r="G69" s="754"/>
      <c r="H69" s="800"/>
    </row>
    <row r="70" spans="1:18">
      <c r="A70" s="701" t="s">
        <v>611</v>
      </c>
      <c r="B70" s="774"/>
      <c r="D70" s="754"/>
      <c r="E70" s="801"/>
      <c r="F70" s="801"/>
      <c r="G70" s="337"/>
      <c r="H70" s="337"/>
      <c r="I70" s="775"/>
      <c r="J70" s="775"/>
      <c r="K70" s="775"/>
      <c r="L70" s="775"/>
      <c r="M70" s="775"/>
      <c r="N70" s="775"/>
      <c r="O70" s="775"/>
    </row>
    <row r="71" spans="1:18">
      <c r="A71" s="701"/>
      <c r="D71" s="337"/>
      <c r="E71" s="802"/>
      <c r="F71" s="337"/>
      <c r="G71" s="337"/>
      <c r="H71" s="337"/>
    </row>
    <row r="72" spans="1:18">
      <c r="A72" s="701"/>
      <c r="D72" s="779"/>
      <c r="E72" s="778"/>
      <c r="I72" s="775"/>
      <c r="J72" s="775"/>
      <c r="K72" s="775"/>
      <c r="L72" s="775"/>
      <c r="M72" s="775"/>
      <c r="N72" s="775"/>
      <c r="O72" s="775"/>
    </row>
    <row r="73" spans="1:18">
      <c r="A73" s="701"/>
      <c r="D73" s="701"/>
      <c r="I73" s="775"/>
      <c r="J73" s="775"/>
      <c r="K73" s="775"/>
      <c r="L73" s="775"/>
      <c r="M73" s="775"/>
      <c r="N73" s="775"/>
      <c r="O73" s="775"/>
    </row>
    <row r="74" spans="1:18">
      <c r="A74" s="1054" t="s">
        <v>1610</v>
      </c>
      <c r="B74" s="771"/>
      <c r="C74" s="772"/>
      <c r="D74" s="772"/>
      <c r="E74" s="773"/>
      <c r="F74" s="771"/>
      <c r="G74" s="337"/>
      <c r="H74" s="337"/>
    </row>
    <row r="75" spans="1:18">
      <c r="A75" s="714" t="s">
        <v>612</v>
      </c>
      <c r="B75" s="708"/>
      <c r="C75" s="708"/>
      <c r="D75" s="774" t="s">
        <v>374</v>
      </c>
      <c r="E75" s="774" t="s">
        <v>375</v>
      </c>
      <c r="F75" s="781"/>
      <c r="G75" s="782"/>
      <c r="H75" s="803"/>
      <c r="I75" s="337"/>
    </row>
    <row r="76" spans="1:18">
      <c r="A76" s="712" t="s">
        <v>9</v>
      </c>
      <c r="B76" s="755">
        <f>'Consolidated IS'!I14</f>
        <v>994239.26210218971</v>
      </c>
      <c r="C76" s="739"/>
      <c r="D76" s="784">
        <f>'Consolidated IS'!K14</f>
        <v>889334.59210218966</v>
      </c>
      <c r="E76" s="784">
        <f>'Consolidated IS'!L14</f>
        <v>104904.66999999998</v>
      </c>
      <c r="F76" s="784">
        <f>SUM(D76:E76)</f>
        <v>994239.26210218971</v>
      </c>
      <c r="G76" s="755"/>
      <c r="H76" s="780"/>
      <c r="I76" s="780"/>
      <c r="J76" s="780"/>
      <c r="K76" s="780"/>
      <c r="L76" s="780"/>
      <c r="M76" s="780"/>
      <c r="N76" s="780"/>
      <c r="O76" s="780"/>
      <c r="P76" s="775"/>
      <c r="Q76" s="775"/>
    </row>
    <row r="77" spans="1:18">
      <c r="A77" s="712" t="s">
        <v>433</v>
      </c>
      <c r="B77" s="804">
        <f>[26]Explanations!B7</f>
        <v>1.4999999999999999E-2</v>
      </c>
      <c r="C77" s="712"/>
      <c r="D77" s="787"/>
      <c r="E77" s="788"/>
      <c r="F77" s="754"/>
      <c r="G77" s="754"/>
      <c r="H77" s="780"/>
      <c r="I77" s="337"/>
      <c r="J77" s="775"/>
      <c r="K77" s="777"/>
      <c r="L77" s="777"/>
      <c r="M77" s="777"/>
      <c r="N77" s="777"/>
    </row>
    <row r="78" spans="1:18">
      <c r="A78" s="712" t="s">
        <v>639</v>
      </c>
      <c r="B78" s="805">
        <f>B76*B77</f>
        <v>14913.588931532846</v>
      </c>
      <c r="C78" s="712"/>
      <c r="D78" s="790">
        <f>D76*B77</f>
        <v>13340.018881532844</v>
      </c>
      <c r="E78" s="791">
        <f>E76*B77</f>
        <v>1573.5700499999998</v>
      </c>
      <c r="F78" s="791">
        <f>SUM(D78:E78)</f>
        <v>14913.588931532844</v>
      </c>
      <c r="G78" s="754"/>
      <c r="H78" s="780"/>
      <c r="I78" s="337"/>
      <c r="J78" s="775"/>
      <c r="K78" s="775"/>
      <c r="L78" s="775"/>
      <c r="M78" s="775"/>
    </row>
    <row r="79" spans="1:18">
      <c r="A79" s="712"/>
      <c r="B79" s="805"/>
      <c r="C79" s="712"/>
      <c r="D79" s="788"/>
      <c r="E79" s="788"/>
      <c r="F79" s="788"/>
      <c r="G79" s="754"/>
      <c r="H79" s="780"/>
      <c r="I79" s="337"/>
      <c r="J79" s="775"/>
      <c r="K79" s="775"/>
      <c r="L79" s="775"/>
      <c r="M79" s="775"/>
    </row>
    <row r="80" spans="1:18">
      <c r="A80" s="798" t="s">
        <v>591</v>
      </c>
      <c r="B80" s="806">
        <f>'Consolidated IS'!C156</f>
        <v>13798.150000000001</v>
      </c>
      <c r="C80" s="753"/>
      <c r="D80" s="739"/>
      <c r="E80" s="807"/>
      <c r="F80" s="808"/>
      <c r="G80" s="755"/>
      <c r="H80" s="809"/>
      <c r="I80" s="780"/>
    </row>
    <row r="81" spans="1:9">
      <c r="A81" s="798"/>
      <c r="B81" s="807"/>
      <c r="C81" s="753"/>
      <c r="D81" s="753"/>
      <c r="E81" s="807"/>
      <c r="F81" s="808"/>
      <c r="G81" s="755"/>
      <c r="H81" s="809"/>
      <c r="I81" s="780"/>
    </row>
    <row r="82" spans="1:9">
      <c r="A82" s="701" t="s">
        <v>555</v>
      </c>
      <c r="B82" s="806">
        <f>B78-B80</f>
        <v>1115.4389315328444</v>
      </c>
      <c r="C82" s="762" t="s">
        <v>542</v>
      </c>
      <c r="D82" s="753"/>
      <c r="E82" s="807"/>
      <c r="F82" s="749"/>
      <c r="G82" s="757"/>
      <c r="H82" s="810"/>
      <c r="I82" s="337"/>
    </row>
    <row r="83" spans="1:9">
      <c r="A83" s="798"/>
      <c r="B83" s="807"/>
      <c r="C83" s="753"/>
      <c r="D83" s="753"/>
      <c r="E83" s="807"/>
      <c r="F83" s="808"/>
      <c r="G83" s="755"/>
      <c r="H83" s="809"/>
      <c r="I83" s="780"/>
    </row>
    <row r="84" spans="1:9">
      <c r="A84" s="701" t="s">
        <v>613</v>
      </c>
      <c r="B84" s="807"/>
      <c r="C84" s="753"/>
      <c r="D84" s="753"/>
      <c r="E84" s="738"/>
      <c r="F84" s="743"/>
      <c r="G84" s="713"/>
      <c r="H84" s="811"/>
      <c r="I84" s="775"/>
    </row>
    <row r="85" spans="1:9">
      <c r="A85" s="701"/>
      <c r="B85" s="807"/>
      <c r="C85" s="753"/>
      <c r="D85" s="753"/>
      <c r="E85" s="738"/>
      <c r="F85" s="743"/>
      <c r="G85" s="713"/>
      <c r="H85" s="811"/>
      <c r="I85" s="775"/>
    </row>
    <row r="86" spans="1:9">
      <c r="A86" s="1054" t="s">
        <v>1611</v>
      </c>
      <c r="B86" s="771"/>
      <c r="C86" s="772"/>
      <c r="D86" s="772"/>
      <c r="E86" s="773"/>
      <c r="F86" s="771"/>
      <c r="G86" s="337"/>
      <c r="H86" s="337"/>
      <c r="I86" s="337"/>
    </row>
    <row r="87" spans="1:9">
      <c r="A87" s="812"/>
      <c r="B87" s="813"/>
      <c r="D87" s="337"/>
    </row>
    <row r="88" spans="1:9">
      <c r="B88" s="774" t="s">
        <v>591</v>
      </c>
      <c r="C88" s="774" t="s">
        <v>614</v>
      </c>
      <c r="D88" s="774" t="s">
        <v>615</v>
      </c>
      <c r="F88" s="774"/>
    </row>
    <row r="89" spans="1:9">
      <c r="A89" s="814" t="s">
        <v>617</v>
      </c>
      <c r="B89" s="780">
        <f>'Consolidated IS'!C129</f>
        <v>920</v>
      </c>
      <c r="C89" s="776">
        <v>0</v>
      </c>
      <c r="D89" s="815">
        <f>C89-B89</f>
        <v>-920</v>
      </c>
      <c r="E89" s="762" t="s">
        <v>535</v>
      </c>
    </row>
    <row r="90" spans="1:9">
      <c r="A90" s="814"/>
      <c r="B90" s="775"/>
      <c r="C90" s="775"/>
      <c r="D90" s="815"/>
      <c r="F90" s="816"/>
    </row>
    <row r="91" spans="1:9">
      <c r="A91" s="814" t="s">
        <v>1455</v>
      </c>
      <c r="B91" s="780">
        <f>'Consolidated IS'!C72</f>
        <v>456.75</v>
      </c>
      <c r="C91" s="775">
        <v>0</v>
      </c>
      <c r="D91" s="815">
        <f>C91-B91</f>
        <v>-456.75</v>
      </c>
      <c r="E91" s="762" t="s">
        <v>535</v>
      </c>
      <c r="F91" s="817"/>
    </row>
    <row r="92" spans="1:9">
      <c r="A92" s="818"/>
      <c r="B92" s="775"/>
      <c r="C92" s="775"/>
      <c r="D92" s="815"/>
      <c r="F92" s="819"/>
    </row>
    <row r="93" spans="1:9">
      <c r="A93" s="820" t="s">
        <v>1603</v>
      </c>
      <c r="B93" s="778">
        <f>'Consolidated IS'!C172</f>
        <v>26595.5</v>
      </c>
      <c r="C93" s="776">
        <v>0</v>
      </c>
      <c r="D93" s="815">
        <f>C93-B93</f>
        <v>-26595.5</v>
      </c>
      <c r="E93" s="762" t="s">
        <v>535</v>
      </c>
      <c r="F93" s="819"/>
    </row>
    <row r="94" spans="1:9">
      <c r="B94" s="775"/>
      <c r="C94" s="775"/>
      <c r="D94" s="815"/>
    </row>
    <row r="95" spans="1:9">
      <c r="A95" s="701" t="s">
        <v>616</v>
      </c>
      <c r="B95" s="815"/>
      <c r="C95" s="815"/>
      <c r="D95" s="815"/>
    </row>
    <row r="96" spans="1:9">
      <c r="D96" s="815"/>
    </row>
    <row r="97" spans="1:7">
      <c r="A97" s="1054" t="s">
        <v>1612</v>
      </c>
      <c r="B97" s="1054"/>
      <c r="C97" s="1054"/>
      <c r="D97" s="1054"/>
      <c r="E97" s="1054"/>
      <c r="F97" s="1054"/>
      <c r="G97" s="780"/>
    </row>
    <row r="98" spans="1:7">
      <c r="A98" s="821" t="s">
        <v>618</v>
      </c>
      <c r="B98" s="822"/>
      <c r="C98" s="739"/>
      <c r="D98" s="780"/>
      <c r="E98" s="822"/>
      <c r="F98" s="775"/>
      <c r="G98" s="775"/>
    </row>
    <row r="99" spans="1:7">
      <c r="A99" s="823" t="s">
        <v>619</v>
      </c>
      <c r="B99" s="822"/>
      <c r="C99" s="739"/>
      <c r="D99" s="824"/>
      <c r="E99" s="825"/>
      <c r="F99" s="826"/>
      <c r="G99" s="827"/>
    </row>
    <row r="100" spans="1:7">
      <c r="A100" s="712" t="s">
        <v>620</v>
      </c>
      <c r="B100" s="828">
        <f>'2025 BS 3-31-2015'!AC22</f>
        <v>3568.14</v>
      </c>
      <c r="C100" s="829"/>
      <c r="D100" s="824"/>
      <c r="E100" s="829"/>
      <c r="F100" s="775"/>
      <c r="G100" s="775"/>
    </row>
    <row r="101" spans="1:7">
      <c r="A101" s="830" t="s">
        <v>621</v>
      </c>
      <c r="B101" s="831">
        <f>'2025 BS'!AC19</f>
        <v>12862.2</v>
      </c>
      <c r="C101" s="832"/>
      <c r="D101" s="829"/>
      <c r="E101" s="829"/>
      <c r="F101" s="775"/>
      <c r="G101" s="775"/>
    </row>
    <row r="102" spans="1:7">
      <c r="A102" s="821"/>
      <c r="B102" s="833">
        <f>B101-B100</f>
        <v>9294.0600000000013</v>
      </c>
      <c r="C102" s="832"/>
      <c r="D102" s="834"/>
      <c r="E102" s="833"/>
      <c r="F102" s="833"/>
      <c r="G102" s="833"/>
    </row>
    <row r="103" spans="1:7">
      <c r="A103" s="821" t="s">
        <v>622</v>
      </c>
      <c r="B103" s="835"/>
      <c r="C103" s="832"/>
      <c r="D103" s="834"/>
      <c r="E103" s="807"/>
      <c r="F103" s="775"/>
      <c r="G103" s="775"/>
    </row>
    <row r="104" spans="1:7">
      <c r="A104" s="712" t="s">
        <v>620</v>
      </c>
      <c r="B104" s="836">
        <f>'2025 BS 3-31-2015'!AC23</f>
        <v>-163.5</v>
      </c>
      <c r="C104" s="832"/>
      <c r="D104" s="834"/>
      <c r="E104" s="829"/>
      <c r="F104" s="775"/>
      <c r="G104" s="775"/>
    </row>
    <row r="105" spans="1:7">
      <c r="A105" s="830" t="s">
        <v>621</v>
      </c>
      <c r="B105" s="837">
        <f>'2025 BS'!AC20</f>
        <v>-2669.95</v>
      </c>
      <c r="C105" s="832"/>
      <c r="D105" s="834"/>
      <c r="E105" s="829"/>
      <c r="F105" s="775"/>
      <c r="G105" s="775"/>
    </row>
    <row r="106" spans="1:7">
      <c r="A106" s="830"/>
      <c r="B106" s="838">
        <f>B105-B104</f>
        <v>-2506.4499999999998</v>
      </c>
      <c r="C106" s="832"/>
      <c r="D106" s="834"/>
      <c r="E106" s="833"/>
      <c r="F106" s="833"/>
      <c r="G106" s="833"/>
    </row>
    <row r="107" spans="1:7">
      <c r="A107" s="830"/>
      <c r="B107" s="835"/>
      <c r="C107" s="832"/>
      <c r="D107" s="834"/>
      <c r="E107" s="807"/>
      <c r="F107" s="775"/>
      <c r="G107" s="775"/>
    </row>
    <row r="108" spans="1:7">
      <c r="A108" s="821" t="s">
        <v>623</v>
      </c>
      <c r="B108" s="833">
        <f>B102+B106</f>
        <v>6787.6100000000015</v>
      </c>
      <c r="C108" s="832"/>
      <c r="D108" s="834"/>
      <c r="E108" s="833"/>
      <c r="F108" s="833"/>
      <c r="G108" s="833"/>
    </row>
    <row r="109" spans="1:7">
      <c r="A109" s="830"/>
      <c r="B109" s="835"/>
      <c r="C109" s="832"/>
      <c r="D109" s="832"/>
      <c r="E109" s="829"/>
      <c r="F109" s="775"/>
      <c r="G109" s="775"/>
    </row>
    <row r="110" spans="1:7">
      <c r="A110" s="830" t="s">
        <v>372</v>
      </c>
      <c r="B110" s="835">
        <f>'Consolidated IS'!C124</f>
        <v>16199</v>
      </c>
      <c r="C110" s="839"/>
      <c r="D110" s="832"/>
      <c r="E110" s="829"/>
      <c r="F110" s="829"/>
      <c r="G110" s="776"/>
    </row>
    <row r="111" spans="1:7">
      <c r="A111" s="830"/>
      <c r="B111" s="835"/>
      <c r="C111" s="832"/>
      <c r="D111" s="839"/>
      <c r="E111" s="829"/>
      <c r="F111" s="775"/>
      <c r="G111" s="775"/>
    </row>
    <row r="112" spans="1:7">
      <c r="A112" s="798" t="s">
        <v>555</v>
      </c>
      <c r="B112" s="838">
        <f>B108-B110</f>
        <v>-9411.39</v>
      </c>
      <c r="C112" s="896" t="s">
        <v>540</v>
      </c>
      <c r="D112" s="832"/>
      <c r="E112" s="829"/>
      <c r="F112" s="775"/>
      <c r="G112" s="775"/>
    </row>
    <row r="113" spans="1:7">
      <c r="A113" s="798"/>
      <c r="B113" s="833"/>
      <c r="C113" s="793"/>
      <c r="D113" s="793"/>
      <c r="E113" s="829"/>
      <c r="F113" s="775"/>
      <c r="G113" s="775"/>
    </row>
    <row r="114" spans="1:7">
      <c r="A114" s="798" t="s">
        <v>624</v>
      </c>
      <c r="B114" s="833"/>
      <c r="C114" s="793"/>
      <c r="D114" s="793"/>
      <c r="E114" s="829"/>
      <c r="F114" s="775"/>
      <c r="G114" s="775"/>
    </row>
    <row r="115" spans="1:7">
      <c r="A115" s="712"/>
      <c r="B115" s="831"/>
      <c r="C115" s="739"/>
      <c r="D115" s="793"/>
      <c r="E115" s="829"/>
      <c r="F115" s="775"/>
      <c r="G115" s="775"/>
    </row>
    <row r="116" spans="1:7">
      <c r="A116" s="1054" t="s">
        <v>1613</v>
      </c>
      <c r="B116" s="1054"/>
      <c r="C116" s="1054"/>
      <c r="D116" s="1054"/>
      <c r="E116" s="1054"/>
      <c r="F116" s="1054"/>
      <c r="G116" s="337"/>
    </row>
    <row r="117" spans="1:7">
      <c r="A117" s="714" t="s">
        <v>625</v>
      </c>
      <c r="B117" s="709"/>
      <c r="C117" s="822"/>
      <c r="D117" s="774" t="s">
        <v>374</v>
      </c>
      <c r="E117" s="774" t="s">
        <v>375</v>
      </c>
      <c r="F117" s="775"/>
      <c r="G117" s="775"/>
    </row>
    <row r="118" spans="1:7">
      <c r="A118" s="712" t="s">
        <v>19</v>
      </c>
      <c r="B118" s="829">
        <f>'Consolidated IS'!I14</f>
        <v>994239.26210218971</v>
      </c>
      <c r="C118" s="829"/>
      <c r="D118" s="842">
        <f>'Consolidated IS'!K14</f>
        <v>889334.59210218966</v>
      </c>
      <c r="E118" s="842">
        <f>'Consolidated IS'!L14</f>
        <v>104904.66999999998</v>
      </c>
    </row>
    <row r="119" spans="1:7">
      <c r="A119" s="712" t="s">
        <v>433</v>
      </c>
      <c r="B119" s="843">
        <f>'Corp-OH'!G87</f>
        <v>2.6835919452375821E-2</v>
      </c>
      <c r="C119" s="844"/>
      <c r="D119" s="829"/>
      <c r="E119" s="829"/>
    </row>
    <row r="120" spans="1:7">
      <c r="A120" s="712"/>
      <c r="B120" s="829">
        <f>B118*B119</f>
        <v>26681.324754163936</v>
      </c>
      <c r="C120" s="844"/>
      <c r="D120" s="829">
        <f>D118*B119</f>
        <v>23866.111479865867</v>
      </c>
      <c r="E120" s="829">
        <f>E118*B119</f>
        <v>2815.2132742980657</v>
      </c>
      <c r="F120" s="776">
        <f>SUM(D120:E120)</f>
        <v>26681.324754163932</v>
      </c>
    </row>
    <row r="121" spans="1:7">
      <c r="A121" s="712"/>
      <c r="B121" s="845"/>
      <c r="C121" s="845"/>
      <c r="D121" s="844"/>
      <c r="E121" s="829"/>
    </row>
    <row r="122" spans="1:7">
      <c r="A122" s="712" t="s">
        <v>591</v>
      </c>
      <c r="B122" s="829">
        <f>'Consolidated IS'!C96</f>
        <v>33598.81</v>
      </c>
      <c r="C122" s="829"/>
      <c r="D122" s="845"/>
      <c r="E122" s="829"/>
    </row>
    <row r="123" spans="1:7">
      <c r="A123" s="712"/>
      <c r="B123" s="845"/>
      <c r="C123" s="845"/>
      <c r="D123" s="829"/>
      <c r="E123" s="829"/>
    </row>
    <row r="124" spans="1:7">
      <c r="A124" s="714" t="s">
        <v>626</v>
      </c>
      <c r="B124" s="806">
        <f>B120-B122</f>
        <v>-6917.4852458360619</v>
      </c>
      <c r="C124" s="762" t="s">
        <v>539</v>
      </c>
      <c r="D124" s="845"/>
      <c r="E124" s="846"/>
    </row>
    <row r="125" spans="1:7">
      <c r="A125" s="714"/>
      <c r="B125" s="812"/>
      <c r="C125" s="812"/>
      <c r="D125" s="812"/>
      <c r="E125" s="846"/>
    </row>
    <row r="126" spans="1:7">
      <c r="A126" s="712" t="s">
        <v>627</v>
      </c>
      <c r="B126" s="847">
        <f>'Consolidated IS'!C130</f>
        <v>5371.16</v>
      </c>
      <c r="C126" s="812"/>
      <c r="D126" s="812"/>
      <c r="E126" s="846"/>
    </row>
    <row r="127" spans="1:7">
      <c r="A127" s="712" t="s">
        <v>628</v>
      </c>
      <c r="B127" s="847">
        <f>'Region OH Calc'!AH45+'Region OH Calc'!AI43</f>
        <v>4231.7457678450446</v>
      </c>
      <c r="C127" s="812"/>
      <c r="D127" s="812"/>
      <c r="E127" s="846"/>
    </row>
    <row r="128" spans="1:7">
      <c r="A128" s="714"/>
      <c r="B128" s="812"/>
      <c r="C128" s="812"/>
      <c r="D128" s="812"/>
      <c r="E128" s="846"/>
    </row>
    <row r="129" spans="1:10">
      <c r="A129" s="714" t="s">
        <v>629</v>
      </c>
      <c r="B129" s="848">
        <f>B127-B126</f>
        <v>-1139.4142321549552</v>
      </c>
      <c r="C129" s="762" t="s">
        <v>539</v>
      </c>
      <c r="D129" s="812"/>
      <c r="E129" s="846"/>
    </row>
    <row r="130" spans="1:10">
      <c r="A130" s="712"/>
      <c r="B130" s="806"/>
      <c r="C130" s="712"/>
      <c r="D130" s="712"/>
      <c r="E130" s="739"/>
    </row>
    <row r="131" spans="1:10">
      <c r="A131" s="712"/>
      <c r="B131" s="806"/>
      <c r="C131" s="712"/>
      <c r="D131" s="712"/>
      <c r="E131" s="739"/>
    </row>
    <row r="132" spans="1:10">
      <c r="A132" s="1054" t="s">
        <v>1614</v>
      </c>
      <c r="B132" s="1054"/>
      <c r="C132" s="1054"/>
      <c r="D132" s="1054"/>
      <c r="E132" s="1054"/>
      <c r="F132" s="1054"/>
      <c r="G132" s="337"/>
    </row>
    <row r="133" spans="1:10">
      <c r="A133" s="812" t="s">
        <v>101</v>
      </c>
      <c r="B133" s="781" t="s">
        <v>591</v>
      </c>
      <c r="C133" s="781" t="s">
        <v>630</v>
      </c>
      <c r="D133" s="824" t="s">
        <v>589</v>
      </c>
      <c r="E133" s="824"/>
      <c r="F133" s="845"/>
      <c r="G133" s="782"/>
      <c r="H133" s="774"/>
      <c r="I133" s="774"/>
    </row>
    <row r="134" spans="1:10">
      <c r="A134" s="845" t="s">
        <v>200</v>
      </c>
      <c r="B134" s="733">
        <f>'Consolidated IS'!C144</f>
        <v>97097.290000000008</v>
      </c>
      <c r="C134" s="733">
        <f>'Depr Summary'!E13</f>
        <v>70163.759495554055</v>
      </c>
      <c r="D134" s="849">
        <f>C134-B134</f>
        <v>-26933.530504445953</v>
      </c>
      <c r="E134" s="733"/>
      <c r="F134" s="812"/>
      <c r="G134" s="755"/>
      <c r="H134" s="775"/>
      <c r="I134" s="775"/>
      <c r="J134" s="775"/>
    </row>
    <row r="135" spans="1:10">
      <c r="A135" s="845" t="s">
        <v>202</v>
      </c>
      <c r="B135" s="733">
        <f>'Consolidated IS'!C145</f>
        <v>14512.49</v>
      </c>
      <c r="C135" s="733">
        <f>'Depr Summary'!E21</f>
        <v>20218.763333333005</v>
      </c>
      <c r="D135" s="849">
        <f t="shared" ref="D135:D139" si="5">C135-B135</f>
        <v>5706.2733333330052</v>
      </c>
      <c r="E135" s="733"/>
      <c r="F135" s="845"/>
      <c r="G135" s="755"/>
      <c r="H135" s="775"/>
      <c r="I135" s="775"/>
      <c r="J135" s="775"/>
    </row>
    <row r="136" spans="1:10">
      <c r="A136" s="845" t="s">
        <v>631</v>
      </c>
      <c r="B136" s="733">
        <f>'Consolidated IS'!C146</f>
        <v>0</v>
      </c>
      <c r="C136" s="733"/>
      <c r="D136" s="849">
        <f t="shared" si="5"/>
        <v>0</v>
      </c>
      <c r="E136" s="733"/>
      <c r="F136" s="845"/>
      <c r="G136" s="755"/>
      <c r="H136" s="775"/>
      <c r="I136" s="775"/>
      <c r="J136" s="775"/>
    </row>
    <row r="137" spans="1:10">
      <c r="A137" s="845" t="s">
        <v>204</v>
      </c>
      <c r="B137" s="733">
        <f>'Consolidated IS'!C147</f>
        <v>0</v>
      </c>
      <c r="C137" s="733">
        <f>'Depr Summary'!E25</f>
        <v>8473.7921633339938</v>
      </c>
      <c r="D137" s="849">
        <f t="shared" si="5"/>
        <v>8473.7921633339938</v>
      </c>
      <c r="E137" s="733"/>
      <c r="F137" s="845"/>
      <c r="G137" s="755"/>
      <c r="H137" s="775"/>
      <c r="I137" s="775"/>
      <c r="J137" s="775"/>
    </row>
    <row r="138" spans="1:10">
      <c r="A138" s="845" t="s">
        <v>205</v>
      </c>
      <c r="B138" s="733">
        <f>'Consolidated IS'!C148</f>
        <v>1780.8400000000001</v>
      </c>
      <c r="C138" s="733">
        <f>'Depr Summary'!E27</f>
        <v>1709.0439999999999</v>
      </c>
      <c r="D138" s="849">
        <f t="shared" si="5"/>
        <v>-71.796000000000276</v>
      </c>
      <c r="E138" s="733"/>
      <c r="F138" s="845"/>
      <c r="G138" s="755"/>
      <c r="H138" s="775"/>
      <c r="I138" s="775"/>
      <c r="J138" s="775"/>
    </row>
    <row r="139" spans="1:10">
      <c r="A139" s="845" t="s">
        <v>640</v>
      </c>
      <c r="B139" s="733">
        <f>'[26]Consolidated IS'!C259+'[26]Consolidated IS'!D259</f>
        <v>0</v>
      </c>
      <c r="C139" s="733"/>
      <c r="D139" s="849">
        <f t="shared" si="5"/>
        <v>0</v>
      </c>
      <c r="E139" s="733"/>
      <c r="F139" s="850"/>
      <c r="G139" s="755"/>
      <c r="H139" s="775"/>
      <c r="I139" s="775"/>
      <c r="J139" s="775"/>
    </row>
    <row r="140" spans="1:10">
      <c r="A140" s="845" t="s">
        <v>207</v>
      </c>
      <c r="B140" s="733">
        <f>'Consolidated IS'!C150</f>
        <v>10736.51</v>
      </c>
      <c r="C140" s="733"/>
      <c r="D140" s="849"/>
      <c r="E140" s="733"/>
      <c r="F140" s="845"/>
      <c r="G140" s="755"/>
      <c r="H140" s="775"/>
      <c r="I140" s="775"/>
      <c r="J140" s="775"/>
    </row>
    <row r="141" spans="1:10">
      <c r="A141" s="845" t="s">
        <v>584</v>
      </c>
      <c r="B141" s="733">
        <f>'[26]Consolidated IS'!C263+'[26]Consolidated IS'!D263</f>
        <v>0</v>
      </c>
      <c r="C141" s="733"/>
      <c r="D141" s="733"/>
      <c r="E141" s="733"/>
      <c r="F141" s="845"/>
      <c r="G141" s="755"/>
      <c r="H141" s="775"/>
      <c r="I141" s="775"/>
      <c r="J141" s="775"/>
    </row>
    <row r="142" spans="1:10">
      <c r="A142" s="812" t="s">
        <v>1</v>
      </c>
      <c r="B142" s="851">
        <f>SUM(B134:B141)</f>
        <v>124127.13</v>
      </c>
      <c r="C142" s="851">
        <f t="shared" ref="C142:D142" si="6">SUM(C134:C141)</f>
        <v>100565.35899222104</v>
      </c>
      <c r="D142" s="851">
        <f t="shared" si="6"/>
        <v>-12825.261007778956</v>
      </c>
      <c r="E142" s="762" t="s">
        <v>543</v>
      </c>
      <c r="F142" s="812"/>
      <c r="G142" s="851"/>
      <c r="H142" s="851"/>
      <c r="I142" s="851"/>
      <c r="J142" s="851"/>
    </row>
    <row r="143" spans="1:10">
      <c r="A143" s="812"/>
      <c r="B143" s="851"/>
      <c r="C143" s="851"/>
      <c r="D143" s="851"/>
      <c r="E143" s="851"/>
      <c r="F143" s="812"/>
      <c r="G143" s="754"/>
    </row>
    <row r="144" spans="1:10">
      <c r="A144" s="812" t="s">
        <v>632</v>
      </c>
      <c r="B144" s="851"/>
      <c r="C144" s="851"/>
      <c r="D144" s="851"/>
      <c r="E144" s="851"/>
      <c r="F144" s="807"/>
      <c r="G144" s="755"/>
      <c r="H144" s="775"/>
      <c r="I144" s="775"/>
      <c r="J144" s="775"/>
    </row>
    <row r="145" spans="1:7">
      <c r="A145" s="812" t="s">
        <v>633</v>
      </c>
      <c r="B145" s="851"/>
      <c r="C145" s="851"/>
      <c r="D145" s="851"/>
      <c r="E145" s="851"/>
      <c r="F145" s="812"/>
      <c r="G145" s="754"/>
    </row>
    <row r="146" spans="1:7">
      <c r="A146" s="812"/>
      <c r="B146" s="851"/>
      <c r="C146" s="851"/>
      <c r="D146" s="851"/>
      <c r="E146" s="851"/>
      <c r="F146" s="812"/>
      <c r="G146" s="754"/>
    </row>
    <row r="147" spans="1:7">
      <c r="A147" s="840"/>
      <c r="B147" s="840"/>
      <c r="C147" s="840"/>
      <c r="D147" s="840"/>
      <c r="E147" s="841"/>
      <c r="F147" s="840"/>
      <c r="G147" s="752"/>
    </row>
    <row r="148" spans="1:7" s="337" customFormat="1">
      <c r="A148" s="812" t="s">
        <v>634</v>
      </c>
      <c r="B148" s="845"/>
      <c r="C148" s="845"/>
      <c r="D148" s="845"/>
      <c r="E148" s="829"/>
      <c r="F148" s="845"/>
      <c r="G148" s="754"/>
    </row>
    <row r="149" spans="1:7" s="337" customFormat="1">
      <c r="A149" s="845"/>
      <c r="B149" s="845"/>
      <c r="C149" s="845"/>
      <c r="D149" s="845"/>
      <c r="E149" s="829"/>
      <c r="F149" s="845"/>
      <c r="G149" s="754"/>
    </row>
    <row r="150" spans="1:7">
      <c r="A150" s="821" t="s">
        <v>635</v>
      </c>
      <c r="B150" s="832">
        <f>B108</f>
        <v>6787.6100000000015</v>
      </c>
      <c r="C150" s="832"/>
      <c r="D150" s="845"/>
      <c r="E150" s="739"/>
      <c r="F150" s="707"/>
      <c r="G150" s="754"/>
    </row>
    <row r="151" spans="1:7">
      <c r="A151" s="830"/>
      <c r="B151" s="832"/>
      <c r="C151" s="832"/>
      <c r="D151" s="832"/>
      <c r="E151" s="739"/>
      <c r="F151" s="707"/>
      <c r="G151" s="754"/>
    </row>
    <row r="152" spans="1:7">
      <c r="A152" s="830" t="s">
        <v>19</v>
      </c>
      <c r="B152" s="832">
        <f>'Consolidated IS'!I14-'Consolidated IS'!I13</f>
        <v>994239.26210218971</v>
      </c>
      <c r="C152" s="832"/>
      <c r="D152" s="832"/>
      <c r="E152" s="739"/>
      <c r="F152" s="707"/>
      <c r="G152" s="754"/>
    </row>
    <row r="153" spans="1:7">
      <c r="A153" s="830"/>
      <c r="B153" s="832"/>
      <c r="C153" s="832"/>
      <c r="D153" s="832"/>
      <c r="E153" s="739"/>
      <c r="F153" s="707"/>
      <c r="G153" s="754"/>
    </row>
    <row r="154" spans="1:7">
      <c r="A154" s="830" t="s">
        <v>636</v>
      </c>
      <c r="B154" s="852">
        <f>B150/B152</f>
        <v>6.8269382016241066E-3</v>
      </c>
      <c r="C154" s="738" t="s">
        <v>637</v>
      </c>
      <c r="D154" s="832"/>
      <c r="E154" s="707"/>
      <c r="F154" s="707"/>
      <c r="G154" s="754"/>
    </row>
    <row r="155" spans="1:7">
      <c r="A155" s="830"/>
      <c r="B155" s="832"/>
      <c r="C155" s="832"/>
      <c r="D155" s="738"/>
      <c r="E155" s="739"/>
      <c r="F155" s="707"/>
      <c r="G155" s="754"/>
    </row>
    <row r="156" spans="1:7">
      <c r="A156" s="853"/>
      <c r="B156" s="853"/>
      <c r="C156" s="853"/>
      <c r="D156" s="840"/>
      <c r="E156" s="854"/>
      <c r="F156" s="840"/>
      <c r="G156" s="752"/>
    </row>
    <row r="157" spans="1:7">
      <c r="D157" s="855"/>
      <c r="G157" s="337"/>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E43"/>
  <sheetViews>
    <sheetView workbookViewId="0">
      <selection activeCell="G11" sqref="G11"/>
    </sheetView>
  </sheetViews>
  <sheetFormatPr defaultRowHeight="12.75"/>
  <cols>
    <col min="1" max="1" width="25" style="352" customWidth="1"/>
    <col min="2" max="2" width="9.140625" style="352"/>
    <col min="3" max="3" width="12.42578125" style="352" customWidth="1"/>
    <col min="4" max="4" width="11.140625" style="352" customWidth="1"/>
    <col min="5" max="5" width="24.5703125" style="352" customWidth="1"/>
    <col min="6" max="16384" width="9.140625" style="352"/>
  </cols>
  <sheetData>
    <row r="1" spans="1:5">
      <c r="A1" s="856" t="s">
        <v>218</v>
      </c>
    </row>
    <row r="2" spans="1:5">
      <c r="A2" s="856" t="s">
        <v>1596</v>
      </c>
    </row>
    <row r="4" spans="1:5">
      <c r="A4" s="860"/>
      <c r="B4" s="860"/>
      <c r="C4" s="860"/>
      <c r="D4" s="860"/>
      <c r="E4" s="860"/>
    </row>
    <row r="5" spans="1:5">
      <c r="A5" s="856" t="s">
        <v>1598</v>
      </c>
      <c r="B5" s="321"/>
      <c r="C5" s="321"/>
      <c r="D5" s="321"/>
      <c r="E5" s="321"/>
    </row>
    <row r="6" spans="1:5">
      <c r="A6" s="319"/>
      <c r="B6" s="321"/>
      <c r="C6" s="321"/>
      <c r="D6" s="321"/>
      <c r="E6" s="321"/>
    </row>
    <row r="7" spans="1:5">
      <c r="A7" s="779"/>
      <c r="B7" s="337"/>
      <c r="C7" s="995">
        <v>42491</v>
      </c>
      <c r="D7" s="337"/>
      <c r="E7" s="321"/>
    </row>
    <row r="8" spans="1:5">
      <c r="A8" s="996" t="s">
        <v>1595</v>
      </c>
      <c r="B8" s="997" t="s">
        <v>1239</v>
      </c>
      <c r="C8" s="997" t="s">
        <v>1241</v>
      </c>
      <c r="D8" s="997" t="s">
        <v>242</v>
      </c>
      <c r="E8" s="321"/>
    </row>
    <row r="9" spans="1:5" ht="6" customHeight="1">
      <c r="A9" s="321"/>
      <c r="B9" s="998"/>
      <c r="C9" s="321"/>
      <c r="D9" s="321"/>
      <c r="E9" s="321"/>
    </row>
    <row r="10" spans="1:5">
      <c r="A10" s="779" t="s">
        <v>1236</v>
      </c>
      <c r="B10" s="780">
        <f>'DF Schedule'!C56</f>
        <v>2521.0289343065688</v>
      </c>
      <c r="C10" s="999">
        <f>References!C57</f>
        <v>1.5</v>
      </c>
      <c r="D10" s="1000">
        <f>B10*C10</f>
        <v>3781.5434014598532</v>
      </c>
      <c r="E10" s="321"/>
    </row>
    <row r="11" spans="1:5">
      <c r="A11" s="337"/>
      <c r="B11" s="1001"/>
      <c r="C11" s="321"/>
      <c r="D11" s="321"/>
      <c r="E11" s="321"/>
    </row>
    <row r="12" spans="1:5">
      <c r="A12" s="779" t="s">
        <v>132</v>
      </c>
      <c r="B12" s="780">
        <f>'DF Schedule'!D56</f>
        <v>1260.2414014598544</v>
      </c>
      <c r="C12" s="999">
        <f>C10</f>
        <v>1.5</v>
      </c>
      <c r="D12" s="1000">
        <f>B12*C12</f>
        <v>1890.3621021897816</v>
      </c>
      <c r="E12" s="321"/>
    </row>
    <row r="13" spans="1:5">
      <c r="A13" s="337"/>
      <c r="B13" s="780"/>
      <c r="C13" s="321"/>
      <c r="D13" s="1002"/>
      <c r="E13" s="321"/>
    </row>
    <row r="14" spans="1:5">
      <c r="A14" s="779" t="s">
        <v>1240</v>
      </c>
      <c r="B14" s="780"/>
      <c r="C14" s="321"/>
      <c r="D14" s="1003">
        <f>SUM(D10:D13)</f>
        <v>5671.9055036496347</v>
      </c>
      <c r="E14" s="859" t="s">
        <v>1430</v>
      </c>
    </row>
    <row r="15" spans="1:5">
      <c r="A15" s="779" t="s">
        <v>606</v>
      </c>
      <c r="B15" s="780"/>
      <c r="C15" s="321"/>
      <c r="D15" s="321"/>
      <c r="E15" s="321"/>
    </row>
    <row r="16" spans="1:5">
      <c r="A16" s="319" t="s">
        <v>1597</v>
      </c>
      <c r="B16" s="780"/>
      <c r="C16" s="321"/>
      <c r="D16" s="321"/>
      <c r="E16" s="321"/>
    </row>
    <row r="17" spans="1:5">
      <c r="A17" s="860"/>
      <c r="B17" s="860"/>
      <c r="C17" s="860"/>
      <c r="D17" s="860"/>
      <c r="E17" s="860"/>
    </row>
    <row r="18" spans="1:5">
      <c r="A18" s="779" t="s">
        <v>1428</v>
      </c>
    </row>
    <row r="19" spans="1:5">
      <c r="B19" s="774" t="s">
        <v>374</v>
      </c>
      <c r="C19" s="857" t="s">
        <v>375</v>
      </c>
    </row>
    <row r="20" spans="1:5">
      <c r="A20" s="702" t="s">
        <v>128</v>
      </c>
      <c r="B20" s="861">
        <f>Ratios!B8</f>
        <v>1493.3559770341933</v>
      </c>
      <c r="C20" s="861">
        <f>Ratios!C8</f>
        <v>168.58331398370996</v>
      </c>
    </row>
    <row r="21" spans="1:5">
      <c r="A21" s="702" t="s">
        <v>638</v>
      </c>
      <c r="B21" s="861">
        <f>Ratios!B9</f>
        <v>255.26239123072574</v>
      </c>
      <c r="C21" s="861">
        <f>Ratios!C9</f>
        <v>37.741940748725696</v>
      </c>
    </row>
    <row r="22" spans="1:5">
      <c r="A22" s="702" t="s">
        <v>1234</v>
      </c>
      <c r="B22" s="861">
        <f>Ratios!B10</f>
        <v>18</v>
      </c>
      <c r="C22" s="861">
        <f>Ratios!C10</f>
        <v>4</v>
      </c>
    </row>
    <row r="23" spans="1:5">
      <c r="B23" s="862">
        <f>SUM(B20:B22)</f>
        <v>1766.6183682649191</v>
      </c>
      <c r="C23" s="862">
        <f>SUM(C20:C22)</f>
        <v>210.32525473243567</v>
      </c>
    </row>
    <row r="24" spans="1:5">
      <c r="A24" s="352" t="s">
        <v>433</v>
      </c>
      <c r="B24" s="863">
        <v>0.6</v>
      </c>
      <c r="C24" s="863">
        <v>0.6</v>
      </c>
    </row>
    <row r="26" spans="1:5">
      <c r="A26" s="856" t="s">
        <v>639</v>
      </c>
      <c r="B26" s="858">
        <f>B23*B24</f>
        <v>1059.9710209589514</v>
      </c>
      <c r="C26" s="858">
        <f>C23*C24</f>
        <v>126.1951528394614</v>
      </c>
      <c r="D26" s="858">
        <f>SUM(B26:C26)</f>
        <v>1186.1661737984127</v>
      </c>
    </row>
    <row r="27" spans="1:5">
      <c r="A27" s="856" t="s">
        <v>1427</v>
      </c>
      <c r="B27" s="864">
        <f>B26/3</f>
        <v>353.32367365298381</v>
      </c>
      <c r="C27" s="864">
        <f>C26/3</f>
        <v>42.065050946487133</v>
      </c>
      <c r="D27" s="864">
        <f>D26/3</f>
        <v>395.38872459947089</v>
      </c>
      <c r="E27" s="859" t="s">
        <v>1429</v>
      </c>
    </row>
    <row r="28" spans="1:5">
      <c r="A28" s="860"/>
      <c r="B28" s="860"/>
      <c r="C28" s="860"/>
      <c r="D28" s="860"/>
      <c r="E28" s="860"/>
    </row>
    <row r="29" spans="1:5">
      <c r="A29" s="856" t="s">
        <v>1431</v>
      </c>
    </row>
    <row r="30" spans="1:5">
      <c r="A30" s="753" t="s">
        <v>597</v>
      </c>
      <c r="B30" s="754"/>
      <c r="C30" s="754"/>
    </row>
    <row r="31" spans="1:5">
      <c r="A31" s="754" t="s">
        <v>598</v>
      </c>
      <c r="B31" s="756">
        <f>'Payroll Detail'!W15</f>
        <v>2005.6995000000002</v>
      </c>
      <c r="C31" s="754">
        <v>50020</v>
      </c>
    </row>
    <row r="32" spans="1:5">
      <c r="A32" s="754" t="s">
        <v>599</v>
      </c>
      <c r="B32" s="755">
        <f>'Payroll Detail'!W20</f>
        <v>579.74025000000006</v>
      </c>
      <c r="C32" s="754">
        <v>52020</v>
      </c>
    </row>
    <row r="33" spans="1:3">
      <c r="A33" s="754" t="s">
        <v>600</v>
      </c>
      <c r="B33" s="755">
        <f>'Payroll Detail'!W24</f>
        <v>1639.0625</v>
      </c>
      <c r="C33" s="754">
        <v>56010</v>
      </c>
    </row>
    <row r="34" spans="1:3">
      <c r="A34" s="754" t="s">
        <v>601</v>
      </c>
      <c r="B34" s="755">
        <f>'Payroll Detail'!W29</f>
        <v>769.61250000000007</v>
      </c>
      <c r="C34" s="754">
        <v>70020</v>
      </c>
    </row>
    <row r="35" spans="1:3">
      <c r="A35" s="754"/>
      <c r="B35" s="757">
        <f>SUM(B31:B34)</f>
        <v>4994.1147500000006</v>
      </c>
      <c r="C35" s="754"/>
    </row>
    <row r="36" spans="1:3">
      <c r="A36" s="753" t="s">
        <v>602</v>
      </c>
      <c r="B36" s="755"/>
      <c r="C36" s="754"/>
    </row>
    <row r="37" spans="1:3">
      <c r="A37" s="754" t="s">
        <v>598</v>
      </c>
      <c r="B37" s="755">
        <f>B31*0.0765</f>
        <v>153.43601175000001</v>
      </c>
      <c r="C37" s="754">
        <v>50050</v>
      </c>
    </row>
    <row r="38" spans="1:3">
      <c r="A38" s="754" t="s">
        <v>599</v>
      </c>
      <c r="B38" s="755">
        <f t="shared" ref="B38:B40" si="0">B32*0.0765</f>
        <v>44.350129125000002</v>
      </c>
      <c r="C38" s="754">
        <v>52050</v>
      </c>
    </row>
    <row r="39" spans="1:3">
      <c r="A39" s="754" t="s">
        <v>600</v>
      </c>
      <c r="B39" s="755">
        <f t="shared" si="0"/>
        <v>125.38828124999999</v>
      </c>
      <c r="C39" s="754">
        <v>56050</v>
      </c>
    </row>
    <row r="40" spans="1:3">
      <c r="A40" s="754" t="s">
        <v>601</v>
      </c>
      <c r="B40" s="755">
        <f t="shared" si="0"/>
        <v>58.875356250000003</v>
      </c>
      <c r="C40" s="754">
        <v>70050</v>
      </c>
    </row>
    <row r="41" spans="1:3">
      <c r="A41" s="754"/>
      <c r="B41" s="757">
        <f>SUM(B37:B40)</f>
        <v>382.04977837499996</v>
      </c>
      <c r="C41" s="754"/>
    </row>
    <row r="42" spans="1:3">
      <c r="A42" s="754"/>
      <c r="B42" s="754"/>
      <c r="C42" s="754"/>
    </row>
    <row r="43" spans="1:3">
      <c r="A43" s="753" t="s">
        <v>603</v>
      </c>
      <c r="B43" s="761">
        <f>B35+B41</f>
        <v>5376.1645283750004</v>
      </c>
      <c r="C43" s="859" t="s">
        <v>1432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E26"/>
  <sheetViews>
    <sheetView workbookViewId="0">
      <selection activeCell="K27" sqref="K27"/>
    </sheetView>
  </sheetViews>
  <sheetFormatPr defaultRowHeight="15"/>
  <cols>
    <col min="1" max="1" width="12" customWidth="1"/>
    <col min="2" max="2" width="10.28515625" customWidth="1"/>
    <col min="5" max="5" width="10" bestFit="1" customWidth="1"/>
  </cols>
  <sheetData>
    <row r="1" spans="1:5">
      <c r="A1" s="994" t="s">
        <v>1232</v>
      </c>
      <c r="B1" s="994"/>
    </row>
    <row r="2" spans="1:5">
      <c r="A2" s="418" t="s">
        <v>1233</v>
      </c>
    </row>
    <row r="4" spans="1:5" ht="15.75" thickBot="1"/>
    <row r="5" spans="1:5">
      <c r="A5" s="436" t="s">
        <v>1235</v>
      </c>
      <c r="B5" s="419"/>
      <c r="C5" s="419"/>
      <c r="D5" s="419"/>
      <c r="E5" s="420"/>
    </row>
    <row r="6" spans="1:5">
      <c r="A6" s="421"/>
      <c r="B6" s="434"/>
      <c r="C6" s="434"/>
      <c r="D6" s="434"/>
      <c r="E6" s="435"/>
    </row>
    <row r="7" spans="1:5">
      <c r="A7" s="421"/>
      <c r="B7" s="438" t="s">
        <v>374</v>
      </c>
      <c r="C7" s="438" t="s">
        <v>375</v>
      </c>
      <c r="D7" s="438" t="s">
        <v>1</v>
      </c>
      <c r="E7" s="422"/>
    </row>
    <row r="8" spans="1:5">
      <c r="A8" s="423" t="s">
        <v>128</v>
      </c>
      <c r="B8" s="424">
        <f>'G-48 Price Out'!K41</f>
        <v>1493.3559770341933</v>
      </c>
      <c r="C8" s="424">
        <f>'G-51 Price Out'!F41</f>
        <v>168.58331398370996</v>
      </c>
      <c r="D8" s="424">
        <f>SUM(B8:C8)</f>
        <v>1661.9392910179033</v>
      </c>
      <c r="E8" s="425"/>
    </row>
    <row r="9" spans="1:5">
      <c r="A9" s="423" t="s">
        <v>638</v>
      </c>
      <c r="B9" s="424">
        <f>'G-48 Price Out'!K116</f>
        <v>255.26239123072574</v>
      </c>
      <c r="C9" s="424">
        <f>'G-51 Price Out'!F81</f>
        <v>37.741940748725696</v>
      </c>
      <c r="D9" s="424">
        <f>SUM(B9:C9)</f>
        <v>293.00433197945142</v>
      </c>
      <c r="E9" s="425"/>
    </row>
    <row r="10" spans="1:5">
      <c r="A10" s="423" t="s">
        <v>1234</v>
      </c>
      <c r="B10" s="441">
        <v>18</v>
      </c>
      <c r="C10" s="441">
        <v>4</v>
      </c>
      <c r="D10" s="437">
        <f>SUM(B10:C10)</f>
        <v>22</v>
      </c>
      <c r="E10" s="425"/>
    </row>
    <row r="11" spans="1:5" ht="4.5" customHeight="1">
      <c r="A11" s="423"/>
      <c r="B11" s="424"/>
      <c r="C11" s="424"/>
      <c r="D11" s="424"/>
      <c r="E11" s="426"/>
    </row>
    <row r="12" spans="1:5">
      <c r="A12" s="421" t="s">
        <v>1</v>
      </c>
      <c r="B12" s="428">
        <f>SUM(B8:B11)</f>
        <v>1766.6183682649191</v>
      </c>
      <c r="C12" s="428">
        <f>SUM(C8:C11)</f>
        <v>210.32525473243567</v>
      </c>
      <c r="D12" s="428">
        <f>SUM(D8:D11)</f>
        <v>1976.9436229973549</v>
      </c>
      <c r="E12" s="429"/>
    </row>
    <row r="13" spans="1:5">
      <c r="A13" s="423"/>
      <c r="B13" s="430">
        <f>B12/D12</f>
        <v>0.89361089902323576</v>
      </c>
      <c r="C13" s="430">
        <f>C12/D12</f>
        <v>0.10638910097676421</v>
      </c>
      <c r="D13" s="191"/>
      <c r="E13" s="427"/>
    </row>
    <row r="14" spans="1:5" ht="15.75" thickBot="1">
      <c r="A14" s="431"/>
      <c r="B14" s="432"/>
      <c r="C14" s="432"/>
      <c r="D14" s="432"/>
      <c r="E14" s="433"/>
    </row>
    <row r="16" spans="1:5" ht="15.75" thickBot="1"/>
    <row r="17" spans="1:5">
      <c r="A17" s="436" t="s">
        <v>1237</v>
      </c>
      <c r="B17" s="419"/>
      <c r="C17" s="419"/>
      <c r="D17" s="419"/>
      <c r="E17" s="420"/>
    </row>
    <row r="18" spans="1:5">
      <c r="A18" s="421"/>
      <c r="B18" s="434"/>
      <c r="C18" s="434"/>
      <c r="D18" s="434"/>
      <c r="E18" s="435"/>
    </row>
    <row r="19" spans="1:5">
      <c r="A19" s="421"/>
      <c r="B19" s="438" t="s">
        <v>374</v>
      </c>
      <c r="C19" s="438" t="s">
        <v>375</v>
      </c>
      <c r="D19" s="438" t="s">
        <v>1</v>
      </c>
      <c r="E19" s="422"/>
    </row>
    <row r="20" spans="1:5">
      <c r="A20" s="442" t="s">
        <v>1236</v>
      </c>
      <c r="B20" s="443">
        <f>112.955-2</f>
        <v>110.955</v>
      </c>
      <c r="C20" s="443">
        <f>9.36+2+1.25</f>
        <v>12.61</v>
      </c>
      <c r="D20" s="424">
        <f>SUM(B20:C20)</f>
        <v>123.565</v>
      </c>
      <c r="E20" s="425"/>
    </row>
    <row r="21" spans="1:5">
      <c r="A21" s="423"/>
      <c r="B21" s="191"/>
      <c r="C21" s="191"/>
      <c r="D21" s="424"/>
      <c r="E21" s="425"/>
    </row>
    <row r="22" spans="1:5">
      <c r="A22" s="423" t="s">
        <v>1234</v>
      </c>
      <c r="B22" s="444">
        <f>18.22-1</f>
        <v>17.22</v>
      </c>
      <c r="C22" s="444">
        <f>1.5+1+1</f>
        <v>3.5</v>
      </c>
      <c r="D22" s="437">
        <f>SUM(B22:C22)</f>
        <v>20.72</v>
      </c>
      <c r="E22" s="425"/>
    </row>
    <row r="23" spans="1:5" ht="6.75" customHeight="1">
      <c r="A23" s="423"/>
      <c r="B23" s="424"/>
      <c r="C23" s="424"/>
      <c r="D23" s="424"/>
      <c r="E23" s="426"/>
    </row>
    <row r="24" spans="1:5">
      <c r="A24" s="421" t="s">
        <v>1</v>
      </c>
      <c r="B24" s="445">
        <f>SUM(B20:B23)</f>
        <v>128.17500000000001</v>
      </c>
      <c r="C24" s="445">
        <f>SUM(C20:C23)</f>
        <v>16.11</v>
      </c>
      <c r="D24" s="445">
        <f>SUM(D20:D23)</f>
        <v>144.285</v>
      </c>
      <c r="E24" s="429"/>
    </row>
    <row r="25" spans="1:5">
      <c r="A25" s="423"/>
      <c r="B25" s="430">
        <f>B24/D24</f>
        <v>0.88834598191080161</v>
      </c>
      <c r="C25" s="430">
        <f>C24/D24</f>
        <v>0.11165401808919846</v>
      </c>
      <c r="D25" s="191"/>
      <c r="E25" s="427"/>
    </row>
    <row r="26" spans="1:5" ht="15.75" thickBot="1">
      <c r="A26" s="431"/>
      <c r="B26" s="432"/>
      <c r="C26" s="432"/>
      <c r="D26" s="432"/>
      <c r="E26" s="433"/>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CF371"/>
  <sheetViews>
    <sheetView workbookViewId="0">
      <selection activeCell="B4" sqref="B4"/>
    </sheetView>
  </sheetViews>
  <sheetFormatPr defaultRowHeight="15"/>
  <cols>
    <col min="1" max="1" width="2" customWidth="1"/>
    <col min="5" max="5" width="13" customWidth="1"/>
    <col min="6" max="6" width="9.7109375" bestFit="1" customWidth="1"/>
    <col min="8" max="8" width="9.7109375" bestFit="1" customWidth="1"/>
    <col min="11" max="11" width="10" customWidth="1"/>
    <col min="13" max="13" width="11.140625" customWidth="1"/>
  </cols>
  <sheetData>
    <row r="1" spans="1:84">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3"/>
      <c r="BL1" s="113"/>
      <c r="BM1" s="113"/>
      <c r="BN1" s="113"/>
      <c r="BO1" s="113"/>
      <c r="BP1" s="113"/>
      <c r="BQ1" s="113"/>
      <c r="BR1" s="113"/>
      <c r="BS1" s="113"/>
      <c r="BT1" s="113"/>
      <c r="BU1" s="113"/>
      <c r="BV1" s="113"/>
      <c r="BW1" s="113"/>
      <c r="BX1" s="113"/>
      <c r="BY1" s="113"/>
      <c r="BZ1" s="113"/>
      <c r="CA1" s="113"/>
      <c r="CB1" s="113"/>
      <c r="CC1" s="113"/>
      <c r="CD1" s="113"/>
      <c r="CE1" s="113"/>
      <c r="CF1" s="113"/>
    </row>
    <row r="2" spans="1:84">
      <c r="A2" s="112"/>
      <c r="B2" s="112"/>
      <c r="C2" s="112"/>
      <c r="D2" s="112"/>
      <c r="E2" s="112"/>
      <c r="F2" s="112"/>
      <c r="G2" s="112"/>
      <c r="H2" s="112"/>
      <c r="I2" s="112"/>
      <c r="J2" s="112"/>
      <c r="K2" s="114"/>
      <c r="L2" s="114"/>
      <c r="M2" s="114"/>
      <c r="N2" s="114"/>
      <c r="O2" s="114"/>
      <c r="P2" s="114"/>
      <c r="Q2" s="114"/>
      <c r="R2" s="114"/>
      <c r="S2" s="114"/>
      <c r="T2" s="114"/>
      <c r="U2" s="114"/>
      <c r="V2" s="114"/>
      <c r="W2" s="114"/>
      <c r="X2" s="114"/>
      <c r="Y2" s="114"/>
      <c r="Z2" s="114"/>
      <c r="AA2" s="114"/>
      <c r="AB2" s="114"/>
      <c r="AC2" s="114"/>
      <c r="AD2" s="114"/>
      <c r="AE2" s="115" t="s">
        <v>221</v>
      </c>
      <c r="AF2" s="115" t="s">
        <v>222</v>
      </c>
      <c r="AG2" s="114"/>
      <c r="AH2" s="114"/>
      <c r="AI2" s="114" t="s">
        <v>223</v>
      </c>
      <c r="AJ2" s="114"/>
      <c r="AK2" s="114"/>
      <c r="AL2" s="114"/>
      <c r="AM2" s="114"/>
      <c r="AN2" s="114"/>
      <c r="AO2" s="114"/>
      <c r="AP2" s="114"/>
      <c r="AQ2" s="114"/>
      <c r="AR2" s="114"/>
      <c r="AS2" s="112"/>
      <c r="AT2" s="112"/>
      <c r="AU2" s="112"/>
      <c r="AV2" s="112"/>
      <c r="AW2" s="112"/>
      <c r="AX2" s="112"/>
      <c r="AY2" s="112"/>
      <c r="AZ2" s="112"/>
      <c r="BA2" s="112"/>
      <c r="BB2" s="112"/>
      <c r="BC2" s="112"/>
      <c r="BD2" s="112"/>
      <c r="BE2" s="112"/>
      <c r="BF2" s="112"/>
      <c r="BG2" s="112"/>
      <c r="BH2" s="112"/>
      <c r="BI2" s="112"/>
      <c r="BJ2" s="112"/>
      <c r="BK2" s="113"/>
      <c r="BL2" s="113"/>
      <c r="BM2" s="113"/>
      <c r="BN2" s="113"/>
      <c r="BO2" s="113"/>
      <c r="BP2" s="113"/>
      <c r="BQ2" s="113"/>
      <c r="BR2" s="113"/>
      <c r="BS2" s="113"/>
      <c r="BT2" s="113"/>
      <c r="BU2" s="113"/>
      <c r="BV2" s="113"/>
      <c r="BW2" s="113"/>
      <c r="BX2" s="113"/>
      <c r="BY2" s="113"/>
      <c r="BZ2" s="113"/>
      <c r="CA2" s="113"/>
      <c r="CB2" s="113"/>
      <c r="CC2" s="113"/>
      <c r="CD2" s="113"/>
      <c r="CE2" s="113"/>
      <c r="CF2" s="113"/>
    </row>
    <row r="3" spans="1:84">
      <c r="A3" s="112"/>
      <c r="B3" s="114" t="s">
        <v>1628</v>
      </c>
      <c r="C3" s="112"/>
      <c r="D3" s="112"/>
      <c r="E3" s="112"/>
      <c r="F3" s="112"/>
      <c r="G3" s="112"/>
      <c r="H3" s="112"/>
      <c r="I3" s="112"/>
      <c r="J3" s="112"/>
      <c r="K3" s="114"/>
      <c r="L3" s="114"/>
      <c r="M3" s="114"/>
      <c r="N3" s="114"/>
      <c r="O3" s="114"/>
      <c r="P3" s="114"/>
      <c r="Q3" s="114"/>
      <c r="R3" s="114"/>
      <c r="S3" s="114"/>
      <c r="T3" s="114"/>
      <c r="U3" s="114"/>
      <c r="V3" s="114"/>
      <c r="W3" s="114"/>
      <c r="X3" s="114"/>
      <c r="Y3" s="114"/>
      <c r="Z3" s="114"/>
      <c r="AA3" s="114"/>
      <c r="AB3" s="114"/>
      <c r="AC3" s="114"/>
      <c r="AD3" s="114"/>
      <c r="AE3" s="115"/>
      <c r="AF3" s="115"/>
      <c r="AG3" s="114"/>
      <c r="AH3" s="114"/>
      <c r="AI3" s="114"/>
      <c r="AJ3" s="114"/>
      <c r="AK3" s="114"/>
      <c r="AL3" s="114"/>
      <c r="AM3" s="114"/>
      <c r="AN3" s="114"/>
      <c r="AO3" s="114"/>
      <c r="AP3" s="114"/>
      <c r="AQ3" s="114"/>
      <c r="AR3" s="114"/>
      <c r="AS3" s="112"/>
      <c r="AT3" s="112"/>
      <c r="AU3" s="112"/>
      <c r="AV3" s="112"/>
      <c r="AW3" s="112"/>
      <c r="AX3" s="112"/>
      <c r="AY3" s="112"/>
      <c r="AZ3" s="112"/>
      <c r="BA3" s="112"/>
      <c r="BB3" s="112"/>
      <c r="BC3" s="112"/>
      <c r="BD3" s="112"/>
      <c r="BE3" s="112"/>
      <c r="BF3" s="112"/>
      <c r="BG3" s="112"/>
      <c r="BH3" s="112"/>
      <c r="BI3" s="112"/>
      <c r="BJ3" s="112"/>
      <c r="BK3" s="113"/>
      <c r="BL3" s="113"/>
      <c r="BM3" s="113"/>
      <c r="BN3" s="113"/>
      <c r="BO3" s="113"/>
      <c r="BP3" s="113"/>
      <c r="BQ3" s="113"/>
      <c r="BR3" s="113"/>
      <c r="BS3" s="113"/>
      <c r="BT3" s="113"/>
      <c r="BU3" s="113"/>
      <c r="BV3" s="113"/>
      <c r="BW3" s="113"/>
      <c r="BX3" s="113"/>
      <c r="BY3" s="113"/>
      <c r="BZ3" s="113"/>
      <c r="CA3" s="113"/>
      <c r="CB3" s="113"/>
      <c r="CC3" s="113"/>
      <c r="CD3" s="113"/>
      <c r="CE3" s="113"/>
      <c r="CF3" s="113"/>
    </row>
    <row r="4" spans="1:84">
      <c r="A4" s="112"/>
      <c r="B4" s="116"/>
      <c r="C4" s="114"/>
      <c r="D4" s="114"/>
      <c r="E4" s="117"/>
      <c r="F4" s="114"/>
      <c r="G4" s="118"/>
      <c r="H4" s="114"/>
      <c r="I4" s="114"/>
      <c r="J4" s="114"/>
      <c r="K4" s="114"/>
      <c r="L4" s="114"/>
      <c r="M4" s="114"/>
      <c r="N4" s="114" t="s">
        <v>224</v>
      </c>
      <c r="O4" s="114"/>
      <c r="P4" s="114"/>
      <c r="Q4" s="114"/>
      <c r="R4" s="114"/>
      <c r="S4" s="114"/>
      <c r="T4" s="114"/>
      <c r="U4" s="115" t="s">
        <v>225</v>
      </c>
      <c r="V4" s="115" t="s">
        <v>226</v>
      </c>
      <c r="W4" s="115" t="s">
        <v>227</v>
      </c>
      <c r="X4" s="115" t="s">
        <v>228</v>
      </c>
      <c r="Y4" s="115" t="s">
        <v>229</v>
      </c>
      <c r="Z4" s="114"/>
      <c r="AA4" s="115" t="s">
        <v>230</v>
      </c>
      <c r="AB4" s="114" t="s">
        <v>231</v>
      </c>
      <c r="AC4" s="115" t="s">
        <v>232</v>
      </c>
      <c r="AD4" s="115" t="s">
        <v>233</v>
      </c>
      <c r="AE4" s="115" t="s">
        <v>234</v>
      </c>
      <c r="AF4" s="114"/>
      <c r="AG4" s="114"/>
      <c r="AH4" s="114"/>
      <c r="AI4" s="114" t="s">
        <v>235</v>
      </c>
      <c r="AJ4" s="114"/>
      <c r="AK4" s="114"/>
      <c r="AL4" s="114"/>
      <c r="AM4" s="114"/>
      <c r="AN4" s="114"/>
      <c r="AO4" s="114"/>
      <c r="AP4" s="114"/>
      <c r="AQ4" s="114"/>
      <c r="AR4" s="114"/>
      <c r="AS4" s="112"/>
      <c r="AT4" s="112"/>
      <c r="AU4" s="112"/>
      <c r="AV4" s="112"/>
      <c r="AW4" s="112"/>
      <c r="AX4" s="112"/>
      <c r="AY4" s="112"/>
      <c r="AZ4" s="112"/>
      <c r="BA4" s="112"/>
      <c r="BB4" s="112"/>
      <c r="BC4" s="112"/>
      <c r="BD4" s="112"/>
      <c r="BE4" s="112"/>
      <c r="BF4" s="112"/>
      <c r="BG4" s="112"/>
      <c r="BH4" s="112"/>
      <c r="BI4" s="112"/>
      <c r="BJ4" s="112"/>
      <c r="BK4" s="113"/>
      <c r="BL4" s="113"/>
      <c r="BM4" s="113"/>
      <c r="BN4" s="113"/>
      <c r="BO4" s="113"/>
      <c r="BP4" s="113"/>
      <c r="BQ4" s="113"/>
      <c r="BR4" s="113"/>
      <c r="BS4" s="113"/>
      <c r="BT4" s="113"/>
      <c r="BU4" s="113"/>
      <c r="BV4" s="113"/>
      <c r="BW4" s="113"/>
      <c r="BX4" s="113"/>
      <c r="BY4" s="113"/>
      <c r="BZ4" s="113"/>
      <c r="CA4" s="113"/>
      <c r="CB4" s="113"/>
      <c r="CC4" s="113"/>
      <c r="CD4" s="113"/>
      <c r="CE4" s="113"/>
      <c r="CF4" s="113"/>
    </row>
    <row r="5" spans="1:84">
      <c r="A5" s="112"/>
      <c r="B5" s="119" t="s">
        <v>236</v>
      </c>
      <c r="C5" s="119" t="s">
        <v>237</v>
      </c>
      <c r="D5" s="114"/>
      <c r="E5" s="117">
        <f>E7+E6</f>
        <v>1159234.3223824017</v>
      </c>
      <c r="F5" s="119" t="s">
        <v>238</v>
      </c>
      <c r="G5" s="114"/>
      <c r="H5" s="114"/>
      <c r="I5" s="114"/>
      <c r="J5" s="119"/>
      <c r="K5" s="114"/>
      <c r="L5" s="120"/>
      <c r="M5" s="114"/>
      <c r="N5" s="119" t="s">
        <v>239</v>
      </c>
      <c r="O5" s="114"/>
      <c r="P5" s="114"/>
      <c r="Q5" s="119" t="s">
        <v>240</v>
      </c>
      <c r="R5" s="114"/>
      <c r="S5" s="114"/>
      <c r="T5" s="114"/>
      <c r="U5" s="121">
        <f>$E$8*1.25</f>
        <v>1308133.9819004149</v>
      </c>
      <c r="V5" s="122">
        <f>100*(+U5/$E$9)</f>
        <v>207.16198426198713</v>
      </c>
      <c r="W5" s="123">
        <f>EXP(5.7226-(0.68367*LN(+V5)))</f>
        <v>7.9744713471583033</v>
      </c>
      <c r="X5" s="123">
        <f>(+W5*V5)/100</f>
        <v>16.520073077176757</v>
      </c>
      <c r="Y5" s="122">
        <f>100*((((X5/100)-((X5/100)-0.03574)*$E$21)-0.03574-0.00619)/0.344)</f>
        <v>23.038977415513546</v>
      </c>
      <c r="Z5" s="114">
        <f>$E$20</f>
        <v>0.25</v>
      </c>
      <c r="AA5" s="122">
        <f>Y5+Z5</f>
        <v>23.288977415513546</v>
      </c>
      <c r="AB5" s="122">
        <f>100*($E$17*$E$19+($E$18*(AA5/100))/(1-$E$21))</f>
        <v>18.523452775234688</v>
      </c>
      <c r="AC5" s="123">
        <f>AB5/V5</f>
        <v>8.9415308707455843E-2</v>
      </c>
      <c r="AD5" s="121">
        <f>$E$8/(1-AC5)</f>
        <v>1149269.4699653366</v>
      </c>
      <c r="AE5" s="114" t="str">
        <f>IF(AD5=$U$5,"yes","not yet")</f>
        <v>not yet</v>
      </c>
      <c r="AF5" s="122">
        <f>100*(1-AC5)</f>
        <v>91.058469129254419</v>
      </c>
      <c r="AG5" s="114"/>
      <c r="AH5" s="114"/>
      <c r="AI5" s="114">
        <v>0</v>
      </c>
      <c r="AJ5" s="114">
        <v>1</v>
      </c>
      <c r="AK5" s="114"/>
      <c r="AL5" s="114"/>
      <c r="AM5" s="114"/>
      <c r="AN5" s="114"/>
      <c r="AO5" s="114"/>
      <c r="AP5" s="114"/>
      <c r="AQ5" s="114"/>
      <c r="AR5" s="114"/>
      <c r="AS5" s="112"/>
      <c r="AT5" s="112"/>
      <c r="AU5" s="112"/>
      <c r="AV5" s="112"/>
      <c r="AW5" s="112"/>
      <c r="AX5" s="112"/>
      <c r="AY5" s="112"/>
      <c r="AZ5" s="112"/>
      <c r="BA5" s="112"/>
      <c r="BB5" s="112"/>
      <c r="BC5" s="112"/>
      <c r="BD5" s="112"/>
      <c r="BE5" s="112"/>
      <c r="BF5" s="112"/>
      <c r="BG5" s="112"/>
      <c r="BH5" s="112"/>
      <c r="BI5" s="112"/>
      <c r="BJ5" s="112"/>
      <c r="BK5" s="113"/>
      <c r="BL5" s="113"/>
      <c r="BM5" s="113"/>
      <c r="BN5" s="113"/>
      <c r="BO5" s="113"/>
      <c r="BP5" s="113"/>
      <c r="BQ5" s="113"/>
      <c r="BR5" s="113"/>
      <c r="BS5" s="113"/>
      <c r="BT5" s="113"/>
      <c r="BU5" s="113"/>
      <c r="BV5" s="113"/>
      <c r="BW5" s="113"/>
      <c r="BX5" s="113"/>
      <c r="BY5" s="113"/>
      <c r="BZ5" s="113"/>
      <c r="CA5" s="113"/>
      <c r="CB5" s="113"/>
      <c r="CC5" s="113"/>
      <c r="CD5" s="113"/>
      <c r="CE5" s="113"/>
      <c r="CF5" s="113"/>
    </row>
    <row r="6" spans="1:84">
      <c r="A6" s="112"/>
      <c r="B6" s="119" t="s">
        <v>236</v>
      </c>
      <c r="C6" s="119" t="s">
        <v>241</v>
      </c>
      <c r="D6" s="114"/>
      <c r="E6" s="117">
        <f>(+E8-((H15/100)*E7))/H25</f>
        <v>164995.06028021191</v>
      </c>
      <c r="F6" s="124" t="s">
        <v>238</v>
      </c>
      <c r="G6" s="114"/>
      <c r="H6" s="146"/>
      <c r="I6" s="114"/>
      <c r="J6" s="125">
        <f>E6/E7</f>
        <v>0.16595106084560701</v>
      </c>
      <c r="K6" s="114" t="s">
        <v>242</v>
      </c>
      <c r="L6" s="120"/>
      <c r="M6" s="114"/>
      <c r="N6" s="119" t="s">
        <v>243</v>
      </c>
      <c r="O6" s="114"/>
      <c r="P6" s="114"/>
      <c r="Q6" s="119" t="s">
        <v>244</v>
      </c>
      <c r="R6" s="114"/>
      <c r="S6" s="114"/>
      <c r="T6" s="114"/>
      <c r="U6" s="121">
        <f>$E$8*1.25</f>
        <v>1308133.9819004149</v>
      </c>
      <c r="V6" s="122">
        <f>100*(+U6/$E$9)</f>
        <v>207.16198426198713</v>
      </c>
      <c r="W6" s="123">
        <f>EXP(5.70827-(0.68367*LN(+V6)))</f>
        <v>7.861012050171607</v>
      </c>
      <c r="X6" s="123">
        <f>(+W6*V6)/100</f>
        <v>16.285028546209418</v>
      </c>
      <c r="Y6" s="122">
        <f>100*((((X6/100)-((X6/100)-0.03574)*$E$21)-0.03574-0.00619)/0.344)</f>
        <v>22.588019885169235</v>
      </c>
      <c r="Z6" s="114">
        <f>$E$20</f>
        <v>0.25</v>
      </c>
      <c r="AA6" s="122">
        <f>Y6+Z6</f>
        <v>22.838019885169235</v>
      </c>
      <c r="AB6" s="122">
        <f>100*($E$17*$E$19+($E$18*(AA6/100))/(1-$E$21))</f>
        <v>18.194809515737145</v>
      </c>
      <c r="AC6" s="123">
        <f>AB6/V6</f>
        <v>8.782890152629115E-2</v>
      </c>
      <c r="AD6" s="121">
        <f>$E$8/(1-AC6)</f>
        <v>1147270.7118997751</v>
      </c>
      <c r="AE6" s="114" t="str">
        <f>IF(AD6=$U$6,"yes","not yet")</f>
        <v>not yet</v>
      </c>
      <c r="AF6" s="122">
        <f>100*(1-AC6)</f>
        <v>91.217109847370878</v>
      </c>
      <c r="AG6" s="114"/>
      <c r="AH6" s="114"/>
      <c r="AI6" s="114">
        <v>50</v>
      </c>
      <c r="AJ6" s="114">
        <v>2</v>
      </c>
      <c r="AK6" s="114"/>
      <c r="AL6" s="114"/>
      <c r="AM6" s="114"/>
      <c r="AN6" s="114"/>
      <c r="AO6" s="114"/>
      <c r="AP6" s="114"/>
      <c r="AQ6" s="114"/>
      <c r="AR6" s="114"/>
      <c r="AS6" s="112"/>
      <c r="AT6" s="112"/>
      <c r="AU6" s="112"/>
      <c r="AV6" s="112"/>
      <c r="AW6" s="112"/>
      <c r="AX6" s="112"/>
      <c r="AY6" s="112"/>
      <c r="AZ6" s="112"/>
      <c r="BA6" s="112"/>
      <c r="BB6" s="112"/>
      <c r="BC6" s="112"/>
      <c r="BD6" s="112"/>
      <c r="BE6" s="112"/>
      <c r="BF6" s="112"/>
      <c r="BG6" s="112"/>
      <c r="BH6" s="112"/>
      <c r="BI6" s="112"/>
      <c r="BJ6" s="112"/>
      <c r="BK6" s="113"/>
      <c r="BL6" s="113"/>
      <c r="BM6" s="113"/>
      <c r="BN6" s="113"/>
      <c r="BO6" s="113"/>
      <c r="BP6" s="113"/>
      <c r="BQ6" s="113"/>
      <c r="BR6" s="113"/>
      <c r="BS6" s="113"/>
      <c r="BT6" s="113"/>
      <c r="BU6" s="113"/>
      <c r="BV6" s="113"/>
      <c r="BW6" s="113"/>
      <c r="BX6" s="113"/>
      <c r="BY6" s="113"/>
      <c r="BZ6" s="113"/>
      <c r="CA6" s="113"/>
      <c r="CB6" s="113"/>
      <c r="CC6" s="113"/>
      <c r="CD6" s="113"/>
      <c r="CE6" s="113"/>
      <c r="CF6" s="113"/>
    </row>
    <row r="7" spans="1:84">
      <c r="A7" s="112"/>
      <c r="B7" s="126" t="s">
        <v>245</v>
      </c>
      <c r="C7" s="119" t="s">
        <v>19</v>
      </c>
      <c r="D7" s="126" t="s">
        <v>246</v>
      </c>
      <c r="E7" s="156">
        <f>'Consolidated IS'!I14</f>
        <v>994239.26210218971</v>
      </c>
      <c r="F7" s="119" t="s">
        <v>247</v>
      </c>
      <c r="G7" s="114"/>
      <c r="H7" s="145"/>
      <c r="I7" s="114"/>
      <c r="J7" s="119"/>
      <c r="K7" s="114"/>
      <c r="L7" s="120"/>
      <c r="M7" s="114"/>
      <c r="N7" s="119" t="s">
        <v>248</v>
      </c>
      <c r="O7" s="114"/>
      <c r="P7" s="114"/>
      <c r="Q7" s="119" t="s">
        <v>249</v>
      </c>
      <c r="R7" s="114"/>
      <c r="S7" s="114"/>
      <c r="T7" s="114"/>
      <c r="U7" s="121">
        <f>$E$8*1.25</f>
        <v>1308133.9819004149</v>
      </c>
      <c r="V7" s="122">
        <f>100*(+U7/$E$9)</f>
        <v>207.16198426198713</v>
      </c>
      <c r="W7" s="123">
        <f>EXP(5.6985-(0.68367*LN(V7)))</f>
        <v>7.7845839217881609</v>
      </c>
      <c r="X7" s="123">
        <f>(+W7*V7)/100</f>
        <v>16.126698518915973</v>
      </c>
      <c r="Y7" s="122">
        <f>100*((((X7/100)-((X7/100)-0.03574)*$E$21)-0.03574-0.00619)/0.344)</f>
        <v>22.284247158385295</v>
      </c>
      <c r="Z7" s="114">
        <f>$E$20</f>
        <v>0.25</v>
      </c>
      <c r="AA7" s="122">
        <f>Y7+Z7</f>
        <v>22.534247158385295</v>
      </c>
      <c r="AB7" s="122">
        <f>100*($E$17*$E$19+($E$18*(AA7/100))/(1-$E$21))</f>
        <v>17.973429779599893</v>
      </c>
      <c r="AC7" s="123">
        <f>AB7/V7</f>
        <v>8.6760270440689638E-2</v>
      </c>
      <c r="AD7" s="121">
        <f>$E$8/(1-AC7)</f>
        <v>1145928.2285335206</v>
      </c>
      <c r="AE7" s="114" t="str">
        <f>IF(AD7=$U$7,"yes","not yet")</f>
        <v>not yet</v>
      </c>
      <c r="AF7" s="122">
        <f>100*(1-AC7)</f>
        <v>91.323972955931026</v>
      </c>
      <c r="AG7" s="114"/>
      <c r="AH7" s="114"/>
      <c r="AI7" s="114">
        <v>125</v>
      </c>
      <c r="AJ7" s="114">
        <v>3</v>
      </c>
      <c r="AK7" s="114"/>
      <c r="AL7" s="114"/>
      <c r="AM7" s="114"/>
      <c r="AN7" s="114"/>
      <c r="AO7" s="114"/>
      <c r="AP7" s="114"/>
      <c r="AQ7" s="114"/>
      <c r="AR7" s="114"/>
      <c r="AS7" s="112"/>
      <c r="AT7" s="112"/>
      <c r="AU7" s="112"/>
      <c r="AV7" s="112"/>
      <c r="AW7" s="112"/>
      <c r="AX7" s="112"/>
      <c r="AY7" s="112"/>
      <c r="AZ7" s="112"/>
      <c r="BA7" s="112"/>
      <c r="BB7" s="112"/>
      <c r="BC7" s="112"/>
      <c r="BD7" s="112"/>
      <c r="BE7" s="112"/>
      <c r="BF7" s="112"/>
      <c r="BG7" s="112"/>
      <c r="BH7" s="112"/>
      <c r="BI7" s="112"/>
      <c r="BJ7" s="112"/>
      <c r="BK7" s="113"/>
      <c r="BL7" s="113"/>
      <c r="BM7" s="113"/>
      <c r="BN7" s="113"/>
      <c r="BO7" s="113"/>
      <c r="BP7" s="113"/>
      <c r="BQ7" s="113"/>
      <c r="BR7" s="113"/>
      <c r="BS7" s="113"/>
      <c r="BT7" s="113"/>
      <c r="BU7" s="113"/>
      <c r="BV7" s="113"/>
      <c r="BW7" s="113"/>
      <c r="BX7" s="113"/>
      <c r="BY7" s="113"/>
      <c r="BZ7" s="113"/>
      <c r="CA7" s="113"/>
      <c r="CB7" s="113"/>
      <c r="CC7" s="113"/>
      <c r="CD7" s="113"/>
      <c r="CE7" s="113"/>
      <c r="CF7" s="113"/>
    </row>
    <row r="8" spans="1:84">
      <c r="A8" s="112"/>
      <c r="B8" s="126" t="s">
        <v>245</v>
      </c>
      <c r="C8" s="119" t="s">
        <v>250</v>
      </c>
      <c r="D8" s="126" t="s">
        <v>246</v>
      </c>
      <c r="E8" s="117">
        <f>'Consolidated IS'!I174</f>
        <v>1046507.1855203318</v>
      </c>
      <c r="F8" s="119" t="s">
        <v>247</v>
      </c>
      <c r="G8" s="114"/>
      <c r="H8" s="145"/>
      <c r="I8" s="114"/>
      <c r="J8" s="125"/>
      <c r="K8" s="146"/>
      <c r="L8" s="120"/>
      <c r="M8" s="114"/>
      <c r="N8" s="119" t="s">
        <v>251</v>
      </c>
      <c r="O8" s="114"/>
      <c r="P8" s="114"/>
      <c r="Q8" s="119" t="s">
        <v>252</v>
      </c>
      <c r="R8" s="114"/>
      <c r="S8" s="114"/>
      <c r="T8" s="114"/>
      <c r="U8" s="121">
        <f>$E$8*1.25</f>
        <v>1308133.9819004149</v>
      </c>
      <c r="V8" s="122">
        <f>100*(+U8/$E$9)</f>
        <v>207.16198426198713</v>
      </c>
      <c r="W8" s="123">
        <f>EXP(5.6922-(0.68367*LN(V8)))</f>
        <v>7.7356952042404936</v>
      </c>
      <c r="X8" s="123">
        <f>(+W8*V8)/100</f>
        <v>16.025419681563985</v>
      </c>
      <c r="Y8" s="122">
        <f>100*((((X8/100)-((X8/100)-0.03574)*$E$21)-0.03574-0.00619)/0.344)</f>
        <v>22.089933109977416</v>
      </c>
      <c r="Z8" s="114">
        <f>$E$20</f>
        <v>0.25</v>
      </c>
      <c r="AA8" s="122">
        <f>Y8+Z8</f>
        <v>22.339933109977416</v>
      </c>
      <c r="AB8" s="122">
        <f>100*($E$17*$E$19+($E$18*(AA8/100))/(1-$E$21))</f>
        <v>17.831819987240578</v>
      </c>
      <c r="AC8" s="123">
        <f>AB8/V8</f>
        <v>8.6076700079728868E-2</v>
      </c>
      <c r="AD8" s="121">
        <f>$E$8/(1-AC8)</f>
        <v>1145071.1297234977</v>
      </c>
      <c r="AE8" s="114" t="str">
        <f>IF(AD8=$U$8,"yes","not yet")</f>
        <v>not yet</v>
      </c>
      <c r="AF8" s="122">
        <f>100*(1-AC8)</f>
        <v>91.392329992027115</v>
      </c>
      <c r="AG8" s="114"/>
      <c r="AH8" s="114"/>
      <c r="AI8" s="114">
        <v>401</v>
      </c>
      <c r="AJ8" s="114">
        <v>4</v>
      </c>
      <c r="AK8" s="114"/>
      <c r="AL8" s="114"/>
      <c r="AM8" s="114"/>
      <c r="AN8" s="114"/>
      <c r="AO8" s="114"/>
      <c r="AP8" s="114"/>
      <c r="AQ8" s="114"/>
      <c r="AR8" s="114"/>
      <c r="AS8" s="112"/>
      <c r="AT8" s="112"/>
      <c r="AU8" s="112"/>
      <c r="AV8" s="112"/>
      <c r="AW8" s="112"/>
      <c r="AX8" s="112"/>
      <c r="AY8" s="112"/>
      <c r="AZ8" s="112"/>
      <c r="BA8" s="112"/>
      <c r="BB8" s="112"/>
      <c r="BC8" s="112"/>
      <c r="BD8" s="112"/>
      <c r="BE8" s="112"/>
      <c r="BF8" s="112"/>
      <c r="BG8" s="112"/>
      <c r="BH8" s="112"/>
      <c r="BI8" s="112"/>
      <c r="BJ8" s="112"/>
      <c r="BK8" s="113"/>
      <c r="BL8" s="113"/>
      <c r="BM8" s="113"/>
      <c r="BN8" s="113"/>
      <c r="BO8" s="113"/>
      <c r="BP8" s="113"/>
      <c r="BQ8" s="113"/>
      <c r="BR8" s="113"/>
      <c r="BS8" s="113"/>
      <c r="BT8" s="113"/>
      <c r="BU8" s="113"/>
      <c r="BV8" s="113"/>
      <c r="BW8" s="113"/>
      <c r="BX8" s="113"/>
      <c r="BY8" s="113"/>
      <c r="BZ8" s="113"/>
      <c r="CA8" s="113"/>
      <c r="CB8" s="113"/>
      <c r="CC8" s="113"/>
      <c r="CD8" s="113"/>
      <c r="CE8" s="113"/>
      <c r="CF8" s="113"/>
    </row>
    <row r="9" spans="1:84">
      <c r="A9" s="112"/>
      <c r="B9" s="126" t="s">
        <v>245</v>
      </c>
      <c r="C9" s="119" t="s">
        <v>253</v>
      </c>
      <c r="D9" s="114"/>
      <c r="E9" s="117">
        <f>'Depr Summary'!H32</f>
        <v>631454.64963595103</v>
      </c>
      <c r="F9" s="119" t="s">
        <v>247</v>
      </c>
      <c r="G9" s="114"/>
      <c r="H9" s="114"/>
      <c r="I9" s="114"/>
      <c r="J9" s="119"/>
      <c r="K9" s="127"/>
      <c r="L9" s="120"/>
      <c r="M9" s="114"/>
      <c r="N9" s="114"/>
      <c r="O9" s="114"/>
      <c r="P9" s="114"/>
      <c r="Q9" s="114"/>
      <c r="R9" s="114"/>
      <c r="S9" s="114"/>
      <c r="T9" s="114"/>
      <c r="U9" s="114"/>
      <c r="V9" s="114"/>
      <c r="W9" s="114"/>
      <c r="X9" s="114"/>
      <c r="Y9" s="114"/>
      <c r="Z9" s="114"/>
      <c r="AA9" s="122"/>
      <c r="AB9" s="114"/>
      <c r="AC9" s="114"/>
      <c r="AD9" s="114"/>
      <c r="AE9" s="114"/>
      <c r="AF9" s="114"/>
      <c r="AG9" s="114"/>
      <c r="AH9" s="114"/>
      <c r="AI9" s="114"/>
      <c r="AJ9" s="114"/>
      <c r="AK9" s="114"/>
      <c r="AL9" s="114"/>
      <c r="AM9" s="114"/>
      <c r="AN9" s="114"/>
      <c r="AO9" s="114"/>
      <c r="AP9" s="114"/>
      <c r="AQ9" s="114"/>
      <c r="AR9" s="114"/>
      <c r="AS9" s="112"/>
      <c r="AT9" s="112"/>
      <c r="AU9" s="112"/>
      <c r="AV9" s="112"/>
      <c r="AW9" s="112"/>
      <c r="AX9" s="112"/>
      <c r="AY9" s="112"/>
      <c r="AZ9" s="112"/>
      <c r="BA9" s="112"/>
      <c r="BB9" s="112"/>
      <c r="BC9" s="112"/>
      <c r="BD9" s="112"/>
      <c r="BE9" s="112"/>
      <c r="BF9" s="112"/>
      <c r="BG9" s="112"/>
      <c r="BH9" s="112"/>
      <c r="BI9" s="112"/>
      <c r="BJ9" s="112"/>
      <c r="BK9" s="113"/>
      <c r="BL9" s="113"/>
      <c r="BM9" s="113"/>
      <c r="BN9" s="113"/>
      <c r="BO9" s="113"/>
      <c r="BP9" s="113"/>
      <c r="BQ9" s="113"/>
      <c r="BR9" s="113"/>
      <c r="BS9" s="113"/>
      <c r="BT9" s="113"/>
      <c r="BU9" s="113"/>
      <c r="BV9" s="113"/>
      <c r="BW9" s="113"/>
      <c r="BX9" s="113"/>
      <c r="BY9" s="113"/>
      <c r="BZ9" s="113"/>
      <c r="CA9" s="113"/>
      <c r="CB9" s="113"/>
      <c r="CC9" s="113"/>
      <c r="CD9" s="113"/>
      <c r="CE9" s="113"/>
      <c r="CF9" s="113"/>
    </row>
    <row r="10" spans="1:84">
      <c r="A10" s="112"/>
      <c r="B10" s="116"/>
      <c r="C10" s="119" t="s">
        <v>254</v>
      </c>
      <c r="D10" s="114"/>
      <c r="E10" s="122">
        <f>V5</f>
        <v>207.16198426198713</v>
      </c>
      <c r="F10" s="119" t="s">
        <v>255</v>
      </c>
      <c r="G10" s="114"/>
      <c r="H10" s="122"/>
      <c r="I10" s="122"/>
      <c r="J10" s="116"/>
      <c r="K10" s="118"/>
      <c r="L10" s="114"/>
      <c r="M10" s="114"/>
      <c r="N10" s="114"/>
      <c r="O10" s="114"/>
      <c r="P10" s="114"/>
      <c r="Q10" s="114"/>
      <c r="R10" s="114"/>
      <c r="S10" s="114"/>
      <c r="T10" s="114"/>
      <c r="U10" s="114"/>
      <c r="V10" s="128" t="s">
        <v>256</v>
      </c>
      <c r="W10" s="128" t="s">
        <v>227</v>
      </c>
      <c r="X10" s="128" t="s">
        <v>228</v>
      </c>
      <c r="Y10" s="128" t="s">
        <v>229</v>
      </c>
      <c r="Z10" s="114"/>
      <c r="AA10" s="122"/>
      <c r="AB10" s="114"/>
      <c r="AC10" s="114"/>
      <c r="AD10" s="114"/>
      <c r="AE10" s="114"/>
      <c r="AF10" s="114"/>
      <c r="AG10" s="114"/>
      <c r="AH10" s="114"/>
      <c r="AI10" s="114" t="s">
        <v>257</v>
      </c>
      <c r="AJ10" s="114"/>
      <c r="AK10" s="114"/>
      <c r="AL10" s="114"/>
      <c r="AM10" s="114"/>
      <c r="AN10" s="114"/>
      <c r="AO10" s="114"/>
      <c r="AP10" s="114"/>
      <c r="AQ10" s="114"/>
      <c r="AR10" s="114"/>
      <c r="AS10" s="112"/>
      <c r="AT10" s="112"/>
      <c r="AU10" s="112"/>
      <c r="AV10" s="112"/>
      <c r="AW10" s="112"/>
      <c r="AX10" s="112"/>
      <c r="AY10" s="112"/>
      <c r="AZ10" s="112"/>
      <c r="BA10" s="112"/>
      <c r="BB10" s="112"/>
      <c r="BC10" s="112"/>
      <c r="BD10" s="112"/>
      <c r="BE10" s="112"/>
      <c r="BF10" s="112"/>
      <c r="BG10" s="112"/>
      <c r="BH10" s="112"/>
      <c r="BI10" s="112"/>
      <c r="BJ10" s="112"/>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row>
    <row r="11" spans="1:84">
      <c r="A11" s="112"/>
      <c r="B11" s="116"/>
      <c r="C11" s="119" t="s">
        <v>258</v>
      </c>
      <c r="D11" s="114"/>
      <c r="E11" s="122">
        <f>HLOOKUP($AJ$34,$AJ$28:$AR$32,($E$12)+1)</f>
        <v>182.82912330530584</v>
      </c>
      <c r="F11" s="119" t="s">
        <v>255</v>
      </c>
      <c r="G11" s="114"/>
      <c r="H11" s="114"/>
      <c r="I11" s="114"/>
      <c r="J11" s="126"/>
      <c r="K11" s="117"/>
      <c r="L11" s="114"/>
      <c r="M11" s="114"/>
      <c r="N11" s="114"/>
      <c r="O11" s="114"/>
      <c r="P11" s="114"/>
      <c r="Q11" s="114"/>
      <c r="R11" s="114"/>
      <c r="S11" s="114"/>
      <c r="T11" s="114"/>
      <c r="U11" s="114"/>
      <c r="V11" s="122">
        <f>100*(+AD5/$E$9)</f>
        <v>182.00348522699429</v>
      </c>
      <c r="W11" s="129">
        <f>EXP(5.7226-(0.68367*LN(+V11)))</f>
        <v>8.7125425195315565</v>
      </c>
      <c r="X11" s="123">
        <f>(+W11*V11)/100</f>
        <v>15.857131037431211</v>
      </c>
      <c r="Y11" s="122">
        <f>100*((((X11/100)-((X11/100)-0.03574)*$E$21)-0.03574-0.00619)/0.344)</f>
        <v>21.767053734606389</v>
      </c>
      <c r="Z11" s="114">
        <f>$E$20</f>
        <v>0.25</v>
      </c>
      <c r="AA11" s="122">
        <f>Y11+Z11</f>
        <v>22.017053734606389</v>
      </c>
      <c r="AB11" s="122">
        <f>100*($E$17*$E$19+($E$18*(AA11/100))/(1-$E$21))</f>
        <v>17.596515943719123</v>
      </c>
      <c r="AC11" s="123">
        <f>AB11/V11</f>
        <v>9.6682302109615051E-2</v>
      </c>
      <c r="AD11" s="121">
        <f>$E$8/(1-AC11)</f>
        <v>1158515.0916054812</v>
      </c>
      <c r="AE11" s="114" t="str">
        <f>IF(AD11=AD5,"yes","not yet")</f>
        <v>not yet</v>
      </c>
      <c r="AF11" s="122">
        <f>100*(1-AC11)</f>
        <v>90.331769789038503</v>
      </c>
      <c r="AG11" s="114"/>
      <c r="AH11" s="114"/>
      <c r="AI11" s="114"/>
      <c r="AJ11" s="114"/>
      <c r="AK11" s="114"/>
      <c r="AL11" s="114"/>
      <c r="AM11" s="114"/>
      <c r="AN11" s="114"/>
      <c r="AO11" s="114"/>
      <c r="AP11" s="114"/>
      <c r="AQ11" s="114"/>
      <c r="AR11" s="114"/>
      <c r="AS11" s="112"/>
      <c r="AT11" s="112"/>
      <c r="AU11" s="112"/>
      <c r="AV11" s="112"/>
      <c r="AW11" s="112"/>
      <c r="AX11" s="112"/>
      <c r="AY11" s="112"/>
      <c r="AZ11" s="112"/>
      <c r="BA11" s="112"/>
      <c r="BB11" s="112"/>
      <c r="BC11" s="112"/>
      <c r="BD11" s="112"/>
      <c r="BE11" s="112"/>
      <c r="BF11" s="112"/>
      <c r="BG11" s="112"/>
      <c r="BH11" s="112"/>
      <c r="BI11" s="112"/>
      <c r="BJ11" s="112"/>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row>
    <row r="12" spans="1:84">
      <c r="A12" s="112"/>
      <c r="B12" s="116"/>
      <c r="C12" s="119" t="s">
        <v>259</v>
      </c>
      <c r="D12" s="114"/>
      <c r="E12" s="114">
        <f>VLOOKUP(E10,AI5:AJ8,2)</f>
        <v>3</v>
      </c>
      <c r="F12" s="119" t="s">
        <v>255</v>
      </c>
      <c r="G12" s="114"/>
      <c r="H12" s="114"/>
      <c r="I12" s="114"/>
      <c r="J12" s="126"/>
      <c r="K12" s="117"/>
      <c r="L12" s="114"/>
      <c r="M12" s="114"/>
      <c r="N12" s="114"/>
      <c r="O12" s="114"/>
      <c r="P12" s="114"/>
      <c r="Q12" s="114"/>
      <c r="R12" s="114"/>
      <c r="S12" s="114"/>
      <c r="T12" s="114"/>
      <c r="U12" s="114"/>
      <c r="V12" s="122">
        <f>100*(+AD6/$E$9)</f>
        <v>181.68695290488469</v>
      </c>
      <c r="W12" s="129">
        <f>EXP(5.70827-(0.68367*LN(+V12)))</f>
        <v>8.5988089526482643</v>
      </c>
      <c r="X12" s="123">
        <f>(+W12*V12)/100</f>
        <v>15.62291397217906</v>
      </c>
      <c r="Y12" s="122">
        <f>100*((((X12/100)-((X12/100)-0.03574)*$E$21)-0.03574-0.00619)/0.344)</f>
        <v>21.317683783831917</v>
      </c>
      <c r="Z12" s="114">
        <f>$E$20</f>
        <v>0.25</v>
      </c>
      <c r="AA12" s="122">
        <f>Y12+Z12</f>
        <v>21.567683783831917</v>
      </c>
      <c r="AB12" s="122">
        <f>100*($E$17*$E$19+($E$18*(AA12/100))/(1-$E$21))</f>
        <v>17.269029660853384</v>
      </c>
      <c r="AC12" s="123">
        <f>AB12/V12</f>
        <v>9.504826507764666E-2</v>
      </c>
      <c r="AD12" s="121">
        <f>$E$8/(1-AC12)</f>
        <v>1156423.2048354759</v>
      </c>
      <c r="AE12" s="114" t="str">
        <f>IF(AD12=AD6,"yes","not yet")</f>
        <v>not yet</v>
      </c>
      <c r="AF12" s="122">
        <f>100*(1-AC12)</f>
        <v>90.495173492235338</v>
      </c>
      <c r="AG12" s="114"/>
      <c r="AH12" s="114"/>
      <c r="AI12" s="114"/>
      <c r="AJ12" s="114"/>
      <c r="AK12" s="114"/>
      <c r="AL12" s="114"/>
      <c r="AM12" s="114"/>
      <c r="AN12" s="114"/>
      <c r="AO12" s="114"/>
      <c r="AP12" s="114"/>
      <c r="AQ12" s="114"/>
      <c r="AR12" s="114"/>
      <c r="AS12" s="112"/>
      <c r="AT12" s="112"/>
      <c r="AU12" s="112"/>
      <c r="AV12" s="112"/>
      <c r="AW12" s="112"/>
      <c r="AX12" s="112"/>
      <c r="AY12" s="112"/>
      <c r="AZ12" s="112"/>
      <c r="BA12" s="112"/>
      <c r="BB12" s="112"/>
      <c r="BC12" s="112"/>
      <c r="BD12" s="112"/>
      <c r="BE12" s="112"/>
      <c r="BF12" s="112"/>
      <c r="BG12" s="112"/>
      <c r="BH12" s="112"/>
      <c r="BI12" s="112"/>
      <c r="BJ12" s="112"/>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row>
    <row r="13" spans="1:84">
      <c r="A13" s="112"/>
      <c r="B13" s="116"/>
      <c r="C13" s="114"/>
      <c r="D13" s="114"/>
      <c r="E13" s="114"/>
      <c r="F13" s="114"/>
      <c r="G13" s="114"/>
      <c r="H13" s="114"/>
      <c r="I13" s="114"/>
      <c r="J13" s="126"/>
      <c r="L13" s="598">
        <f>'LG G-48'!E7</f>
        <v>889334.59210218966</v>
      </c>
      <c r="M13" s="118">
        <f>'LG G-51'!E7</f>
        <v>104904.66999999998</v>
      </c>
      <c r="N13" s="117">
        <f>SUM(L13:M13)</f>
        <v>994239.26210218971</v>
      </c>
      <c r="O13" s="114"/>
      <c r="P13" s="114"/>
      <c r="Q13" s="114"/>
      <c r="R13" s="114"/>
      <c r="S13" s="114"/>
      <c r="T13" s="114"/>
      <c r="U13" s="114"/>
      <c r="V13" s="122">
        <f>100*(+AD7/$E$9)</f>
        <v>181.47435119753666</v>
      </c>
      <c r="W13" s="129">
        <f>EXP(5.6985-(0.68367*LN(V13)))</f>
        <v>8.5220265230326699</v>
      </c>
      <c r="X13" s="123">
        <f>(+W13*V13)/100</f>
        <v>15.46529234155553</v>
      </c>
      <c r="Y13" s="122">
        <f>100*((((X13/100)-((X13/100)-0.03574)*$E$21)-0.03574-0.00619)/0.344)</f>
        <v>21.015270190193753</v>
      </c>
      <c r="Z13" s="114">
        <f>$E$20</f>
        <v>0.25</v>
      </c>
      <c r="AA13" s="122">
        <f>Y13+Z13</f>
        <v>21.265270190193753</v>
      </c>
      <c r="AB13" s="122">
        <f>100*($E$17*$E$19+($E$18*(AA13/100))/(1-$E$21))</f>
        <v>17.048640416984391</v>
      </c>
      <c r="AC13" s="123">
        <f>AB13/V13</f>
        <v>9.3945179054128553E-2</v>
      </c>
      <c r="AD13" s="121">
        <f>$E$8/(1-AC13)</f>
        <v>1155015.3051752828</v>
      </c>
      <c r="AE13" s="114" t="str">
        <f>IF(AD13=AD7,"yes","not yet")</f>
        <v>not yet</v>
      </c>
      <c r="AF13" s="122">
        <f>100*(1-AC13)</f>
        <v>90.605482094587146</v>
      </c>
      <c r="AG13" s="114"/>
      <c r="AH13" s="114"/>
      <c r="AI13" s="114"/>
      <c r="AJ13" s="114">
        <v>1</v>
      </c>
      <c r="AK13" s="114">
        <v>2</v>
      </c>
      <c r="AL13" s="114">
        <v>3</v>
      </c>
      <c r="AM13" s="114">
        <v>4</v>
      </c>
      <c r="AN13" s="114">
        <v>5</v>
      </c>
      <c r="AO13" s="114">
        <v>6</v>
      </c>
      <c r="AP13" s="114">
        <v>7</v>
      </c>
      <c r="AQ13" s="114">
        <v>8</v>
      </c>
      <c r="AR13" s="114">
        <v>9</v>
      </c>
      <c r="AS13" s="112"/>
      <c r="AT13" s="112"/>
      <c r="AU13" s="112"/>
      <c r="AV13" s="112"/>
      <c r="AW13" s="112"/>
      <c r="AX13" s="112"/>
      <c r="AY13" s="112"/>
      <c r="AZ13" s="112"/>
      <c r="BA13" s="112"/>
      <c r="BB13" s="112"/>
      <c r="BC13" s="112"/>
      <c r="BD13" s="112"/>
      <c r="BE13" s="112"/>
      <c r="BF13" s="112"/>
      <c r="BG13" s="112"/>
      <c r="BH13" s="112"/>
      <c r="BI13" s="112"/>
      <c r="BJ13" s="112"/>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row>
    <row r="14" spans="1:84">
      <c r="A14" s="112"/>
      <c r="B14" s="116"/>
      <c r="C14" s="119" t="s">
        <v>260</v>
      </c>
      <c r="D14" s="114"/>
      <c r="E14" s="114"/>
      <c r="F14" s="114"/>
      <c r="G14" s="114"/>
      <c r="H14" s="114"/>
      <c r="I14" s="114"/>
      <c r="J14" s="116"/>
      <c r="L14" s="598">
        <f>'LG G-48'!E8</f>
        <v>952334.54822610749</v>
      </c>
      <c r="M14" s="118">
        <f>'LG G-51'!E8</f>
        <v>94173.342294224451</v>
      </c>
      <c r="N14" s="117">
        <f t="shared" ref="N14:N15" si="0">SUM(L14:M14)</f>
        <v>1046507.8905203319</v>
      </c>
      <c r="O14" s="114"/>
      <c r="P14" s="114"/>
      <c r="Q14" s="114"/>
      <c r="R14" s="114"/>
      <c r="S14" s="114"/>
      <c r="T14" s="114"/>
      <c r="U14" s="114"/>
      <c r="V14" s="122">
        <f>100*(+AD8/$E$9)</f>
        <v>181.33861717284987</v>
      </c>
      <c r="W14" s="129">
        <f>EXP(5.6922-(0.68367*LN(V14)))</f>
        <v>8.4728396375539674</v>
      </c>
      <c r="X14" s="123">
        <f>(+W14*V14)/100</f>
        <v>15.364530234013468</v>
      </c>
      <c r="Y14" s="122">
        <f>100*((((X14/100)-((X14/100)-0.03574)*$E$21)-0.03574-0.00619)/0.344)</f>
        <v>20.821947542002583</v>
      </c>
      <c r="Z14" s="114">
        <f>$E$20</f>
        <v>0.25</v>
      </c>
      <c r="AA14" s="122">
        <f>Y14+Z14</f>
        <v>21.071947542002583</v>
      </c>
      <c r="AB14" s="122">
        <f>100*($E$17*$E$19+($E$18*(AA14/100))/(1-$E$21))</f>
        <v>16.907753125030904</v>
      </c>
      <c r="AC14" s="123">
        <f>AB14/V14</f>
        <v>9.3238568754026779E-2</v>
      </c>
      <c r="AD14" s="121">
        <f>$E$8/(1-AC14)</f>
        <v>1154115.2385389123</v>
      </c>
      <c r="AE14" s="114" t="str">
        <f>IF(AD14=AD8,"yes","not yet")</f>
        <v>not yet</v>
      </c>
      <c r="AF14" s="122">
        <f>100*(1-AC14)</f>
        <v>90.676143124597317</v>
      </c>
      <c r="AG14" s="114"/>
      <c r="AH14" s="114"/>
      <c r="AI14" s="114"/>
      <c r="AJ14" s="114" t="str">
        <f>AE5</f>
        <v>not yet</v>
      </c>
      <c r="AK14" s="114" t="str">
        <f>AE11</f>
        <v>not yet</v>
      </c>
      <c r="AL14" s="114" t="str">
        <f>AE17</f>
        <v>not yet</v>
      </c>
      <c r="AM14" s="114" t="str">
        <f>AE23</f>
        <v>not yet</v>
      </c>
      <c r="AN14" s="114" t="str">
        <f>AE29</f>
        <v>not yet</v>
      </c>
      <c r="AO14" s="114" t="str">
        <f>AE35</f>
        <v>not yet</v>
      </c>
      <c r="AP14" s="114" t="str">
        <f>AE41</f>
        <v>yes</v>
      </c>
      <c r="AQ14" s="114" t="str">
        <f>AE47</f>
        <v>yes</v>
      </c>
      <c r="AR14" s="114" t="str">
        <f>AE53</f>
        <v>yes</v>
      </c>
      <c r="AS14" s="112"/>
      <c r="AT14" s="112"/>
      <c r="AU14" s="112"/>
      <c r="AV14" s="112"/>
      <c r="AW14" s="112"/>
      <c r="AX14" s="112"/>
      <c r="AY14" s="112"/>
      <c r="AZ14" s="112"/>
      <c r="BA14" s="112"/>
      <c r="BB14" s="112"/>
      <c r="BC14" s="112"/>
      <c r="BD14" s="112"/>
      <c r="BE14" s="112"/>
      <c r="BF14" s="112"/>
      <c r="BG14" s="112"/>
      <c r="BH14" s="112"/>
      <c r="BI14" s="112"/>
      <c r="BJ14" s="112"/>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row>
    <row r="15" spans="1:84">
      <c r="A15" s="112"/>
      <c r="B15" s="116"/>
      <c r="C15" s="119" t="s">
        <v>261</v>
      </c>
      <c r="D15" s="114"/>
      <c r="E15" s="126" t="s">
        <v>236</v>
      </c>
      <c r="F15" s="119" t="s">
        <v>262</v>
      </c>
      <c r="G15" s="114"/>
      <c r="H15" s="122">
        <f>HLOOKUP($AJ$25,$AJ$19:$AR$23,($E$12)+1)</f>
        <v>90.647236378211943</v>
      </c>
      <c r="I15" s="119" t="s">
        <v>238</v>
      </c>
      <c r="J15" s="112"/>
      <c r="L15" s="598">
        <f>'LG G-48'!E9</f>
        <v>560950.20076299016</v>
      </c>
      <c r="M15" s="118">
        <f>'LG G-51'!E9</f>
        <v>70504.448872960871</v>
      </c>
      <c r="N15" s="117">
        <f t="shared" si="0"/>
        <v>631454.64963595103</v>
      </c>
      <c r="O15" s="114"/>
      <c r="P15" s="114"/>
      <c r="Q15" s="114"/>
      <c r="R15" s="114"/>
      <c r="S15" s="114"/>
      <c r="T15" s="114"/>
      <c r="U15" s="114"/>
      <c r="V15" s="114"/>
      <c r="W15" s="114"/>
      <c r="X15" s="114"/>
      <c r="Y15" s="114"/>
      <c r="Z15" s="114"/>
      <c r="AA15" s="122"/>
      <c r="AB15" s="114"/>
      <c r="AC15" s="114"/>
      <c r="AD15" s="114"/>
      <c r="AE15" s="114"/>
      <c r="AF15" s="114"/>
      <c r="AG15" s="114"/>
      <c r="AH15" s="114"/>
      <c r="AI15" s="114"/>
      <c r="AJ15" s="114" t="str">
        <f>AE6</f>
        <v>not yet</v>
      </c>
      <c r="AK15" s="114" t="str">
        <f>AE12</f>
        <v>not yet</v>
      </c>
      <c r="AL15" s="114" t="str">
        <f>AE18</f>
        <v>not yet</v>
      </c>
      <c r="AM15" s="114" t="str">
        <f>AE24</f>
        <v>not yet</v>
      </c>
      <c r="AN15" s="114" t="str">
        <f>AE30</f>
        <v>not yet</v>
      </c>
      <c r="AO15" s="114" t="str">
        <f>AE36</f>
        <v>not yet</v>
      </c>
      <c r="AP15" s="114" t="str">
        <f>AE42</f>
        <v>yes</v>
      </c>
      <c r="AQ15" s="114" t="str">
        <f>AE48</f>
        <v>yes</v>
      </c>
      <c r="AR15" s="114" t="str">
        <f>AE54</f>
        <v>yes</v>
      </c>
      <c r="AS15" s="112"/>
      <c r="AT15" s="112"/>
      <c r="AU15" s="112"/>
      <c r="AV15" s="112"/>
      <c r="AW15" s="112"/>
      <c r="AX15" s="112"/>
      <c r="AY15" s="112"/>
      <c r="AZ15" s="112"/>
      <c r="BA15" s="112"/>
      <c r="BB15" s="112"/>
      <c r="BC15" s="112"/>
      <c r="BD15" s="112"/>
      <c r="BE15" s="112"/>
      <c r="BF15" s="112"/>
      <c r="BG15" s="112"/>
      <c r="BH15" s="112"/>
      <c r="BI15" s="112"/>
      <c r="BJ15" s="112"/>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row>
    <row r="16" spans="1:84">
      <c r="A16" s="112"/>
      <c r="B16" s="116"/>
      <c r="C16" s="131"/>
      <c r="D16" s="131"/>
      <c r="E16" s="132"/>
      <c r="F16" s="114"/>
      <c r="G16" s="114"/>
      <c r="H16" s="131"/>
      <c r="I16" s="116"/>
      <c r="J16" s="112"/>
      <c r="K16" s="117"/>
      <c r="L16" s="114"/>
      <c r="M16" s="114"/>
      <c r="N16" s="114"/>
      <c r="O16" s="114"/>
      <c r="P16" s="114"/>
      <c r="Q16" s="114"/>
      <c r="R16" s="114"/>
      <c r="S16" s="114"/>
      <c r="T16" s="114"/>
      <c r="U16" s="114"/>
      <c r="V16" s="119" t="s">
        <v>263</v>
      </c>
      <c r="W16" s="128" t="s">
        <v>227</v>
      </c>
      <c r="X16" s="128" t="s">
        <v>228</v>
      </c>
      <c r="Y16" s="128" t="s">
        <v>229</v>
      </c>
      <c r="Z16" s="114"/>
      <c r="AA16" s="122"/>
      <c r="AB16" s="114"/>
      <c r="AC16" s="114"/>
      <c r="AD16" s="114"/>
      <c r="AE16" s="114"/>
      <c r="AF16" s="114"/>
      <c r="AG16" s="114"/>
      <c r="AH16" s="114"/>
      <c r="AI16" s="114"/>
      <c r="AJ16" s="114" t="str">
        <f>AE7</f>
        <v>not yet</v>
      </c>
      <c r="AK16" s="114" t="str">
        <f>AE13</f>
        <v>not yet</v>
      </c>
      <c r="AL16" s="114" t="str">
        <f>AE19</f>
        <v>not yet</v>
      </c>
      <c r="AM16" s="114" t="str">
        <f>AE25</f>
        <v>not yet</v>
      </c>
      <c r="AN16" s="114" t="str">
        <f>AE31</f>
        <v>not yet</v>
      </c>
      <c r="AO16" s="114" t="str">
        <f>AE37</f>
        <v>not yet</v>
      </c>
      <c r="AP16" s="114" t="str">
        <f>AE43</f>
        <v>yes</v>
      </c>
      <c r="AQ16" s="114" t="str">
        <f>AE49</f>
        <v>yes</v>
      </c>
      <c r="AR16" s="114" t="str">
        <f>AE55</f>
        <v>yes</v>
      </c>
      <c r="AS16" s="112"/>
      <c r="AT16" s="112"/>
      <c r="AU16" s="112"/>
      <c r="AV16" s="112"/>
      <c r="AW16" s="112"/>
      <c r="AX16" s="112"/>
      <c r="AY16" s="112"/>
      <c r="AZ16" s="112"/>
      <c r="BA16" s="112"/>
      <c r="BB16" s="112"/>
      <c r="BC16" s="112"/>
      <c r="BD16" s="112"/>
      <c r="BE16" s="112"/>
      <c r="BF16" s="112"/>
      <c r="BG16" s="112"/>
      <c r="BH16" s="112"/>
      <c r="BI16" s="112"/>
      <c r="BJ16" s="112"/>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row>
    <row r="17" spans="1:84">
      <c r="A17" s="112"/>
      <c r="B17" s="126" t="s">
        <v>245</v>
      </c>
      <c r="C17" s="119" t="s">
        <v>264</v>
      </c>
      <c r="D17" s="114"/>
      <c r="E17" s="133">
        <f>'Corp-BS'!D65</f>
        <v>0.51901335120677927</v>
      </c>
      <c r="F17" s="119" t="s">
        <v>265</v>
      </c>
      <c r="G17" s="114"/>
      <c r="H17" s="114"/>
      <c r="I17" s="116"/>
      <c r="J17" s="112"/>
      <c r="K17" s="114"/>
      <c r="L17" s="114"/>
      <c r="M17" s="114"/>
      <c r="N17" s="114"/>
      <c r="O17" s="114"/>
      <c r="P17" s="114"/>
      <c r="Q17" s="114"/>
      <c r="R17" s="114"/>
      <c r="S17" s="114"/>
      <c r="T17" s="114"/>
      <c r="U17" s="114"/>
      <c r="V17" s="122">
        <f>100*(+AD11/$E$9)</f>
        <v>183.46766347724153</v>
      </c>
      <c r="W17" s="129">
        <f>EXP(5.7226-(0.68367*LN(+V17)))</f>
        <v>8.664945953265935</v>
      </c>
      <c r="X17" s="123">
        <f>(+W17*V17)/100</f>
        <v>15.897373882022803</v>
      </c>
      <c r="Y17" s="122">
        <f>100*((((X17/100)-((X17/100)-0.03574)*$E$21)-0.03574-0.00619)/0.344)</f>
        <v>21.844263843415838</v>
      </c>
      <c r="Z17" s="114">
        <f>$E$20</f>
        <v>0.25</v>
      </c>
      <c r="AA17" s="122">
        <f>Y17+Z17</f>
        <v>22.094263843415838</v>
      </c>
      <c r="AB17" s="122">
        <f>100*($E$17*$E$19+($E$18*(AA17/100))/(1-$E$21))</f>
        <v>17.652784173248236</v>
      </c>
      <c r="AC17" s="123">
        <f>AB17/V17</f>
        <v>9.6217414222632192E-2</v>
      </c>
      <c r="AD17" s="121">
        <f>$E$8/(1-AC17)</f>
        <v>1157919.1743556364</v>
      </c>
      <c r="AE17" s="114" t="str">
        <f>IF(AD17=AD11,"yes","not yet")</f>
        <v>not yet</v>
      </c>
      <c r="AF17" s="122">
        <f>100*(1-AC17)</f>
        <v>90.378258577736787</v>
      </c>
      <c r="AG17" s="114"/>
      <c r="AH17" s="114"/>
      <c r="AI17" s="114"/>
      <c r="AJ17" s="114" t="str">
        <f>AE8</f>
        <v>not yet</v>
      </c>
      <c r="AK17" s="114" t="str">
        <f>AE14</f>
        <v>not yet</v>
      </c>
      <c r="AL17" s="114" t="str">
        <f>AE20</f>
        <v>not yet</v>
      </c>
      <c r="AM17" s="114" t="str">
        <f>AE26</f>
        <v>not yet</v>
      </c>
      <c r="AN17" s="114" t="str">
        <f>AE32</f>
        <v>not yet</v>
      </c>
      <c r="AO17" s="114" t="str">
        <f>AE38</f>
        <v>not yet</v>
      </c>
      <c r="AP17" s="114" t="str">
        <f>AE44</f>
        <v>yes</v>
      </c>
      <c r="AQ17" s="114" t="str">
        <f>AE50</f>
        <v>yes</v>
      </c>
      <c r="AR17" s="114" t="str">
        <f>AE56</f>
        <v>yes</v>
      </c>
      <c r="AS17" s="112"/>
      <c r="AT17" s="112"/>
      <c r="AU17" s="112"/>
      <c r="AV17" s="112"/>
      <c r="AW17" s="112"/>
      <c r="AX17" s="112"/>
      <c r="AY17" s="112"/>
      <c r="AZ17" s="112"/>
      <c r="BA17" s="112"/>
      <c r="BB17" s="112"/>
      <c r="BC17" s="112"/>
      <c r="BD17" s="112"/>
      <c r="BE17" s="112"/>
      <c r="BF17" s="112"/>
      <c r="BG17" s="112"/>
      <c r="BH17" s="112"/>
      <c r="BI17" s="112"/>
      <c r="BJ17" s="112"/>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row>
    <row r="18" spans="1:84">
      <c r="A18" s="112"/>
      <c r="B18" s="126" t="s">
        <v>245</v>
      </c>
      <c r="C18" s="119" t="s">
        <v>266</v>
      </c>
      <c r="D18" s="114"/>
      <c r="E18" s="133">
        <f>'Corp-BS'!D66</f>
        <v>0.48098664879322067</v>
      </c>
      <c r="F18" s="119" t="s">
        <v>267</v>
      </c>
      <c r="G18" s="114"/>
      <c r="H18" s="120">
        <v>1.4999999999999999E-2</v>
      </c>
      <c r="I18" s="119" t="s">
        <v>245</v>
      </c>
      <c r="J18" s="112"/>
      <c r="K18" s="114"/>
      <c r="L18" s="114"/>
      <c r="M18" s="114"/>
      <c r="N18" s="114"/>
      <c r="O18" s="114"/>
      <c r="P18" s="114"/>
      <c r="Q18" s="114"/>
      <c r="R18" s="114"/>
      <c r="S18" s="114"/>
      <c r="T18" s="114"/>
      <c r="U18" s="114"/>
      <c r="V18" s="122">
        <f>100*(+AD12/$E$9)</f>
        <v>183.13638287439676</v>
      </c>
      <c r="W18" s="129">
        <f>EXP(5.70827-(0.68367*LN(+V18)))</f>
        <v>8.5522232522418751</v>
      </c>
      <c r="X18" s="123">
        <f>(+W18*V18)/100</f>
        <v>15.662232319498866</v>
      </c>
      <c r="Y18" s="122">
        <f>100*((((X18/100)-((X18/100)-0.03574)*$E$21)-0.03574-0.00619)/0.344)</f>
        <v>21.393120147875734</v>
      </c>
      <c r="Z18" s="114">
        <f>$E$20</f>
        <v>0.25</v>
      </c>
      <c r="AA18" s="122">
        <f>Y18+Z18</f>
        <v>21.643120147875734</v>
      </c>
      <c r="AB18" s="122">
        <f>100*($E$17*$E$19+($E$18*(AA18/100))/(1-$E$21))</f>
        <v>17.324005242578508</v>
      </c>
      <c r="AC18" s="123">
        <f>AB18/V18</f>
        <v>9.4596196401127444E-2</v>
      </c>
      <c r="AD18" s="121">
        <f>$E$8/(1-AC18)</f>
        <v>1155845.8020173872</v>
      </c>
      <c r="AE18" s="114" t="str">
        <f>IF(AD18=AD12,"yes","not yet")</f>
        <v>not yet</v>
      </c>
      <c r="AF18" s="122">
        <f>100*(1-AC18)</f>
        <v>90.540380359887251</v>
      </c>
      <c r="AG18" s="114"/>
      <c r="AH18" s="114"/>
      <c r="AI18" s="114"/>
      <c r="AJ18" s="114"/>
      <c r="AK18" s="114"/>
      <c r="AL18" s="114"/>
      <c r="AM18" s="114"/>
      <c r="AN18" s="114"/>
      <c r="AO18" s="114"/>
      <c r="AP18" s="114"/>
      <c r="AQ18" s="114"/>
      <c r="AR18" s="114"/>
      <c r="AS18" s="112"/>
      <c r="AT18" s="112"/>
      <c r="AU18" s="112"/>
      <c r="AV18" s="112"/>
      <c r="AW18" s="112"/>
      <c r="AX18" s="112"/>
      <c r="AY18" s="112"/>
      <c r="AZ18" s="112"/>
      <c r="BA18" s="112"/>
      <c r="BB18" s="112"/>
      <c r="BC18" s="112"/>
      <c r="BD18" s="112"/>
      <c r="BE18" s="112"/>
      <c r="BF18" s="112"/>
      <c r="BG18" s="112"/>
      <c r="BH18" s="112"/>
      <c r="BI18" s="112"/>
      <c r="BJ18" s="112"/>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row>
    <row r="19" spans="1:84">
      <c r="A19" s="112"/>
      <c r="B19" s="126" t="s">
        <v>245</v>
      </c>
      <c r="C19" s="119" t="s">
        <v>268</v>
      </c>
      <c r="D19" s="114"/>
      <c r="E19" s="133">
        <f>'Corp-BS'!C75</f>
        <v>2.9887466997092278E-2</v>
      </c>
      <c r="F19" s="119" t="s">
        <v>269</v>
      </c>
      <c r="G19" s="114"/>
      <c r="H19" s="130">
        <v>4.2750000000000002E-3</v>
      </c>
      <c r="I19" s="119" t="s">
        <v>245</v>
      </c>
      <c r="J19" s="112"/>
      <c r="K19" s="114"/>
      <c r="L19" s="114"/>
      <c r="M19" s="114"/>
      <c r="N19" s="114"/>
      <c r="O19" s="114"/>
      <c r="P19" s="114"/>
      <c r="Q19" s="114"/>
      <c r="R19" s="114"/>
      <c r="S19" s="114"/>
      <c r="T19" s="114"/>
      <c r="U19" s="114"/>
      <c r="V19" s="122">
        <f>100*(+AD13/$E$9)</f>
        <v>182.91342154835303</v>
      </c>
      <c r="W19" s="129">
        <f>EXP(5.6985-(0.68367*LN(V19)))</f>
        <v>8.4761312654144021</v>
      </c>
      <c r="X19" s="123">
        <f>(+W19*V19)/100</f>
        <v>15.503981712499193</v>
      </c>
      <c r="Y19" s="122">
        <f>100*((((X19/100)-((X19/100)-0.03574)*$E$21)-0.03574-0.00619)/0.344)</f>
        <v>21.089499797236826</v>
      </c>
      <c r="Z19" s="114">
        <f>$E$20</f>
        <v>0.25</v>
      </c>
      <c r="AA19" s="122">
        <f>Y19+Z19</f>
        <v>21.339499797236826</v>
      </c>
      <c r="AB19" s="122">
        <f>100*($E$17*$E$19+($E$18*(AA19/100))/(1-$E$21))</f>
        <v>17.102736553246338</v>
      </c>
      <c r="AC19" s="123">
        <f>AB19/V19</f>
        <v>9.3501813089889863E-2</v>
      </c>
      <c r="AD19" s="121">
        <f>$E$8/(1-AC19)</f>
        <v>1154450.3901187673</v>
      </c>
      <c r="AE19" s="114" t="str">
        <f>IF(AD19=AD13,"yes","not yet")</f>
        <v>not yet</v>
      </c>
      <c r="AF19" s="122">
        <f>100*(1-AC19)</f>
        <v>90.649818691011006</v>
      </c>
      <c r="AG19" s="114"/>
      <c r="AH19" s="114"/>
      <c r="AI19" s="114"/>
      <c r="AJ19" s="114" t="str">
        <f>HLOOKUP(1,$AJ$13:$AR$17,($E$12)+1)</f>
        <v>not yet</v>
      </c>
      <c r="AK19" s="114" t="str">
        <f>HLOOKUP(2,$AJ$13:$AR$17,($E$12)+1)</f>
        <v>not yet</v>
      </c>
      <c r="AL19" s="114" t="str">
        <f>HLOOKUP(3,$AJ$13:$AR$17,($E$12)+1)</f>
        <v>not yet</v>
      </c>
      <c r="AM19" s="114" t="str">
        <f>HLOOKUP(4,$AJ$13:$AR$17,($E$12)+1)</f>
        <v>not yet</v>
      </c>
      <c r="AN19" s="114" t="str">
        <f>HLOOKUP(5,$AJ$13:$AR$17,($E$12)+1)</f>
        <v>not yet</v>
      </c>
      <c r="AO19" s="114" t="str">
        <f>HLOOKUP(6,$AJ$13:$AR$17,($E$12)+1)</f>
        <v>not yet</v>
      </c>
      <c r="AP19" s="114" t="str">
        <f>HLOOKUP(7,$AJ$13:$AR$17,($E$12)+1)</f>
        <v>yes</v>
      </c>
      <c r="AQ19" s="114" t="str">
        <f>HLOOKUP(8,$AJ$13:$AR$17,($E$12)+1)</f>
        <v>yes</v>
      </c>
      <c r="AR19" s="114" t="str">
        <f>HLOOKUP(9,$AJ$13:$AR$17,($E$12)+1)</f>
        <v>yes</v>
      </c>
      <c r="AS19" s="112"/>
      <c r="AT19" s="112"/>
      <c r="AU19" s="112"/>
      <c r="AV19" s="112"/>
      <c r="AW19" s="112"/>
      <c r="AX19" s="112"/>
      <c r="AY19" s="112"/>
      <c r="AZ19" s="112"/>
      <c r="BA19" s="112"/>
      <c r="BB19" s="112"/>
      <c r="BC19" s="112"/>
      <c r="BD19" s="112"/>
      <c r="BE19" s="112"/>
      <c r="BF19" s="112"/>
      <c r="BG19" s="112"/>
      <c r="BH19" s="112"/>
      <c r="BI19" s="112"/>
      <c r="BJ19" s="112"/>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row>
    <row r="20" spans="1:84">
      <c r="A20" s="112"/>
      <c r="B20" s="126" t="s">
        <v>245</v>
      </c>
      <c r="C20" s="119" t="s">
        <v>270</v>
      </c>
      <c r="D20" s="114"/>
      <c r="E20" s="134">
        <v>0.25</v>
      </c>
      <c r="F20" s="119" t="s">
        <v>271</v>
      </c>
      <c r="G20" s="114"/>
      <c r="H20" s="120"/>
      <c r="I20" s="119" t="s">
        <v>245</v>
      </c>
      <c r="J20" s="112"/>
      <c r="K20" s="135"/>
      <c r="L20" s="114"/>
      <c r="M20" s="114"/>
      <c r="N20" s="114"/>
      <c r="O20" s="114"/>
      <c r="P20" s="114"/>
      <c r="Q20" s="114"/>
      <c r="R20" s="114"/>
      <c r="S20" s="114"/>
      <c r="T20" s="114"/>
      <c r="U20" s="114"/>
      <c r="V20" s="122">
        <f>100*(+AD14/$E$9)</f>
        <v>182.77088294532123</v>
      </c>
      <c r="W20" s="129">
        <f>EXP(5.6922-(0.68367*LN(V20)))</f>
        <v>8.4273898433616985</v>
      </c>
      <c r="X20" s="123">
        <f>(+W20*V20)/100</f>
        <v>15.402814825956501</v>
      </c>
      <c r="Y20" s="122">
        <f>100*((((X20/100)-((X20/100)-0.03574)*$E$21)-0.03574-0.00619)/0.344)</f>
        <v>20.895400538172357</v>
      </c>
      <c r="Z20" s="114">
        <f>$E$20</f>
        <v>0.25</v>
      </c>
      <c r="AA20" s="122">
        <f>Y20+Z20</f>
        <v>21.145400538172357</v>
      </c>
      <c r="AB20" s="122">
        <f>100*($E$17*$E$19+($E$18*(AA20/100))/(1-$E$21))</f>
        <v>16.961283292411995</v>
      </c>
      <c r="AC20" s="123">
        <f>AB20/V20</f>
        <v>9.2800795285790827E-2</v>
      </c>
      <c r="AD20" s="121">
        <f>$E$8/(1-AC20)</f>
        <v>1153558.3145159483</v>
      </c>
      <c r="AE20" s="114" t="str">
        <f>IF(AD20=AD14,"yes","not yet")</f>
        <v>not yet</v>
      </c>
      <c r="AF20" s="122">
        <f>100*(1-AC20)</f>
        <v>90.71992047142092</v>
      </c>
      <c r="AG20" s="114"/>
      <c r="AH20" s="114"/>
      <c r="AI20" s="114">
        <v>1</v>
      </c>
      <c r="AJ20" s="122">
        <f>AF5</f>
        <v>91.058469129254419</v>
      </c>
      <c r="AK20" s="122">
        <f>AF11</f>
        <v>90.331769789038503</v>
      </c>
      <c r="AL20" s="122">
        <f>AF17</f>
        <v>90.378258577736787</v>
      </c>
      <c r="AM20" s="122">
        <f>AF23</f>
        <v>90.375279514702441</v>
      </c>
      <c r="AN20" s="122">
        <f>AF29</f>
        <v>90.375470396198381</v>
      </c>
      <c r="AO20" s="122">
        <f>AF35</f>
        <v>90.375458165507226</v>
      </c>
      <c r="AP20" s="122">
        <f>AF41</f>
        <v>90.375458678490233</v>
      </c>
      <c r="AQ20" s="122">
        <f>AF47</f>
        <v>90.375458678490233</v>
      </c>
      <c r="AR20" s="122">
        <f>AF53</f>
        <v>90.375458678490233</v>
      </c>
      <c r="AS20" s="112"/>
      <c r="AT20" s="112"/>
      <c r="AU20" s="112"/>
      <c r="AV20" s="112"/>
      <c r="AW20" s="112"/>
      <c r="AX20" s="112"/>
      <c r="AY20" s="112"/>
      <c r="AZ20" s="112"/>
      <c r="BA20" s="112"/>
      <c r="BB20" s="112"/>
      <c r="BC20" s="112"/>
      <c r="BD20" s="112"/>
      <c r="BE20" s="112"/>
      <c r="BF20" s="112"/>
      <c r="BG20" s="112"/>
      <c r="BH20" s="112"/>
      <c r="BI20" s="112"/>
      <c r="BJ20" s="112"/>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row>
    <row r="21" spans="1:84">
      <c r="A21" s="112"/>
      <c r="B21" s="126" t="s">
        <v>245</v>
      </c>
      <c r="C21" s="119" t="s">
        <v>272</v>
      </c>
      <c r="D21" s="114"/>
      <c r="E21" s="134">
        <v>0.34</v>
      </c>
      <c r="F21" s="119" t="s">
        <v>273</v>
      </c>
      <c r="G21" s="114"/>
      <c r="H21" s="133">
        <f>'Restating Expl'!B154</f>
        <v>6.8269382016241066E-3</v>
      </c>
      <c r="I21" s="119" t="s">
        <v>245</v>
      </c>
      <c r="J21" s="112"/>
      <c r="K21" s="136"/>
      <c r="L21" s="114"/>
      <c r="M21" s="114"/>
      <c r="N21" s="114"/>
      <c r="O21" s="114"/>
      <c r="P21" s="114"/>
      <c r="Q21" s="114"/>
      <c r="R21" s="114"/>
      <c r="S21" s="114"/>
      <c r="T21" s="114"/>
      <c r="U21" s="114"/>
      <c r="V21" s="114"/>
      <c r="W21" s="114"/>
      <c r="X21" s="114"/>
      <c r="Y21" s="114"/>
      <c r="Z21" s="114"/>
      <c r="AA21" s="122"/>
      <c r="AB21" s="114"/>
      <c r="AC21" s="114"/>
      <c r="AD21" s="114"/>
      <c r="AE21" s="114"/>
      <c r="AF21" s="114"/>
      <c r="AG21" s="114"/>
      <c r="AH21" s="114"/>
      <c r="AI21" s="114">
        <v>2</v>
      </c>
      <c r="AJ21" s="122">
        <f>AF6</f>
        <v>91.217109847370878</v>
      </c>
      <c r="AK21" s="122">
        <f>AF12</f>
        <v>90.495173492235338</v>
      </c>
      <c r="AL21" s="122">
        <f>AF18</f>
        <v>90.540380359887251</v>
      </c>
      <c r="AM21" s="122">
        <f>AF24</f>
        <v>90.537544742637508</v>
      </c>
      <c r="AN21" s="122">
        <f>AF30</f>
        <v>90.537722588800548</v>
      </c>
      <c r="AO21" s="122">
        <f>AF36</f>
        <v>90.537711434449861</v>
      </c>
      <c r="AP21" s="122">
        <f>AF42</f>
        <v>90.537712749403255</v>
      </c>
      <c r="AQ21" s="122">
        <f>AF48</f>
        <v>90.537712749403255</v>
      </c>
      <c r="AR21" s="122">
        <f>AF54</f>
        <v>90.537712749403255</v>
      </c>
      <c r="AS21" s="112"/>
      <c r="AT21" s="112"/>
      <c r="AU21" s="112"/>
      <c r="AV21" s="112"/>
      <c r="AW21" s="112"/>
      <c r="AX21" s="112"/>
      <c r="AY21" s="112"/>
      <c r="AZ21" s="112"/>
      <c r="BA21" s="112"/>
      <c r="BB21" s="112"/>
      <c r="BC21" s="112"/>
      <c r="BD21" s="112"/>
      <c r="BE21" s="112"/>
      <c r="BF21" s="112"/>
      <c r="BG21" s="112"/>
      <c r="BH21" s="112"/>
      <c r="BI21" s="112"/>
      <c r="BJ21" s="112"/>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row>
    <row r="22" spans="1:84">
      <c r="A22" s="112"/>
      <c r="B22" s="116"/>
      <c r="C22" s="114"/>
      <c r="D22" s="114"/>
      <c r="E22" s="114"/>
      <c r="F22" s="114"/>
      <c r="G22" s="114"/>
      <c r="H22" s="131"/>
      <c r="I22" s="131"/>
      <c r="J22" s="116"/>
      <c r="K22" s="114"/>
      <c r="L22" s="114"/>
      <c r="M22" s="114"/>
      <c r="N22" s="114"/>
      <c r="O22" s="114"/>
      <c r="P22" s="114"/>
      <c r="Q22" s="114"/>
      <c r="R22" s="114"/>
      <c r="S22" s="114"/>
      <c r="T22" s="114"/>
      <c r="U22" s="114"/>
      <c r="V22" s="119" t="s">
        <v>274</v>
      </c>
      <c r="W22" s="128" t="s">
        <v>227</v>
      </c>
      <c r="X22" s="128" t="s">
        <v>228</v>
      </c>
      <c r="Y22" s="128" t="s">
        <v>229</v>
      </c>
      <c r="Z22" s="114"/>
      <c r="AA22" s="122"/>
      <c r="AB22" s="114"/>
      <c r="AC22" s="114"/>
      <c r="AD22" s="114"/>
      <c r="AE22" s="114"/>
      <c r="AF22" s="114"/>
      <c r="AG22" s="114"/>
      <c r="AH22" s="114"/>
      <c r="AI22" s="114">
        <v>3</v>
      </c>
      <c r="AJ22" s="122">
        <f>AF7</f>
        <v>91.323972955931026</v>
      </c>
      <c r="AK22" s="122">
        <f>AF13</f>
        <v>90.605482094587146</v>
      </c>
      <c r="AL22" s="122">
        <f>AF19</f>
        <v>90.649818691011006</v>
      </c>
      <c r="AM22" s="122">
        <f>AF25</f>
        <v>90.647078121830887</v>
      </c>
      <c r="AN22" s="122">
        <f>AF31</f>
        <v>90.647247506298086</v>
      </c>
      <c r="AO22" s="122">
        <f>AF37</f>
        <v>90.647237037201307</v>
      </c>
      <c r="AP22" s="122">
        <f>AF43</f>
        <v>90.647236378211943</v>
      </c>
      <c r="AQ22" s="122">
        <f>AF49</f>
        <v>90.647236378211943</v>
      </c>
      <c r="AR22" s="122">
        <f>AF55</f>
        <v>90.647236378211943</v>
      </c>
      <c r="AS22" s="112"/>
      <c r="AT22" s="112"/>
      <c r="AU22" s="112"/>
      <c r="AV22" s="112"/>
      <c r="AW22" s="112"/>
      <c r="AX22" s="112"/>
      <c r="AY22" s="112"/>
      <c r="AZ22" s="112"/>
      <c r="BA22" s="112"/>
      <c r="BB22" s="112"/>
      <c r="BC22" s="112"/>
      <c r="BD22" s="112"/>
      <c r="BE22" s="112"/>
      <c r="BF22" s="112"/>
      <c r="BG22" s="112"/>
      <c r="BH22" s="112"/>
      <c r="BI22" s="112"/>
      <c r="BJ22" s="112"/>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row>
    <row r="23" spans="1:84">
      <c r="A23" s="112"/>
      <c r="B23" s="116"/>
      <c r="C23" s="114"/>
      <c r="D23" s="114"/>
      <c r="E23" s="114"/>
      <c r="F23" s="119" t="s">
        <v>275</v>
      </c>
      <c r="G23" s="114"/>
      <c r="H23" s="120">
        <f>SUM(H18:H21)</f>
        <v>2.6101938201624108E-2</v>
      </c>
      <c r="I23" s="120"/>
      <c r="J23" s="116"/>
      <c r="K23" s="137"/>
      <c r="L23" s="114"/>
      <c r="M23" s="114"/>
      <c r="N23" s="117"/>
      <c r="O23" s="114"/>
      <c r="P23" s="117"/>
      <c r="Q23" s="114"/>
      <c r="R23" s="114"/>
      <c r="S23" s="114"/>
      <c r="T23" s="114"/>
      <c r="U23" s="114"/>
      <c r="V23" s="122">
        <f>100*(+AD17/$E$9)</f>
        <v>183.3732913397985</v>
      </c>
      <c r="W23" s="129">
        <f>EXP(5.7226-(0.68367*LN(+V23)))</f>
        <v>8.6679944430795608</v>
      </c>
      <c r="X23" s="123">
        <f>(+W23*V23)/100</f>
        <v>15.894786703425828</v>
      </c>
      <c r="Y23" s="122">
        <f>100*((((X23/100)-((X23/100)-0.03574)*$E$21)-0.03574-0.00619)/0.344)</f>
        <v>21.839300070526303</v>
      </c>
      <c r="Z23" s="114">
        <f>$E$20</f>
        <v>0.25</v>
      </c>
      <c r="AA23" s="122">
        <f>Y23+Z23</f>
        <v>22.089300070526303</v>
      </c>
      <c r="AB23" s="122">
        <f>100*($E$17*$E$19+($E$18*(AA23/100))/(1-$E$21))</f>
        <v>17.649166736145954</v>
      </c>
      <c r="AC23" s="123">
        <f>AB23/V23</f>
        <v>9.6247204852975554E-2</v>
      </c>
      <c r="AD23" s="121">
        <f>$E$8/(1-AC23)</f>
        <v>1157957.3431361658</v>
      </c>
      <c r="AE23" s="114" t="str">
        <f>IF(AD23=AD17,"yes","not yet")</f>
        <v>not yet</v>
      </c>
      <c r="AF23" s="122">
        <f>100*(1-AC23)</f>
        <v>90.375279514702441</v>
      </c>
      <c r="AG23" s="114"/>
      <c r="AH23" s="114"/>
      <c r="AI23" s="114">
        <v>4</v>
      </c>
      <c r="AJ23" s="122">
        <f>AF8</f>
        <v>91.392329992027115</v>
      </c>
      <c r="AK23" s="122">
        <f>AF14</f>
        <v>90.676143124597317</v>
      </c>
      <c r="AL23" s="122">
        <f>AF20</f>
        <v>90.71992047142092</v>
      </c>
      <c r="AM23" s="122">
        <f>AF26</f>
        <v>90.717240010195695</v>
      </c>
      <c r="AN23" s="122">
        <f>AF32</f>
        <v>90.717404116197741</v>
      </c>
      <c r="AO23" s="122">
        <f>AF38</f>
        <v>90.717394069064412</v>
      </c>
      <c r="AP23" s="122">
        <f>AF44</f>
        <v>90.717392565127838</v>
      </c>
      <c r="AQ23" s="122">
        <f>AF50</f>
        <v>90.717392565127838</v>
      </c>
      <c r="AR23" s="122">
        <f>AF56</f>
        <v>90.717392565127838</v>
      </c>
      <c r="AS23" s="112"/>
      <c r="AT23" s="112"/>
      <c r="AU23" s="112"/>
      <c r="AV23" s="112"/>
      <c r="AW23" s="112"/>
      <c r="AX23" s="112"/>
      <c r="AY23" s="112"/>
      <c r="AZ23" s="112"/>
      <c r="BA23" s="112"/>
      <c r="BB23" s="112"/>
      <c r="BC23" s="112"/>
      <c r="BD23" s="112"/>
      <c r="BE23" s="112"/>
      <c r="BF23" s="112"/>
      <c r="BG23" s="112"/>
      <c r="BH23" s="112"/>
      <c r="BI23" s="112"/>
      <c r="BJ23" s="112"/>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row>
    <row r="24" spans="1:84">
      <c r="A24" s="112"/>
      <c r="B24" s="116"/>
      <c r="C24" s="114"/>
      <c r="D24" s="114"/>
      <c r="E24" s="114"/>
      <c r="F24" s="114"/>
      <c r="G24" s="114"/>
      <c r="H24" s="114"/>
      <c r="I24" s="114"/>
      <c r="J24" s="116"/>
      <c r="K24" s="114"/>
      <c r="L24" s="114"/>
      <c r="M24" s="114"/>
      <c r="N24" s="114"/>
      <c r="O24" s="114"/>
      <c r="P24" s="114"/>
      <c r="Q24" s="114"/>
      <c r="R24" s="114"/>
      <c r="S24" s="114"/>
      <c r="T24" s="114"/>
      <c r="U24" s="114"/>
      <c r="V24" s="122">
        <f>100*(+AD18/$E$9)</f>
        <v>183.04494276568562</v>
      </c>
      <c r="W24" s="129">
        <f>EXP(5.70827-(0.68367*LN(+V24)))</f>
        <v>8.5551438398870587</v>
      </c>
      <c r="X24" s="123">
        <f>(+W24*V24)/100</f>
        <v>15.659758145243345</v>
      </c>
      <c r="Y24" s="122">
        <f>100*((((X24/100)-((X24/100)-0.03574)*$E$21)-0.03574-0.00619)/0.344)</f>
        <v>21.388373185641303</v>
      </c>
      <c r="Z24" s="114">
        <f>$E$20</f>
        <v>0.25</v>
      </c>
      <c r="AA24" s="122">
        <f>Y24+Z24</f>
        <v>21.638373185641303</v>
      </c>
      <c r="AB24" s="122">
        <f>100*($E$17*$E$19+($E$18*(AA24/100))/(1-$E$21))</f>
        <v>17.32054581006777</v>
      </c>
      <c r="AC24" s="123">
        <f>AB24/V24</f>
        <v>9.4624552573624843E-2</v>
      </c>
      <c r="AD24" s="121">
        <f>$E$8/(1-AC24)</f>
        <v>1155882.0028697914</v>
      </c>
      <c r="AE24" s="114" t="str">
        <f>IF(AD24=AD18,"yes","not yet")</f>
        <v>not yet</v>
      </c>
      <c r="AF24" s="122">
        <f>100*(1-AC24)</f>
        <v>90.537544742637508</v>
      </c>
      <c r="AG24" s="114"/>
      <c r="AH24" s="114"/>
      <c r="AI24" s="114"/>
      <c r="AJ24" s="114"/>
      <c r="AK24" s="114"/>
      <c r="AL24" s="114"/>
      <c r="AM24" s="114"/>
      <c r="AN24" s="114"/>
      <c r="AO24" s="114"/>
      <c r="AP24" s="114"/>
      <c r="AQ24" s="114"/>
      <c r="AR24" s="114"/>
      <c r="AS24" s="112"/>
      <c r="AT24" s="112"/>
      <c r="AU24" s="112"/>
      <c r="AV24" s="112"/>
      <c r="AW24" s="112"/>
      <c r="AX24" s="112"/>
      <c r="AY24" s="112"/>
      <c r="AZ24" s="112"/>
      <c r="BA24" s="112"/>
      <c r="BB24" s="112"/>
      <c r="BC24" s="112"/>
      <c r="BD24" s="112"/>
      <c r="BE24" s="112"/>
      <c r="BF24" s="112"/>
      <c r="BG24" s="112"/>
      <c r="BH24" s="112"/>
      <c r="BI24" s="112"/>
      <c r="BJ24" s="112"/>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row>
    <row r="25" spans="1:84">
      <c r="A25" s="112"/>
      <c r="B25" s="116"/>
      <c r="C25" s="114"/>
      <c r="D25" s="114"/>
      <c r="E25" s="114"/>
      <c r="F25" s="119" t="s">
        <v>276</v>
      </c>
      <c r="G25" s="114"/>
      <c r="H25" s="123">
        <f>((+H15/100)-H23)</f>
        <v>0.88037042558049539</v>
      </c>
      <c r="I25" s="123"/>
      <c r="J25" s="116"/>
      <c r="K25" s="114"/>
      <c r="L25" s="117"/>
      <c r="M25" s="114"/>
      <c r="N25" s="114"/>
      <c r="O25" s="114"/>
      <c r="P25" s="114"/>
      <c r="Q25" s="114"/>
      <c r="R25" s="114"/>
      <c r="S25" s="114"/>
      <c r="T25" s="114"/>
      <c r="U25" s="114"/>
      <c r="V25" s="122">
        <f>100*(+AD19/$E$9)</f>
        <v>182.82395905776227</v>
      </c>
      <c r="W25" s="129">
        <f>EXP(5.6985-(0.68367*LN(V25)))</f>
        <v>8.4789666923804621</v>
      </c>
      <c r="X25" s="123">
        <f>(+W25*V25)/100</f>
        <v>15.501582594198956</v>
      </c>
      <c r="Y25" s="122">
        <f>100*((((X25/100)-((X25/100)-0.03574)*$E$21)-0.03574-0.00619)/0.344)</f>
        <v>21.084896837707298</v>
      </c>
      <c r="Z25" s="114">
        <f>$E$20</f>
        <v>0.25</v>
      </c>
      <c r="AA25" s="122">
        <f>Y25+Z25</f>
        <v>21.334896837707298</v>
      </c>
      <c r="AB25" s="122">
        <f>100*($E$17*$E$19+($E$18*(AA25/100))/(1-$E$21))</f>
        <v>17.099382065248403</v>
      </c>
      <c r="AC25" s="123">
        <f>AB25/V25</f>
        <v>9.3529218781691209E-2</v>
      </c>
      <c r="AD25" s="121">
        <f>$E$8/(1-AC25)</f>
        <v>1154485.2930767522</v>
      </c>
      <c r="AE25" s="114" t="str">
        <f>IF(AD25=AD19,"yes","not yet")</f>
        <v>not yet</v>
      </c>
      <c r="AF25" s="122">
        <f>100*(1-AC25)</f>
        <v>90.647078121830887</v>
      </c>
      <c r="AG25" s="114"/>
      <c r="AH25" s="114"/>
      <c r="AI25" s="114"/>
      <c r="AJ25" s="114" t="s">
        <v>277</v>
      </c>
      <c r="AK25" s="114"/>
      <c r="AL25" s="114"/>
      <c r="AM25" s="114"/>
      <c r="AN25" s="114"/>
      <c r="AO25" s="114"/>
      <c r="AP25" s="114"/>
      <c r="AQ25" s="114"/>
      <c r="AR25" s="114"/>
      <c r="AS25" s="112"/>
      <c r="AT25" s="112"/>
      <c r="AU25" s="112"/>
      <c r="AV25" s="112"/>
      <c r="AW25" s="112"/>
      <c r="AX25" s="112"/>
      <c r="AY25" s="112"/>
      <c r="AZ25" s="112"/>
      <c r="BA25" s="112"/>
      <c r="BB25" s="112"/>
      <c r="BC25" s="112"/>
      <c r="BD25" s="112"/>
      <c r="BE25" s="112"/>
      <c r="BF25" s="112"/>
      <c r="BG25" s="112"/>
      <c r="BH25" s="112"/>
      <c r="BI25" s="112"/>
      <c r="BJ25" s="112"/>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row>
    <row r="26" spans="1:84">
      <c r="A26" s="112"/>
      <c r="B26" s="116"/>
      <c r="C26" s="114"/>
      <c r="D26" s="114"/>
      <c r="E26" s="114"/>
      <c r="F26" s="114"/>
      <c r="G26" s="114"/>
      <c r="H26" s="114"/>
      <c r="I26" s="114"/>
      <c r="J26" s="116"/>
      <c r="K26" s="114"/>
      <c r="L26" s="114"/>
      <c r="M26" s="114"/>
      <c r="N26" s="114"/>
      <c r="O26" s="114"/>
      <c r="P26" s="114"/>
      <c r="Q26" s="114"/>
      <c r="R26" s="114"/>
      <c r="S26" s="114"/>
      <c r="T26" s="114"/>
      <c r="U26" s="114"/>
      <c r="V26" s="122">
        <f>100*(+AD20/$E$9)</f>
        <v>182.68268595076506</v>
      </c>
      <c r="W26" s="129">
        <f>EXP(5.6922-(0.68367*LN(V26)))</f>
        <v>8.4301712395064872</v>
      </c>
      <c r="X26" s="123">
        <f>(+W26*V26)/100</f>
        <v>15.400463250579355</v>
      </c>
      <c r="Y26" s="122">
        <f>100*((((X26/100)-((X26/100)-0.03574)*$E$21)-0.03574-0.00619)/0.344)</f>
        <v>20.890888794716201</v>
      </c>
      <c r="Z26" s="114">
        <f>$E$20</f>
        <v>0.25</v>
      </c>
      <c r="AA26" s="122">
        <f>Y26+Z26</f>
        <v>21.140888794716201</v>
      </c>
      <c r="AB26" s="122">
        <f>100*($E$17*$E$19+($E$18*(AA26/100))/(1-$E$21))</f>
        <v>16.95799527973746</v>
      </c>
      <c r="AC26" s="123">
        <f>AB26/V26</f>
        <v>9.2827599898042998E-2</v>
      </c>
      <c r="AD26" s="121">
        <f>$E$8/(1-AC26)</f>
        <v>1153592.3991985591</v>
      </c>
      <c r="AE26" s="114" t="str">
        <f>IF(AD26=AD20,"yes","not yet")</f>
        <v>not yet</v>
      </c>
      <c r="AF26" s="122">
        <f>100*(1-AC26)</f>
        <v>90.717240010195695</v>
      </c>
      <c r="AG26" s="114"/>
      <c r="AH26" s="114"/>
      <c r="AI26" s="114"/>
      <c r="AJ26" s="122">
        <f>HLOOKUP($AJ$25,$AJ$19:$AR$23,($E$12)+1)</f>
        <v>90.647236378211943</v>
      </c>
      <c r="AK26" s="114"/>
      <c r="AL26" s="114"/>
      <c r="AM26" s="114"/>
      <c r="AN26" s="114"/>
      <c r="AO26" s="114"/>
      <c r="AP26" s="114"/>
      <c r="AQ26" s="114"/>
      <c r="AR26" s="114"/>
      <c r="AS26" s="112"/>
      <c r="AT26" s="112"/>
      <c r="AU26" s="112"/>
      <c r="AV26" s="112"/>
      <c r="AW26" s="112"/>
      <c r="AX26" s="112"/>
      <c r="AY26" s="112"/>
      <c r="AZ26" s="112"/>
      <c r="BA26" s="112"/>
      <c r="BB26" s="112"/>
      <c r="BC26" s="112"/>
      <c r="BD26" s="112"/>
      <c r="BE26" s="112"/>
      <c r="BF26" s="112"/>
      <c r="BG26" s="112"/>
      <c r="BH26" s="112"/>
      <c r="BI26" s="112"/>
      <c r="BJ26" s="112"/>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row>
    <row r="27" spans="1:84" ht="15.75">
      <c r="A27" s="112"/>
      <c r="B27" s="116"/>
      <c r="C27" s="114"/>
      <c r="D27" s="114"/>
      <c r="E27" s="138"/>
      <c r="F27" s="139"/>
      <c r="G27" s="139"/>
      <c r="H27" s="114"/>
      <c r="I27" s="114"/>
      <c r="J27" s="116"/>
      <c r="K27" s="114"/>
      <c r="L27" s="114"/>
      <c r="M27" s="114"/>
      <c r="N27" s="114"/>
      <c r="O27" s="114"/>
      <c r="P27" s="114"/>
      <c r="Q27" s="114"/>
      <c r="R27" s="114"/>
      <c r="S27" s="114"/>
      <c r="T27" s="114"/>
      <c r="U27" s="114"/>
      <c r="V27" s="114"/>
      <c r="W27" s="114"/>
      <c r="X27" s="114"/>
      <c r="Y27" s="114"/>
      <c r="Z27" s="114"/>
      <c r="AA27" s="122"/>
      <c r="AB27" s="114"/>
      <c r="AC27" s="114"/>
      <c r="AD27" s="114"/>
      <c r="AE27" s="114"/>
      <c r="AF27" s="114"/>
      <c r="AG27" s="114"/>
      <c r="AH27" s="114"/>
      <c r="AI27" s="114"/>
      <c r="AJ27" s="114"/>
      <c r="AK27" s="114"/>
      <c r="AL27" s="114"/>
      <c r="AM27" s="114"/>
      <c r="AN27" s="114"/>
      <c r="AO27" s="114"/>
      <c r="AP27" s="114"/>
      <c r="AQ27" s="114"/>
      <c r="AR27" s="114"/>
      <c r="AS27" s="112"/>
      <c r="AT27" s="112"/>
      <c r="AU27" s="112"/>
      <c r="AV27" s="112"/>
      <c r="AW27" s="112"/>
      <c r="AX27" s="112"/>
      <c r="AY27" s="112"/>
      <c r="AZ27" s="112"/>
      <c r="BA27" s="112"/>
      <c r="BB27" s="112"/>
      <c r="BC27" s="112"/>
      <c r="BD27" s="112"/>
      <c r="BE27" s="112"/>
      <c r="BF27" s="112"/>
      <c r="BG27" s="112"/>
      <c r="BH27" s="112"/>
      <c r="BI27" s="112"/>
      <c r="BJ27" s="112"/>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row>
    <row r="28" spans="1:84" ht="15.75" thickBot="1">
      <c r="A28" s="112"/>
      <c r="B28" s="116"/>
      <c r="C28" s="154"/>
      <c r="D28" s="155"/>
      <c r="E28" s="156"/>
      <c r="F28" s="157"/>
      <c r="G28" s="158"/>
      <c r="H28" s="154"/>
      <c r="I28" s="154"/>
      <c r="J28" s="114"/>
      <c r="K28" s="114"/>
      <c r="L28" s="114"/>
      <c r="M28" s="114"/>
      <c r="N28" s="114"/>
      <c r="O28" s="114"/>
      <c r="P28" s="114"/>
      <c r="Q28" s="114"/>
      <c r="R28" s="114"/>
      <c r="S28" s="114"/>
      <c r="T28" s="114"/>
      <c r="U28" s="114"/>
      <c r="V28" s="119" t="s">
        <v>278</v>
      </c>
      <c r="W28" s="128" t="s">
        <v>227</v>
      </c>
      <c r="X28" s="128" t="s">
        <v>228</v>
      </c>
      <c r="Y28" s="128" t="s">
        <v>229</v>
      </c>
      <c r="Z28" s="114"/>
      <c r="AA28" s="122"/>
      <c r="AB28" s="114"/>
      <c r="AC28" s="114"/>
      <c r="AD28" s="114"/>
      <c r="AE28" s="114"/>
      <c r="AF28" s="114"/>
      <c r="AG28" s="114"/>
      <c r="AH28" s="114"/>
      <c r="AI28" s="114"/>
      <c r="AJ28" s="114" t="str">
        <f>HLOOKUP(1,$AJ$13:$AR$17,($E$12)+1)</f>
        <v>not yet</v>
      </c>
      <c r="AK28" s="114" t="str">
        <f>HLOOKUP(2,$AJ$13:$AR$17,($E$12)+1)</f>
        <v>not yet</v>
      </c>
      <c r="AL28" s="114" t="str">
        <f>HLOOKUP(3,$AJ$13:$AR$17,($E$12)+1)</f>
        <v>not yet</v>
      </c>
      <c r="AM28" s="114" t="str">
        <f>HLOOKUP(4,$AJ$13:$AR$17,($E$12)+1)</f>
        <v>not yet</v>
      </c>
      <c r="AN28" s="114" t="str">
        <f>HLOOKUP(5,$AJ$13:$AR$17,($E$12)+1)</f>
        <v>not yet</v>
      </c>
      <c r="AO28" s="114" t="str">
        <f>HLOOKUP(6,$AJ$13:$AR$17,($E$12)+1)</f>
        <v>not yet</v>
      </c>
      <c r="AP28" s="114" t="str">
        <f>HLOOKUP(7,$AJ$13:$AR$17,($E$12)+1)</f>
        <v>yes</v>
      </c>
      <c r="AQ28" s="114" t="str">
        <f>HLOOKUP(8,$AJ$13:$AR$17,($E$12)+1)</f>
        <v>yes</v>
      </c>
      <c r="AR28" s="114" t="str">
        <f>HLOOKUP(9,$AJ$13:$AR$17,($E$12)+1)</f>
        <v>yes</v>
      </c>
      <c r="AS28" s="112"/>
      <c r="AT28" s="112"/>
      <c r="AU28" s="112"/>
      <c r="AV28" s="112"/>
      <c r="AW28" s="112"/>
      <c r="AX28" s="112"/>
      <c r="AY28" s="112"/>
      <c r="AZ28" s="112"/>
      <c r="BA28" s="112"/>
      <c r="BB28" s="112"/>
      <c r="BC28" s="112"/>
      <c r="BD28" s="112"/>
      <c r="BE28" s="112"/>
      <c r="BF28" s="112"/>
      <c r="BG28" s="112"/>
      <c r="BH28" s="112"/>
      <c r="BI28" s="112"/>
      <c r="BJ28" s="112"/>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row>
    <row r="29" spans="1:84">
      <c r="A29" s="112"/>
      <c r="B29" s="114"/>
      <c r="C29" s="600" t="s">
        <v>1378</v>
      </c>
      <c r="D29" s="601"/>
      <c r="E29" s="602">
        <f>E5</f>
        <v>1159234.3223824017</v>
      </c>
      <c r="F29" s="140"/>
      <c r="G29" s="141"/>
      <c r="H29" s="114"/>
      <c r="I29" s="118"/>
      <c r="J29" s="114"/>
      <c r="K29" s="114"/>
      <c r="L29" s="114"/>
      <c r="M29" s="114"/>
      <c r="N29" s="114"/>
      <c r="O29" s="114"/>
      <c r="P29" s="114"/>
      <c r="Q29" s="114"/>
      <c r="R29" s="114"/>
      <c r="S29" s="114"/>
      <c r="T29" s="114"/>
      <c r="U29" s="114"/>
      <c r="V29" s="122">
        <f>100*(+AD23/$E$9)</f>
        <v>183.37933591965097</v>
      </c>
      <c r="W29" s="129">
        <f>EXP(5.7226-(0.68367*LN(+V29)))</f>
        <v>8.6677991066995297</v>
      </c>
      <c r="X29" s="123">
        <f>(+W29*V29)/100</f>
        <v>15.894952440715038</v>
      </c>
      <c r="Y29" s="122">
        <f>100*((((X29/100)-((X29/100)-0.03574)*$E$21)-0.03574-0.00619)/0.344)</f>
        <v>21.839618054860246</v>
      </c>
      <c r="Z29" s="114">
        <f>$E$20</f>
        <v>0.25</v>
      </c>
      <c r="AA29" s="122">
        <f>Y29+Z29</f>
        <v>22.089618054860246</v>
      </c>
      <c r="AB29" s="122">
        <f>100*($E$17*$E$19+($E$18*(AA29/100))/(1-$E$21))</f>
        <v>17.649398472841639</v>
      </c>
      <c r="AC29" s="123">
        <f>AB29/V29</f>
        <v>9.6245296038016279E-2</v>
      </c>
      <c r="AD29" s="121">
        <f>$E$8/(1-AC29)</f>
        <v>1157954.8974213172</v>
      </c>
      <c r="AE29" s="114" t="str">
        <f>IF(AD29=AD23,"yes","not yet")</f>
        <v>not yet</v>
      </c>
      <c r="AF29" s="122">
        <f>100*(1-AC29)</f>
        <v>90.375470396198381</v>
      </c>
      <c r="AG29" s="114"/>
      <c r="AH29" s="114"/>
      <c r="AI29" s="114">
        <v>1</v>
      </c>
      <c r="AJ29" s="122">
        <f>V5</f>
        <v>207.16198426198713</v>
      </c>
      <c r="AK29" s="122">
        <f>V11</f>
        <v>182.00348522699429</v>
      </c>
      <c r="AL29" s="122">
        <f>V17</f>
        <v>183.46766347724153</v>
      </c>
      <c r="AM29" s="122">
        <f>V23</f>
        <v>183.3732913397985</v>
      </c>
      <c r="AN29" s="122">
        <f>V29</f>
        <v>183.37933591965097</v>
      </c>
      <c r="AO29" s="122">
        <f>V35</f>
        <v>183.37894860524131</v>
      </c>
      <c r="AP29" s="122">
        <f>V41</f>
        <v>183.37896485006314</v>
      </c>
      <c r="AQ29" s="122">
        <f>V47</f>
        <v>183.37896485006314</v>
      </c>
      <c r="AR29" s="122">
        <f>V53</f>
        <v>183.37896485006314</v>
      </c>
      <c r="AS29" s="112"/>
      <c r="AT29" s="112"/>
      <c r="AU29" s="112"/>
      <c r="AV29" s="112"/>
      <c r="AW29" s="112"/>
      <c r="AX29" s="112"/>
      <c r="AY29" s="112"/>
      <c r="AZ29" s="112"/>
      <c r="BA29" s="112"/>
      <c r="BB29" s="112"/>
      <c r="BC29" s="112"/>
      <c r="BD29" s="112"/>
      <c r="BE29" s="112"/>
      <c r="BF29" s="112"/>
      <c r="BG29" s="112"/>
      <c r="BH29" s="112"/>
      <c r="BI29" s="112"/>
      <c r="BJ29" s="112"/>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row>
    <row r="30" spans="1:84">
      <c r="A30" s="112"/>
      <c r="B30" s="114"/>
      <c r="C30" s="603" t="s">
        <v>1379</v>
      </c>
      <c r="D30" s="604"/>
      <c r="E30" s="605">
        <f>-'Consolidated IS'!I11</f>
        <v>-97052.422102189797</v>
      </c>
      <c r="F30" s="140"/>
      <c r="G30" s="141"/>
      <c r="H30" s="114"/>
      <c r="I30" s="118"/>
      <c r="J30" s="114"/>
      <c r="K30" s="114"/>
      <c r="L30" s="114"/>
      <c r="M30" s="114"/>
      <c r="N30" s="114"/>
      <c r="O30" s="114"/>
      <c r="P30" s="114"/>
      <c r="Q30" s="114"/>
      <c r="R30" s="114"/>
      <c r="S30" s="114"/>
      <c r="T30" s="114"/>
      <c r="U30" s="114"/>
      <c r="V30" s="122">
        <f>100*(+AD24/$E$9)</f>
        <v>183.05067569558406</v>
      </c>
      <c r="W30" s="129">
        <f>EXP(5.70827-(0.68367*LN(+V30)))</f>
        <v>8.5549606585244344</v>
      </c>
      <c r="X30" s="123">
        <f>(+W30*V30)/100</f>
        <v>15.659913290920365</v>
      </c>
      <c r="Y30" s="122">
        <f>100*((((X30/100)-((X30/100)-0.03574)*$E$21)-0.03574-0.00619)/0.344)</f>
        <v>21.38867084885884</v>
      </c>
      <c r="Z30" s="114">
        <f>$E$20</f>
        <v>0.25</v>
      </c>
      <c r="AA30" s="122">
        <f>Y30+Z30</f>
        <v>21.63867084885884</v>
      </c>
      <c r="AB30" s="122">
        <f>100*($E$17*$E$19+($E$18*(AA30/100))/(1-$E$21))</f>
        <v>17.32076273739121</v>
      </c>
      <c r="AC30" s="123">
        <f>AB30/V30</f>
        <v>9.462277411199449E-2</v>
      </c>
      <c r="AD30" s="121">
        <f>$E$8/(1-AC30)</f>
        <v>1155879.7323335633</v>
      </c>
      <c r="AE30" s="114" t="str">
        <f>IF(AD30=AD24,"yes","not yet")</f>
        <v>not yet</v>
      </c>
      <c r="AF30" s="122">
        <f>100*(1-AC30)</f>
        <v>90.537722588800548</v>
      </c>
      <c r="AG30" s="114"/>
      <c r="AH30" s="114"/>
      <c r="AI30" s="114">
        <v>2</v>
      </c>
      <c r="AJ30" s="122">
        <f>V6</f>
        <v>207.16198426198713</v>
      </c>
      <c r="AK30" s="122">
        <f>V12</f>
        <v>181.68695290488469</v>
      </c>
      <c r="AL30" s="122">
        <f>V18</f>
        <v>183.13638287439676</v>
      </c>
      <c r="AM30" s="122">
        <f>V24</f>
        <v>183.04494276568562</v>
      </c>
      <c r="AN30" s="122">
        <f>V30</f>
        <v>183.05067569558406</v>
      </c>
      <c r="AO30" s="122">
        <f>V36</f>
        <v>183.0503161232491</v>
      </c>
      <c r="AP30" s="122">
        <f>V42</f>
        <v>183.05035851211056</v>
      </c>
      <c r="AQ30" s="122">
        <f>V48</f>
        <v>183.05035851211056</v>
      </c>
      <c r="AR30" s="122">
        <f>V54</f>
        <v>183.05035851211056</v>
      </c>
      <c r="AS30" s="112"/>
      <c r="AT30" s="112"/>
      <c r="AU30" s="112"/>
      <c r="AV30" s="112"/>
      <c r="AW30" s="112"/>
      <c r="AX30" s="112"/>
      <c r="AY30" s="112"/>
      <c r="AZ30" s="112"/>
      <c r="BA30" s="112"/>
      <c r="BB30" s="112"/>
      <c r="BC30" s="112"/>
      <c r="BD30" s="112"/>
      <c r="BE30" s="112"/>
      <c r="BF30" s="112"/>
      <c r="BG30" s="112"/>
      <c r="BH30" s="112"/>
      <c r="BI30" s="112"/>
      <c r="BJ30" s="112"/>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row>
    <row r="31" spans="1:84">
      <c r="A31" s="112"/>
      <c r="B31" s="114"/>
      <c r="C31" s="603"/>
      <c r="D31" s="606"/>
      <c r="E31" s="607">
        <f>SUM(E29:E30)</f>
        <v>1062181.9002802118</v>
      </c>
      <c r="F31" s="143"/>
      <c r="G31" s="142"/>
      <c r="H31" s="144"/>
      <c r="I31" s="142"/>
      <c r="J31" s="114"/>
      <c r="K31" s="114"/>
      <c r="L31" s="114"/>
      <c r="M31" s="114"/>
      <c r="N31" s="114"/>
      <c r="O31" s="114"/>
      <c r="P31" s="114"/>
      <c r="Q31" s="114"/>
      <c r="R31" s="114"/>
      <c r="S31" s="114"/>
      <c r="T31" s="114"/>
      <c r="U31" s="114"/>
      <c r="V31" s="122">
        <f>100*(+AD25/$E$9)</f>
        <v>182.82948644725968</v>
      </c>
      <c r="W31" s="129">
        <f>EXP(5.6985-(0.68367*LN(V31)))</f>
        <v>8.478791439421741</v>
      </c>
      <c r="X31" s="123">
        <f>(+W31*V31)/100</f>
        <v>15.501730845628986</v>
      </c>
      <c r="Y31" s="122">
        <f>100*((((X31/100)-((X31/100)-0.03574)*$E$21)-0.03574-0.00619)/0.344)</f>
        <v>21.085181273590496</v>
      </c>
      <c r="Z31" s="114">
        <f>$E$20</f>
        <v>0.25</v>
      </c>
      <c r="AA31" s="122">
        <f>Y31+Z31</f>
        <v>21.335181273590496</v>
      </c>
      <c r="AB31" s="122">
        <f>100*($E$17*$E$19+($E$18*(AA31/100))/(1-$E$21))</f>
        <v>17.099589352918485</v>
      </c>
      <c r="AC31" s="123">
        <f>AB31/V31</f>
        <v>9.3527524937019157E-2</v>
      </c>
      <c r="AD31" s="121">
        <f>$E$8/(1-AC31)</f>
        <v>1154483.1357925362</v>
      </c>
      <c r="AE31" s="114" t="str">
        <f>IF(AD31=AD25,"yes","not yet")</f>
        <v>not yet</v>
      </c>
      <c r="AF31" s="122">
        <f>100*(1-AC31)</f>
        <v>90.647247506298086</v>
      </c>
      <c r="AG31" s="114"/>
      <c r="AH31" s="114"/>
      <c r="AI31" s="114">
        <v>3</v>
      </c>
      <c r="AJ31" s="122">
        <f>V7</f>
        <v>207.16198426198713</v>
      </c>
      <c r="AK31" s="122">
        <f>V13</f>
        <v>181.47435119753666</v>
      </c>
      <c r="AL31" s="122">
        <f>V19</f>
        <v>182.91342154835303</v>
      </c>
      <c r="AM31" s="122">
        <f>V25</f>
        <v>182.82395905776227</v>
      </c>
      <c r="AN31" s="122">
        <f>V31</f>
        <v>182.82948644725968</v>
      </c>
      <c r="AO31" s="122">
        <f>V37</f>
        <v>182.829144810023</v>
      </c>
      <c r="AP31" s="122">
        <f>V43</f>
        <v>182.82912330530584</v>
      </c>
      <c r="AQ31" s="122">
        <f>V49</f>
        <v>182.82912330530584</v>
      </c>
      <c r="AR31" s="122">
        <f>V55</f>
        <v>182.82912330530584</v>
      </c>
      <c r="AS31" s="112"/>
      <c r="AT31" s="112"/>
      <c r="AU31" s="112"/>
      <c r="AV31" s="112"/>
      <c r="AW31" s="112"/>
      <c r="AX31" s="112"/>
      <c r="AY31" s="112"/>
      <c r="AZ31" s="112"/>
      <c r="BA31" s="112"/>
      <c r="BB31" s="112"/>
      <c r="BC31" s="112"/>
      <c r="BD31" s="112"/>
      <c r="BE31" s="112"/>
      <c r="BF31" s="112"/>
      <c r="BG31" s="112"/>
      <c r="BH31" s="112"/>
      <c r="BI31" s="112"/>
      <c r="BJ31" s="112"/>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row>
    <row r="32" spans="1:84">
      <c r="A32" s="112"/>
      <c r="B32" s="114"/>
      <c r="C32" s="603"/>
      <c r="D32" s="608"/>
      <c r="E32" s="609"/>
      <c r="F32" s="143"/>
      <c r="G32" s="121"/>
      <c r="H32" s="114"/>
      <c r="I32" s="114"/>
      <c r="J32" s="114"/>
      <c r="K32" s="114"/>
      <c r="L32" s="114"/>
      <c r="M32" s="114"/>
      <c r="N32" s="114"/>
      <c r="O32" s="114"/>
      <c r="P32" s="114"/>
      <c r="Q32" s="114"/>
      <c r="R32" s="114"/>
      <c r="S32" s="114"/>
      <c r="T32" s="114"/>
      <c r="U32" s="114"/>
      <c r="V32" s="122">
        <f>100*(+AD26/$E$9)</f>
        <v>182.68808375449183</v>
      </c>
      <c r="W32" s="129">
        <f>EXP(5.6922-(0.68367*LN(V32)))</f>
        <v>8.4300009484587655</v>
      </c>
      <c r="X32" s="123">
        <f>(+W32*V32)/100</f>
        <v>15.400607193224806</v>
      </c>
      <c r="Y32" s="122">
        <f>100*((((X32/100)-((X32/100)-0.03574)*$E$21)-0.03574-0.00619)/0.344)</f>
        <v>20.891164963745261</v>
      </c>
      <c r="Z32" s="114">
        <f>$E$20</f>
        <v>0.25</v>
      </c>
      <c r="AA32" s="122">
        <f>Y32+Z32</f>
        <v>21.141164963745261</v>
      </c>
      <c r="AB32" s="122">
        <f>100*($E$17*$E$19+($E$18*(AA32/100))/(1-$E$21))</f>
        <v>16.958196542791686</v>
      </c>
      <c r="AC32" s="123">
        <f>AB32/V32</f>
        <v>9.282595883802261E-2</v>
      </c>
      <c r="AD32" s="121">
        <f>$E$8/(1-AC32)</f>
        <v>1153590.3123725697</v>
      </c>
      <c r="AE32" s="114" t="str">
        <f>IF(AD32=AD26,"yes","not yet")</f>
        <v>not yet</v>
      </c>
      <c r="AF32" s="122">
        <f>100*(1-AC32)</f>
        <v>90.717404116197741</v>
      </c>
      <c r="AG32" s="114"/>
      <c r="AH32" s="114"/>
      <c r="AI32" s="114">
        <v>4</v>
      </c>
      <c r="AJ32" s="122">
        <f>V8</f>
        <v>207.16198426198713</v>
      </c>
      <c r="AK32" s="122">
        <f>V14</f>
        <v>181.33861717284987</v>
      </c>
      <c r="AL32" s="122">
        <f>V20</f>
        <v>182.77088294532123</v>
      </c>
      <c r="AM32" s="122">
        <f>V26</f>
        <v>182.68268595076506</v>
      </c>
      <c r="AN32" s="122">
        <f>V32</f>
        <v>182.68808375449183</v>
      </c>
      <c r="AO32" s="122">
        <f>V38</f>
        <v>182.68775327533697</v>
      </c>
      <c r="AP32" s="122">
        <f>V44</f>
        <v>182.68770380661107</v>
      </c>
      <c r="AQ32" s="122">
        <f>V50</f>
        <v>182.68770380661107</v>
      </c>
      <c r="AR32" s="122">
        <f>V56</f>
        <v>182.68770380661107</v>
      </c>
      <c r="AS32" s="112"/>
      <c r="AT32" s="112"/>
      <c r="AU32" s="112"/>
      <c r="AV32" s="112"/>
      <c r="AW32" s="112"/>
      <c r="AX32" s="112"/>
      <c r="AY32" s="112"/>
      <c r="AZ32" s="112"/>
      <c r="BA32" s="112"/>
      <c r="BB32" s="112"/>
      <c r="BC32" s="112"/>
      <c r="BD32" s="112"/>
      <c r="BE32" s="112"/>
      <c r="BF32" s="112"/>
      <c r="BG32" s="112"/>
      <c r="BH32" s="112"/>
      <c r="BI32" s="112"/>
      <c r="BJ32" s="112"/>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row>
    <row r="33" spans="1:84">
      <c r="A33" s="112"/>
      <c r="B33" s="114"/>
      <c r="C33" s="603" t="s">
        <v>19</v>
      </c>
      <c r="D33" s="606"/>
      <c r="E33" s="610">
        <f>E7</f>
        <v>994239.26210218971</v>
      </c>
      <c r="F33" s="143"/>
      <c r="G33" s="120"/>
      <c r="H33" s="114"/>
      <c r="I33" s="120"/>
      <c r="J33" s="114"/>
      <c r="K33" s="114"/>
      <c r="L33" s="114"/>
      <c r="M33" s="114"/>
      <c r="N33" s="114"/>
      <c r="O33" s="114"/>
      <c r="P33" s="114"/>
      <c r="Q33" s="114"/>
      <c r="R33" s="114"/>
      <c r="S33" s="114"/>
      <c r="T33" s="114"/>
      <c r="U33" s="114"/>
      <c r="V33" s="114"/>
      <c r="W33" s="114"/>
      <c r="X33" s="114"/>
      <c r="Y33" s="114"/>
      <c r="Z33" s="114"/>
      <c r="AA33" s="122"/>
      <c r="AB33" s="114"/>
      <c r="AC33" s="114"/>
      <c r="AD33" s="114"/>
      <c r="AE33" s="114"/>
      <c r="AF33" s="114"/>
      <c r="AG33" s="114"/>
      <c r="AH33" s="114"/>
      <c r="AI33" s="114"/>
      <c r="AJ33" s="114"/>
      <c r="AK33" s="114"/>
      <c r="AL33" s="114"/>
      <c r="AM33" s="114"/>
      <c r="AN33" s="114"/>
      <c r="AO33" s="114"/>
      <c r="AP33" s="114"/>
      <c r="AQ33" s="114"/>
      <c r="AR33" s="114"/>
      <c r="AS33" s="112"/>
      <c r="AT33" s="112"/>
      <c r="AU33" s="112"/>
      <c r="AV33" s="112"/>
      <c r="AW33" s="112"/>
      <c r="AX33" s="112"/>
      <c r="AY33" s="112"/>
      <c r="AZ33" s="112"/>
      <c r="BA33" s="112"/>
      <c r="BB33" s="112"/>
      <c r="BC33" s="112"/>
      <c r="BD33" s="112"/>
      <c r="BE33" s="112"/>
      <c r="BF33" s="112"/>
      <c r="BG33" s="112"/>
      <c r="BH33" s="112"/>
      <c r="BI33" s="112"/>
      <c r="BJ33" s="112"/>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row>
    <row r="34" spans="1:84">
      <c r="A34" s="112"/>
      <c r="B34" s="114"/>
      <c r="C34" s="603" t="s">
        <v>1379</v>
      </c>
      <c r="D34" s="606"/>
      <c r="E34" s="605">
        <f>E30</f>
        <v>-97052.422102189797</v>
      </c>
      <c r="F34" s="143"/>
      <c r="G34" s="114"/>
      <c r="H34" s="114"/>
      <c r="I34" s="114"/>
      <c r="J34" s="114"/>
      <c r="K34" s="114"/>
      <c r="L34" s="114"/>
      <c r="M34" s="114"/>
      <c r="N34" s="114"/>
      <c r="O34" s="114"/>
      <c r="P34" s="114"/>
      <c r="Q34" s="114"/>
      <c r="R34" s="114"/>
      <c r="S34" s="114"/>
      <c r="T34" s="114"/>
      <c r="U34" s="114"/>
      <c r="V34" s="119" t="s">
        <v>279</v>
      </c>
      <c r="W34" s="128" t="s">
        <v>227</v>
      </c>
      <c r="X34" s="128" t="s">
        <v>228</v>
      </c>
      <c r="Y34" s="128" t="s">
        <v>229</v>
      </c>
      <c r="Z34" s="114"/>
      <c r="AA34" s="122"/>
      <c r="AB34" s="114"/>
      <c r="AC34" s="114"/>
      <c r="AD34" s="114"/>
      <c r="AE34" s="114"/>
      <c r="AF34" s="114"/>
      <c r="AG34" s="114"/>
      <c r="AH34" s="114"/>
      <c r="AI34" s="114"/>
      <c r="AJ34" s="114" t="s">
        <v>277</v>
      </c>
      <c r="AK34" s="114"/>
      <c r="AL34" s="114"/>
      <c r="AM34" s="114"/>
      <c r="AN34" s="114"/>
      <c r="AO34" s="114"/>
      <c r="AP34" s="114"/>
      <c r="AQ34" s="114"/>
      <c r="AR34" s="114"/>
      <c r="AS34" s="112"/>
      <c r="AT34" s="112"/>
      <c r="AU34" s="112"/>
      <c r="AV34" s="112"/>
      <c r="AW34" s="112"/>
      <c r="AX34" s="112"/>
      <c r="AY34" s="112"/>
      <c r="AZ34" s="112"/>
      <c r="BA34" s="112"/>
      <c r="BB34" s="112"/>
      <c r="BC34" s="112"/>
      <c r="BD34" s="112"/>
      <c r="BE34" s="112"/>
      <c r="BF34" s="112"/>
      <c r="BG34" s="112"/>
      <c r="BH34" s="112"/>
      <c r="BI34" s="112"/>
      <c r="BJ34" s="112"/>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row>
    <row r="35" spans="1:84">
      <c r="A35" s="112"/>
      <c r="B35" s="114"/>
      <c r="C35" s="603"/>
      <c r="D35" s="606"/>
      <c r="E35" s="611">
        <f>E33+E34</f>
        <v>897186.83999999985</v>
      </c>
      <c r="F35" s="143"/>
      <c r="G35" s="143"/>
      <c r="H35" s="114"/>
      <c r="I35" s="114"/>
      <c r="J35" s="114"/>
      <c r="K35" s="114"/>
      <c r="L35" s="114"/>
      <c r="M35" s="114"/>
      <c r="N35" s="114"/>
      <c r="O35" s="114"/>
      <c r="P35" s="114"/>
      <c r="Q35" s="114"/>
      <c r="R35" s="114"/>
      <c r="S35" s="114"/>
      <c r="T35" s="114"/>
      <c r="U35" s="114"/>
      <c r="V35" s="122">
        <f>100*(+AD29/$E$9)</f>
        <v>183.37894860524131</v>
      </c>
      <c r="W35" s="129">
        <f>EXP(5.7226-(0.68367*LN(+V35)))</f>
        <v>8.6678116228101096</v>
      </c>
      <c r="X35" s="123">
        <f>(+W35*V35)/100</f>
        <v>15.894941820992083</v>
      </c>
      <c r="Y35" s="122">
        <f>100*((((X35/100)-((X35/100)-0.03574)*$E$21)-0.03574-0.00619)/0.344)</f>
        <v>21.839597679810392</v>
      </c>
      <c r="Z35" s="114">
        <f>$E$20</f>
        <v>0.25</v>
      </c>
      <c r="AA35" s="122">
        <f>Y35+Z35</f>
        <v>22.089597679810392</v>
      </c>
      <c r="AB35" s="122">
        <f>100*($E$17*$E$19+($E$18*(AA35/100))/(1-$E$21))</f>
        <v>17.649383624164443</v>
      </c>
      <c r="AC35" s="123">
        <f>AB35/V35</f>
        <v>9.6245418344927683E-2</v>
      </c>
      <c r="AD35" s="121">
        <f>ROUND($E$8/(1-AC35),0)</f>
        <v>1157955</v>
      </c>
      <c r="AE35" s="114" t="str">
        <f>IF(AD35=AD29,"yes","not yet")</f>
        <v>not yet</v>
      </c>
      <c r="AF35" s="122">
        <f>100*(1-AC35)</f>
        <v>90.375458165507226</v>
      </c>
      <c r="AG35" s="114"/>
      <c r="AH35" s="114"/>
      <c r="AI35" s="114"/>
      <c r="AJ35" s="122">
        <f>HLOOKUP($AJ$34,$AJ$28:$AR$32,($E$12)+1)</f>
        <v>182.82912330530584</v>
      </c>
      <c r="AK35" s="114"/>
      <c r="AL35" s="114"/>
      <c r="AM35" s="114"/>
      <c r="AN35" s="114"/>
      <c r="AO35" s="114"/>
      <c r="AP35" s="114"/>
      <c r="AQ35" s="114"/>
      <c r="AR35" s="114"/>
      <c r="AS35" s="112"/>
      <c r="AT35" s="112"/>
      <c r="AU35" s="112"/>
      <c r="AV35" s="112"/>
      <c r="AW35" s="112"/>
      <c r="AX35" s="112"/>
      <c r="AY35" s="112"/>
      <c r="AZ35" s="112"/>
      <c r="BA35" s="112"/>
      <c r="BB35" s="112"/>
      <c r="BC35" s="112"/>
      <c r="BD35" s="112"/>
      <c r="BE35" s="112"/>
      <c r="BF35" s="112"/>
      <c r="BG35" s="112"/>
      <c r="BH35" s="112"/>
      <c r="BI35" s="112"/>
      <c r="BJ35" s="112"/>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row>
    <row r="36" spans="1:84" ht="15.75">
      <c r="A36" s="112"/>
      <c r="B36" s="114"/>
      <c r="C36" s="603"/>
      <c r="D36" s="606"/>
      <c r="E36" s="612"/>
      <c r="F36" s="114"/>
      <c r="G36" s="114"/>
      <c r="H36" s="114"/>
      <c r="I36" s="114"/>
      <c r="J36" s="114"/>
      <c r="K36" s="114"/>
      <c r="L36" s="114"/>
      <c r="M36" s="114"/>
      <c r="N36" s="114"/>
      <c r="O36" s="114"/>
      <c r="P36" s="114"/>
      <c r="Q36" s="114"/>
      <c r="R36" s="114"/>
      <c r="S36" s="114"/>
      <c r="T36" s="114"/>
      <c r="U36" s="114"/>
      <c r="V36" s="122">
        <f>100*(+AD30/$E$9)</f>
        <v>183.0503161232491</v>
      </c>
      <c r="W36" s="129">
        <f>EXP(5.70827-(0.68367*LN(+V36)))</f>
        <v>8.5549721474705365</v>
      </c>
      <c r="X36" s="123">
        <f>(+W36*V36)/100</f>
        <v>15.65990356020073</v>
      </c>
      <c r="Y36" s="122">
        <f>100*((((X36/100)-((X36/100)-0.03574)*$E$21)-0.03574-0.00619)/0.344)</f>
        <v>21.388652179454891</v>
      </c>
      <c r="Z36" s="114">
        <f>$E$20</f>
        <v>0.25</v>
      </c>
      <c r="AA36" s="122">
        <f>Y36+Z36</f>
        <v>21.638652179454891</v>
      </c>
      <c r="AB36" s="122">
        <f>100*($E$17*$E$19+($E$18*(AA36/100))/(1-$E$21))</f>
        <v>17.320749131733574</v>
      </c>
      <c r="AC36" s="123">
        <f>AB36/V36</f>
        <v>9.4622885655501351E-2</v>
      </c>
      <c r="AD36" s="121">
        <f>ROUND($E$8/(1-AC36),0)</f>
        <v>1155880</v>
      </c>
      <c r="AE36" s="114" t="str">
        <f>IF(AD36=AD30,"yes","not yet")</f>
        <v>not yet</v>
      </c>
      <c r="AF36" s="122">
        <f>100*(1-AC36)</f>
        <v>90.537711434449861</v>
      </c>
      <c r="AG36" s="114"/>
      <c r="AH36" s="114"/>
      <c r="AI36" s="114"/>
      <c r="AJ36" s="114"/>
      <c r="AK36" s="114"/>
      <c r="AL36" s="114"/>
      <c r="AM36" s="114"/>
      <c r="AN36" s="114"/>
      <c r="AO36" s="114"/>
      <c r="AP36" s="114"/>
      <c r="AQ36" s="114"/>
      <c r="AR36" s="114"/>
      <c r="AS36" s="112"/>
      <c r="AT36" s="112"/>
      <c r="AU36" s="112"/>
      <c r="AV36" s="112"/>
      <c r="AW36" s="112"/>
      <c r="AX36" s="112"/>
      <c r="AY36" s="112"/>
      <c r="AZ36" s="112"/>
      <c r="BA36" s="112"/>
      <c r="BB36" s="112"/>
      <c r="BC36" s="112"/>
      <c r="BD36" s="112"/>
      <c r="BE36" s="112"/>
      <c r="BF36" s="112"/>
      <c r="BG36" s="112"/>
      <c r="BH36" s="112"/>
      <c r="BI36" s="112"/>
      <c r="BJ36" s="112"/>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row>
    <row r="37" spans="1:84">
      <c r="A37" s="112"/>
      <c r="B37" s="114"/>
      <c r="C37" s="603" t="s">
        <v>241</v>
      </c>
      <c r="D37" s="606"/>
      <c r="E37" s="613">
        <f>E6</f>
        <v>164995.06028021191</v>
      </c>
      <c r="F37" s="114"/>
      <c r="G37" s="143"/>
      <c r="H37" s="114"/>
      <c r="I37" s="114"/>
      <c r="J37" s="114"/>
      <c r="K37" s="114"/>
      <c r="L37" s="114"/>
      <c r="M37" s="114"/>
      <c r="N37" s="114"/>
      <c r="O37" s="114"/>
      <c r="P37" s="114"/>
      <c r="Q37" s="114"/>
      <c r="R37" s="114"/>
      <c r="S37" s="114"/>
      <c r="T37" s="114"/>
      <c r="U37" s="114"/>
      <c r="V37" s="122">
        <f>100*(+AD31/$E$9)</f>
        <v>182.829144810023</v>
      </c>
      <c r="W37" s="129">
        <f>EXP(5.6985-(0.68367*LN(V37)))</f>
        <v>8.4788022712089663</v>
      </c>
      <c r="X37" s="123">
        <f>(+W37*V37)/100</f>
        <v>15.50172168258416</v>
      </c>
      <c r="Y37" s="122">
        <f>100*((((X37/100)-((X37/100)-0.03574)*$E$21)-0.03574-0.00619)/0.344)</f>
        <v>21.085163693330074</v>
      </c>
      <c r="Z37" s="114">
        <f>$E$20</f>
        <v>0.25</v>
      </c>
      <c r="AA37" s="122">
        <f>Y37+Z37</f>
        <v>21.335163693330074</v>
      </c>
      <c r="AB37" s="122">
        <f>100*($E$17*$E$19+($E$18*(AA37/100))/(1-$E$21))</f>
        <v>17.099576540993418</v>
      </c>
      <c r="AC37" s="123">
        <f>AB37/V37</f>
        <v>9.3527629627986927E-2</v>
      </c>
      <c r="AD37" s="121">
        <f>ROUND($E$8/(1-AC37),0)</f>
        <v>1154483</v>
      </c>
      <c r="AE37" s="114" t="str">
        <f>IF(AD37=AD31,"yes","not yet")</f>
        <v>not yet</v>
      </c>
      <c r="AF37" s="122">
        <f>100*(1-AC37)</f>
        <v>90.647237037201307</v>
      </c>
      <c r="AG37" s="114"/>
      <c r="AH37" s="114"/>
      <c r="AI37" s="114"/>
      <c r="AJ37" s="114" t="str">
        <f>HLOOKUP(1,$AJ$13:$AR$17,($E$12)+1)</f>
        <v>not yet</v>
      </c>
      <c r="AK37" s="114" t="str">
        <f>HLOOKUP(2,$AJ$13:$AR$17,($E$12)+1)</f>
        <v>not yet</v>
      </c>
      <c r="AL37" s="114" t="str">
        <f>HLOOKUP(3,$AJ$13:$AR$17,($E$12)+1)</f>
        <v>not yet</v>
      </c>
      <c r="AM37" s="114" t="str">
        <f>HLOOKUP(4,$AJ$13:$AR$17,($E$12)+1)</f>
        <v>not yet</v>
      </c>
      <c r="AN37" s="114" t="str">
        <f>HLOOKUP(5,$AJ$13:$AR$17,($E$12)+1)</f>
        <v>not yet</v>
      </c>
      <c r="AO37" s="114" t="str">
        <f>HLOOKUP(6,$AJ$13:$AR$17,($E$12)+1)</f>
        <v>not yet</v>
      </c>
      <c r="AP37" s="114" t="str">
        <f>HLOOKUP(7,$AJ$13:$AR$17,($E$12)+1)</f>
        <v>yes</v>
      </c>
      <c r="AQ37" s="114" t="str">
        <f>HLOOKUP(8,$AJ$13:$AR$17,($E$12)+1)</f>
        <v>yes</v>
      </c>
      <c r="AR37" s="114" t="str">
        <f>HLOOKUP(9,$AJ$13:$AR$17,($E$12)+1)</f>
        <v>yes</v>
      </c>
      <c r="AS37" s="112"/>
      <c r="AT37" s="112"/>
      <c r="AU37" s="112"/>
      <c r="AV37" s="112"/>
      <c r="AW37" s="112"/>
      <c r="AX37" s="112"/>
      <c r="AY37" s="112"/>
      <c r="AZ37" s="112"/>
      <c r="BA37" s="112"/>
      <c r="BB37" s="112"/>
      <c r="BC37" s="112"/>
      <c r="BD37" s="112"/>
      <c r="BE37" s="112"/>
      <c r="BF37" s="112"/>
      <c r="BG37" s="112"/>
      <c r="BH37" s="112"/>
      <c r="BI37" s="112"/>
      <c r="BJ37" s="112"/>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row>
    <row r="38" spans="1:84">
      <c r="A38" s="112"/>
      <c r="B38" s="114"/>
      <c r="C38" s="603"/>
      <c r="D38" s="606"/>
      <c r="E38" s="611"/>
      <c r="F38" s="114"/>
      <c r="G38" s="114"/>
      <c r="H38" s="114"/>
      <c r="I38" s="114"/>
      <c r="J38" s="114"/>
      <c r="K38" s="114"/>
      <c r="L38" s="114"/>
      <c r="M38" s="114"/>
      <c r="N38" s="114"/>
      <c r="O38" s="114"/>
      <c r="P38" s="114"/>
      <c r="Q38" s="114"/>
      <c r="R38" s="114"/>
      <c r="S38" s="114"/>
      <c r="T38" s="114"/>
      <c r="U38" s="114"/>
      <c r="V38" s="122">
        <f>100*(+AD32/$E$9)</f>
        <v>182.68775327533697</v>
      </c>
      <c r="W38" s="129">
        <f>EXP(5.6922-(0.68367*LN(V38)))</f>
        <v>8.430011374241225</v>
      </c>
      <c r="X38" s="123">
        <f>(+W38*V38)/100</f>
        <v>15.400598380456653</v>
      </c>
      <c r="Y38" s="122">
        <f>100*((((X38/100)-((X38/100)-0.03574)*$E$21)-0.03574-0.00619)/0.344)</f>
        <v>20.891148055527299</v>
      </c>
      <c r="Z38" s="114">
        <f>$E$20</f>
        <v>0.25</v>
      </c>
      <c r="AA38" s="122">
        <f>Y38+Z38</f>
        <v>21.141148055527299</v>
      </c>
      <c r="AB38" s="122">
        <f>100*($E$17*$E$19+($E$18*(AA38/100))/(1-$E$21))</f>
        <v>16.958184220629423</v>
      </c>
      <c r="AC38" s="123">
        <f>AB38/V38</f>
        <v>9.2826059309355988E-2</v>
      </c>
      <c r="AD38" s="121">
        <f>ROUND($E$8/(1-AC38),0)</f>
        <v>1153590</v>
      </c>
      <c r="AE38" s="114" t="str">
        <f>IF(AD38=AD32,"yes","not yet")</f>
        <v>not yet</v>
      </c>
      <c r="AF38" s="122">
        <f>100*(1-AC38)</f>
        <v>90.717394069064412</v>
      </c>
      <c r="AG38" s="114"/>
      <c r="AH38" s="114"/>
      <c r="AI38" s="114">
        <v>1</v>
      </c>
      <c r="AJ38" s="121">
        <f>AD5</f>
        <v>1149269.4699653366</v>
      </c>
      <c r="AK38" s="121">
        <f>AD11</f>
        <v>1158515.0916054812</v>
      </c>
      <c r="AL38" s="121">
        <f>AD17</f>
        <v>1157919.1743556364</v>
      </c>
      <c r="AM38" s="121">
        <f>AD23</f>
        <v>1157957.3431361658</v>
      </c>
      <c r="AN38" s="121">
        <f>AD29</f>
        <v>1157954.8974213172</v>
      </c>
      <c r="AO38" s="121">
        <f>AD35</f>
        <v>1157955</v>
      </c>
      <c r="AP38" s="121">
        <f>AD41</f>
        <v>1157955</v>
      </c>
      <c r="AQ38" s="121">
        <f>AD47</f>
        <v>1157955</v>
      </c>
      <c r="AR38" s="121">
        <f>AD53</f>
        <v>1157955</v>
      </c>
      <c r="AS38" s="112"/>
      <c r="AT38" s="112"/>
      <c r="AU38" s="112"/>
      <c r="AV38" s="112"/>
      <c r="AW38" s="112"/>
      <c r="AX38" s="112"/>
      <c r="AY38" s="112"/>
      <c r="AZ38" s="112"/>
      <c r="BA38" s="112"/>
      <c r="BB38" s="112"/>
      <c r="BC38" s="112"/>
      <c r="BD38" s="112"/>
      <c r="BE38" s="112"/>
      <c r="BF38" s="112"/>
      <c r="BG38" s="112"/>
      <c r="BH38" s="112"/>
      <c r="BI38" s="112"/>
      <c r="BJ38" s="112"/>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row>
    <row r="39" spans="1:84" ht="16.5" thickBot="1">
      <c r="A39" s="112"/>
      <c r="B39" s="114"/>
      <c r="C39" s="614" t="s">
        <v>1380</v>
      </c>
      <c r="D39" s="615"/>
      <c r="E39" s="616">
        <f>E37/E35</f>
        <v>0.18390267547862377</v>
      </c>
      <c r="F39" s="114"/>
      <c r="G39" s="114"/>
      <c r="H39" s="114"/>
      <c r="I39" s="114"/>
      <c r="J39" s="114"/>
      <c r="K39" s="114"/>
      <c r="L39" s="114"/>
      <c r="M39" s="114"/>
      <c r="N39" s="114"/>
      <c r="O39" s="114"/>
      <c r="P39" s="114"/>
      <c r="Q39" s="114"/>
      <c r="R39" s="114"/>
      <c r="S39" s="114"/>
      <c r="T39" s="114"/>
      <c r="U39" s="114"/>
      <c r="V39" s="114"/>
      <c r="W39" s="114"/>
      <c r="X39" s="114"/>
      <c r="Y39" s="114"/>
      <c r="Z39" s="114"/>
      <c r="AA39" s="122"/>
      <c r="AB39" s="114"/>
      <c r="AC39" s="114"/>
      <c r="AD39" s="114"/>
      <c r="AE39" s="114"/>
      <c r="AF39" s="114"/>
      <c r="AG39" s="114"/>
      <c r="AH39" s="114"/>
      <c r="AI39" s="114">
        <v>2</v>
      </c>
      <c r="AJ39" s="121">
        <f>AD6</f>
        <v>1147270.7118997751</v>
      </c>
      <c r="AK39" s="121">
        <f>AD12</f>
        <v>1156423.2048354759</v>
      </c>
      <c r="AL39" s="121">
        <f>AD18</f>
        <v>1155845.8020173872</v>
      </c>
      <c r="AM39" s="121">
        <f>AD24</f>
        <v>1155882.0028697914</v>
      </c>
      <c r="AN39" s="121">
        <f>AD30</f>
        <v>1155879.7323335633</v>
      </c>
      <c r="AO39" s="121">
        <f>AD36</f>
        <v>1155880</v>
      </c>
      <c r="AP39" s="121">
        <f>AD42</f>
        <v>1155880</v>
      </c>
      <c r="AQ39" s="121">
        <f>AD48</f>
        <v>1155880</v>
      </c>
      <c r="AR39" s="121">
        <f>AD54</f>
        <v>1155880</v>
      </c>
      <c r="AS39" s="112"/>
      <c r="AT39" s="112"/>
      <c r="AU39" s="112"/>
      <c r="AV39" s="112"/>
      <c r="AW39" s="112"/>
      <c r="AX39" s="112"/>
      <c r="AY39" s="112"/>
      <c r="AZ39" s="112"/>
      <c r="BA39" s="112"/>
      <c r="BB39" s="112"/>
      <c r="BC39" s="112"/>
      <c r="BD39" s="112"/>
      <c r="BE39" s="112"/>
      <c r="BF39" s="112"/>
      <c r="BG39" s="112"/>
      <c r="BH39" s="112"/>
      <c r="BI39" s="112"/>
      <c r="BJ39" s="112"/>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row>
    <row r="40" spans="1:84">
      <c r="A40" s="112"/>
      <c r="B40" s="114"/>
      <c r="C40" s="114"/>
      <c r="D40" s="114"/>
      <c r="E40" s="118"/>
      <c r="F40" s="114"/>
      <c r="G40" s="114"/>
      <c r="H40" s="114"/>
      <c r="I40" s="114"/>
      <c r="J40" s="114"/>
      <c r="K40" s="114"/>
      <c r="L40" s="114"/>
      <c r="M40" s="114"/>
      <c r="N40" s="114"/>
      <c r="O40" s="114"/>
      <c r="P40" s="114"/>
      <c r="Q40" s="114"/>
      <c r="R40" s="114"/>
      <c r="S40" s="114"/>
      <c r="T40" s="114"/>
      <c r="U40" s="114"/>
      <c r="V40" s="119" t="s">
        <v>280</v>
      </c>
      <c r="W40" s="128" t="s">
        <v>227</v>
      </c>
      <c r="X40" s="128" t="s">
        <v>228</v>
      </c>
      <c r="Y40" s="128" t="s">
        <v>229</v>
      </c>
      <c r="Z40" s="114"/>
      <c r="AA40" s="122"/>
      <c r="AB40" s="114"/>
      <c r="AC40" s="114"/>
      <c r="AD40" s="114"/>
      <c r="AE40" s="114"/>
      <c r="AF40" s="114"/>
      <c r="AG40" s="114"/>
      <c r="AH40" s="114"/>
      <c r="AI40" s="114">
        <v>3</v>
      </c>
      <c r="AJ40" s="121">
        <f>AD7</f>
        <v>1145928.2285335206</v>
      </c>
      <c r="AK40" s="121">
        <f>AD13</f>
        <v>1155015.3051752828</v>
      </c>
      <c r="AL40" s="121">
        <f>AD19</f>
        <v>1154450.3901187673</v>
      </c>
      <c r="AM40" s="121">
        <f>AD25</f>
        <v>1154485.2930767522</v>
      </c>
      <c r="AN40" s="121">
        <f>AD31</f>
        <v>1154483.1357925362</v>
      </c>
      <c r="AO40" s="121">
        <f>AD37</f>
        <v>1154483</v>
      </c>
      <c r="AP40" s="121">
        <f>AD43</f>
        <v>1154483</v>
      </c>
      <c r="AQ40" s="121">
        <f>AD49</f>
        <v>1154483</v>
      </c>
      <c r="AR40" s="121">
        <f>AD55</f>
        <v>1154483</v>
      </c>
      <c r="AS40" s="112"/>
      <c r="AT40" s="112"/>
      <c r="AU40" s="112"/>
      <c r="AV40" s="112"/>
      <c r="AW40" s="112"/>
      <c r="AX40" s="112"/>
      <c r="AY40" s="112"/>
      <c r="AZ40" s="112"/>
      <c r="BA40" s="112"/>
      <c r="BB40" s="112"/>
      <c r="BC40" s="112"/>
      <c r="BD40" s="112"/>
      <c r="BE40" s="112"/>
      <c r="BF40" s="112"/>
      <c r="BG40" s="112"/>
      <c r="BH40" s="112"/>
      <c r="BI40" s="112"/>
      <c r="BJ40" s="112"/>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row>
    <row r="41" spans="1:84">
      <c r="A41" s="112"/>
      <c r="B41" s="114"/>
      <c r="C41" s="114"/>
      <c r="D41" s="114"/>
      <c r="E41" s="118"/>
      <c r="F41" s="114"/>
      <c r="G41" s="114"/>
      <c r="H41" s="114"/>
      <c r="I41" s="114"/>
      <c r="J41" s="114"/>
      <c r="K41" s="114"/>
      <c r="L41" s="114"/>
      <c r="M41" s="114"/>
      <c r="N41" s="114"/>
      <c r="O41" s="114"/>
      <c r="P41" s="114"/>
      <c r="Q41" s="114"/>
      <c r="R41" s="114"/>
      <c r="S41" s="114"/>
      <c r="T41" s="114"/>
      <c r="U41" s="114"/>
      <c r="V41" s="122">
        <f>100*(+AD35/$E$9)</f>
        <v>183.37896485006314</v>
      </c>
      <c r="W41" s="129">
        <f>EXP(5.7226-(0.68367*LN(+V41)))</f>
        <v>8.6678110978558927</v>
      </c>
      <c r="X41" s="123">
        <f>(+W41*V41)/100</f>
        <v>15.894942266407028</v>
      </c>
      <c r="Y41" s="122">
        <f>100*((((X41/100)-((X41/100)-0.03574)*$E$21)-0.03574-0.00619)/0.344)</f>
        <v>21.839598534385583</v>
      </c>
      <c r="Z41" s="114">
        <f>$E$20</f>
        <v>0.25</v>
      </c>
      <c r="AA41" s="122">
        <f>Y41+Z41</f>
        <v>22.089598534385583</v>
      </c>
      <c r="AB41" s="122">
        <f>100*($E$17*$E$19+($E$18*(AA41/100))/(1-$E$21))</f>
        <v>17.649384246951197</v>
      </c>
      <c r="AC41" s="123">
        <f>AB41/V41</f>
        <v>9.6245413215097664E-2</v>
      </c>
      <c r="AD41" s="121">
        <f>ROUND($E$8/(1-AC41),0)</f>
        <v>1157955</v>
      </c>
      <c r="AE41" s="114" t="str">
        <f>IF(OR(OR(AD41=AD35,AD41=(AD35+1)),AD41=(AD27-1)),"yes","not yet")</f>
        <v>yes</v>
      </c>
      <c r="AF41" s="122">
        <f>100*(1-AC41)</f>
        <v>90.375458678490233</v>
      </c>
      <c r="AG41" s="114"/>
      <c r="AH41" s="114"/>
      <c r="AI41" s="114">
        <v>4</v>
      </c>
      <c r="AJ41" s="121">
        <f>AD8</f>
        <v>1145071.1297234977</v>
      </c>
      <c r="AK41" s="121">
        <f>AD14</f>
        <v>1154115.2385389123</v>
      </c>
      <c r="AL41" s="121">
        <f>AD20</f>
        <v>1153558.3145159483</v>
      </c>
      <c r="AM41" s="121">
        <f>AD26</f>
        <v>1153592.3991985591</v>
      </c>
      <c r="AN41" s="121">
        <f>AD32</f>
        <v>1153590.3123725697</v>
      </c>
      <c r="AO41" s="121">
        <f>AD38</f>
        <v>1153590</v>
      </c>
      <c r="AP41" s="121">
        <f>AD44</f>
        <v>1153590</v>
      </c>
      <c r="AQ41" s="121">
        <f>AD50</f>
        <v>1153590</v>
      </c>
      <c r="AR41" s="121">
        <f>AD56</f>
        <v>1153590</v>
      </c>
      <c r="AS41" s="112"/>
      <c r="AT41" s="112"/>
      <c r="AU41" s="112"/>
      <c r="AV41" s="112"/>
      <c r="AW41" s="112"/>
      <c r="AX41" s="112"/>
      <c r="AY41" s="112"/>
      <c r="AZ41" s="112"/>
      <c r="BA41" s="112"/>
      <c r="BB41" s="112"/>
      <c r="BC41" s="112"/>
      <c r="BD41" s="112"/>
      <c r="BE41" s="112"/>
      <c r="BF41" s="112"/>
      <c r="BG41" s="112"/>
      <c r="BH41" s="112"/>
      <c r="BI41" s="112"/>
      <c r="BJ41" s="112"/>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row>
    <row r="42" spans="1:84">
      <c r="A42" s="112"/>
      <c r="B42" s="114"/>
      <c r="C42" s="114"/>
      <c r="D42" s="114"/>
      <c r="E42" s="117"/>
      <c r="F42" s="114"/>
      <c r="G42" s="114"/>
      <c r="H42" s="114"/>
      <c r="I42" s="114"/>
      <c r="J42" s="114"/>
      <c r="K42" s="114"/>
      <c r="L42" s="114"/>
      <c r="M42" s="114"/>
      <c r="N42" s="114"/>
      <c r="O42" s="114"/>
      <c r="P42" s="114"/>
      <c r="Q42" s="114"/>
      <c r="R42" s="114"/>
      <c r="S42" s="114"/>
      <c r="T42" s="114"/>
      <c r="U42" s="114"/>
      <c r="V42" s="122">
        <f>100*(+AD36/$E$9)</f>
        <v>183.05035851211056</v>
      </c>
      <c r="W42" s="129">
        <f>EXP(5.70827-(0.68367*LN(+V42)))</f>
        <v>8.5549707930725223</v>
      </c>
      <c r="X42" s="123">
        <f>(+W42*V42)/100</f>
        <v>15.6599047073256</v>
      </c>
      <c r="Y42" s="122">
        <f>100*((((X42/100)-((X42/100)-0.03574)*$E$21)-0.03574-0.00619)/0.344)</f>
        <v>21.388654380334003</v>
      </c>
      <c r="Z42" s="114">
        <f>$E$20</f>
        <v>0.25</v>
      </c>
      <c r="AA42" s="122">
        <f>Y42+Z42</f>
        <v>21.638654380334003</v>
      </c>
      <c r="AB42" s="122">
        <f>100*($E$17*$E$19+($E$18*(AA42/100))/(1-$E$21))</f>
        <v>17.320750735663072</v>
      </c>
      <c r="AC42" s="123">
        <f>AB42/V42</f>
        <v>9.4622872505967459E-2</v>
      </c>
      <c r="AD42" s="121">
        <f>ROUND($E$8/(1-AC42),0)</f>
        <v>1155880</v>
      </c>
      <c r="AE42" s="114" t="str">
        <f>IF(OR(OR(AD42=AD36,AD42=(AD36+5)),AD42=(AD28-5)),"yes","not yet")</f>
        <v>yes</v>
      </c>
      <c r="AF42" s="122">
        <f>100*(1-AC42)</f>
        <v>90.537712749403255</v>
      </c>
      <c r="AG42" s="114"/>
      <c r="AH42" s="114"/>
      <c r="AI42" s="114"/>
      <c r="AJ42" s="114"/>
      <c r="AK42" s="114"/>
      <c r="AL42" s="114"/>
      <c r="AM42" s="114"/>
      <c r="AN42" s="114"/>
      <c r="AO42" s="114"/>
      <c r="AP42" s="114"/>
      <c r="AQ42" s="114"/>
      <c r="AR42" s="114"/>
      <c r="AS42" s="112"/>
      <c r="AT42" s="112"/>
      <c r="AU42" s="112"/>
      <c r="AV42" s="112"/>
      <c r="AW42" s="112"/>
      <c r="AX42" s="112"/>
      <c r="AY42" s="112"/>
      <c r="AZ42" s="112"/>
      <c r="BA42" s="112"/>
      <c r="BB42" s="112"/>
      <c r="BC42" s="112"/>
      <c r="BD42" s="112"/>
      <c r="BE42" s="112"/>
      <c r="BF42" s="112"/>
      <c r="BG42" s="112"/>
      <c r="BH42" s="112"/>
      <c r="BI42" s="112"/>
      <c r="BJ42" s="112"/>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row>
    <row r="43" spans="1:84">
      <c r="A43" s="112"/>
      <c r="B43" s="114"/>
      <c r="C43" s="114"/>
      <c r="D43" s="114"/>
      <c r="E43" s="118"/>
      <c r="F43" s="114"/>
      <c r="G43" s="114"/>
      <c r="H43" s="114"/>
      <c r="I43" s="114"/>
      <c r="J43" s="114"/>
      <c r="K43" s="114"/>
      <c r="L43" s="114"/>
      <c r="M43" s="114"/>
      <c r="N43" s="114"/>
      <c r="O43" s="114"/>
      <c r="P43" s="114"/>
      <c r="Q43" s="114"/>
      <c r="R43" s="114"/>
      <c r="S43" s="114"/>
      <c r="T43" s="114"/>
      <c r="U43" s="114"/>
      <c r="V43" s="122">
        <f>100*(+AD37/$E$9)</f>
        <v>182.82912330530584</v>
      </c>
      <c r="W43" s="129">
        <f>EXP(5.6985-(0.68367*LN(V43)))</f>
        <v>8.4788029530284028</v>
      </c>
      <c r="X43" s="123">
        <f>(+W43*V43)/100</f>
        <v>15.501721105806212</v>
      </c>
      <c r="Y43" s="122">
        <f>100*((((X43/100)-((X43/100)-0.03574)*$E$21)-0.03574-0.00619)/0.344)</f>
        <v>21.085162586721218</v>
      </c>
      <c r="Z43" s="114">
        <f>$E$20</f>
        <v>0.25</v>
      </c>
      <c r="AA43" s="122">
        <f>Y43+Z43</f>
        <v>21.335162586721218</v>
      </c>
      <c r="AB43" s="122">
        <f>100*($E$17*$E$19+($E$18*(AA43/100))/(1-$E$21))</f>
        <v>17.099575734532682</v>
      </c>
      <c r="AC43" s="123">
        <f>AB43/V43</f>
        <v>9.35276362178806E-2</v>
      </c>
      <c r="AD43" s="121">
        <f>ROUND($E$8/(1-AC43),0)</f>
        <v>1154483</v>
      </c>
      <c r="AE43" s="114" t="str">
        <f>IF(OR(OR(AD43=AD37,AD43=(AD37+5)),AD43=(AD29-5)),"yes","not yet")</f>
        <v>yes</v>
      </c>
      <c r="AF43" s="122">
        <f>100*(1-AC43)</f>
        <v>90.647236378211943</v>
      </c>
      <c r="AG43" s="114"/>
      <c r="AH43" s="114"/>
      <c r="AI43" s="114"/>
      <c r="AJ43" s="114" t="s">
        <v>277</v>
      </c>
      <c r="AK43" s="114"/>
      <c r="AL43" s="114"/>
      <c r="AM43" s="114"/>
      <c r="AN43" s="114"/>
      <c r="AO43" s="114"/>
      <c r="AP43" s="114"/>
      <c r="AQ43" s="114"/>
      <c r="AR43" s="114"/>
      <c r="AS43" s="112"/>
      <c r="AT43" s="112"/>
      <c r="AU43" s="112"/>
      <c r="AV43" s="112"/>
      <c r="AW43" s="112"/>
      <c r="AX43" s="112"/>
      <c r="AY43" s="112"/>
      <c r="AZ43" s="112"/>
      <c r="BA43" s="112"/>
      <c r="BB43" s="112"/>
      <c r="BC43" s="112"/>
      <c r="BD43" s="112"/>
      <c r="BE43" s="112"/>
      <c r="BF43" s="112"/>
      <c r="BG43" s="112"/>
      <c r="BH43" s="112"/>
      <c r="BI43" s="112"/>
      <c r="BJ43" s="112"/>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row>
    <row r="44" spans="1:84">
      <c r="A44" s="112"/>
      <c r="B44" s="114"/>
      <c r="C44" s="114"/>
      <c r="D44" s="114"/>
      <c r="E44" s="143"/>
      <c r="F44" s="114"/>
      <c r="G44" s="114"/>
      <c r="H44" s="114"/>
      <c r="I44" s="114"/>
      <c r="J44" s="114"/>
      <c r="K44" s="114"/>
      <c r="L44" s="114"/>
      <c r="M44" s="114"/>
      <c r="N44" s="114"/>
      <c r="O44" s="114"/>
      <c r="P44" s="114"/>
      <c r="Q44" s="114"/>
      <c r="R44" s="114"/>
      <c r="S44" s="114"/>
      <c r="T44" s="114"/>
      <c r="U44" s="114"/>
      <c r="V44" s="122">
        <f>100*(+AD38/$E$9)</f>
        <v>182.68770380661107</v>
      </c>
      <c r="W44" s="129">
        <f>EXP(5.6922-(0.68367*LN(V44)))</f>
        <v>8.4300129348572899</v>
      </c>
      <c r="X44" s="123">
        <f>(+W44*V44)/100</f>
        <v>15.400597061291087</v>
      </c>
      <c r="Y44" s="122">
        <f>100*((((X44/100)-((X44/100)-0.03574)*$E$21)-0.03574-0.00619)/0.344)</f>
        <v>20.891145524570113</v>
      </c>
      <c r="Z44" s="114">
        <f>$E$20</f>
        <v>0.25</v>
      </c>
      <c r="AA44" s="122">
        <f>Y44+Z44</f>
        <v>21.141145524570113</v>
      </c>
      <c r="AB44" s="122">
        <f>100*($E$17*$E$19+($E$18*(AA44/100))/(1-$E$21))</f>
        <v>16.958182376149704</v>
      </c>
      <c r="AC44" s="123">
        <f>AB44/V44</f>
        <v>9.2826074348721574E-2</v>
      </c>
      <c r="AD44" s="121">
        <f>ROUND($E$8/(1-AC44),0)</f>
        <v>1153590</v>
      </c>
      <c r="AE44" s="114" t="str">
        <f>IF(OR(OR(AD44=AD38,AD44=(AD38+5)),AD44=(AD30-5)),"yes","not yet")</f>
        <v>yes</v>
      </c>
      <c r="AF44" s="122">
        <f>100*(1-AC44)</f>
        <v>90.717392565127838</v>
      </c>
      <c r="AG44" s="114"/>
      <c r="AH44" s="114"/>
      <c r="AI44" s="114"/>
      <c r="AJ44" s="121">
        <f>HLOOKUP($AJ$34,$AJ$37:$AR$41,($E$12)+1)</f>
        <v>1154483</v>
      </c>
      <c r="AK44" s="114"/>
      <c r="AL44" s="114"/>
      <c r="AM44" s="114"/>
      <c r="AN44" s="114"/>
      <c r="AO44" s="114"/>
      <c r="AP44" s="114"/>
      <c r="AQ44" s="114"/>
      <c r="AR44" s="114"/>
      <c r="AS44" s="112"/>
      <c r="AT44" s="112"/>
      <c r="AU44" s="112"/>
      <c r="AV44" s="112"/>
      <c r="AW44" s="112"/>
      <c r="AX44" s="112"/>
      <c r="AY44" s="112"/>
      <c r="AZ44" s="112"/>
      <c r="BA44" s="112"/>
      <c r="BB44" s="112"/>
      <c r="BC44" s="112"/>
      <c r="BD44" s="112"/>
      <c r="BE44" s="112"/>
      <c r="BF44" s="112"/>
      <c r="BG44" s="112"/>
      <c r="BH44" s="112"/>
      <c r="BI44" s="112"/>
      <c r="BJ44" s="112"/>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row>
    <row r="45" spans="1:84">
      <c r="A45" s="11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22"/>
      <c r="AB45" s="114"/>
      <c r="AC45" s="114"/>
      <c r="AD45" s="114"/>
      <c r="AE45" s="114"/>
      <c r="AF45" s="114"/>
      <c r="AG45" s="114"/>
      <c r="AH45" s="114"/>
      <c r="AI45" s="114"/>
      <c r="AJ45" s="114"/>
      <c r="AK45" s="114"/>
      <c r="AL45" s="114"/>
      <c r="AM45" s="114"/>
      <c r="AN45" s="114"/>
      <c r="AO45" s="114"/>
      <c r="AP45" s="114"/>
      <c r="AQ45" s="114"/>
      <c r="AR45" s="114"/>
      <c r="AS45" s="112"/>
      <c r="AT45" s="112"/>
      <c r="AU45" s="112"/>
      <c r="AV45" s="112"/>
      <c r="AW45" s="112"/>
      <c r="AX45" s="112"/>
      <c r="AY45" s="112"/>
      <c r="AZ45" s="112"/>
      <c r="BA45" s="112"/>
      <c r="BB45" s="112"/>
      <c r="BC45" s="112"/>
      <c r="BD45" s="112"/>
      <c r="BE45" s="112"/>
      <c r="BF45" s="112"/>
      <c r="BG45" s="112"/>
      <c r="BH45" s="112"/>
      <c r="BI45" s="112"/>
      <c r="BJ45" s="112"/>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row>
    <row r="46" spans="1:84">
      <c r="A46" s="112"/>
      <c r="B46" s="114"/>
      <c r="C46" s="114"/>
      <c r="D46" s="121"/>
      <c r="E46" s="121"/>
      <c r="F46" s="121"/>
      <c r="G46" s="114"/>
      <c r="H46" s="114"/>
      <c r="I46" s="114"/>
      <c r="J46" s="114"/>
      <c r="K46" s="114"/>
      <c r="L46" s="114"/>
      <c r="M46" s="114"/>
      <c r="N46" s="114"/>
      <c r="O46" s="114"/>
      <c r="P46" s="114"/>
      <c r="Q46" s="114"/>
      <c r="R46" s="114"/>
      <c r="S46" s="114"/>
      <c r="T46" s="114"/>
      <c r="U46" s="114"/>
      <c r="V46" s="119" t="s">
        <v>281</v>
      </c>
      <c r="W46" s="128" t="s">
        <v>227</v>
      </c>
      <c r="X46" s="128" t="s">
        <v>228</v>
      </c>
      <c r="Y46" s="128" t="s">
        <v>229</v>
      </c>
      <c r="Z46" s="114"/>
      <c r="AA46" s="122"/>
      <c r="AB46" s="114"/>
      <c r="AC46" s="114"/>
      <c r="AD46" s="114"/>
      <c r="AE46" s="114"/>
      <c r="AF46" s="114"/>
      <c r="AG46" s="114"/>
      <c r="AH46" s="114"/>
      <c r="AI46" s="114"/>
      <c r="AJ46" s="114"/>
      <c r="AK46" s="114"/>
      <c r="AL46" s="114"/>
      <c r="AM46" s="114"/>
      <c r="AN46" s="114"/>
      <c r="AO46" s="114"/>
      <c r="AP46" s="114"/>
      <c r="AQ46" s="114"/>
      <c r="AR46" s="114"/>
      <c r="AS46" s="112"/>
      <c r="AT46" s="112"/>
      <c r="AU46" s="112"/>
      <c r="AV46" s="112"/>
      <c r="AW46" s="112"/>
      <c r="AX46" s="112"/>
      <c r="AY46" s="112"/>
      <c r="AZ46" s="112"/>
      <c r="BA46" s="112"/>
      <c r="BB46" s="112"/>
      <c r="BC46" s="112"/>
      <c r="BD46" s="112"/>
      <c r="BE46" s="112"/>
      <c r="BF46" s="112"/>
      <c r="BG46" s="112"/>
      <c r="BH46" s="112"/>
      <c r="BI46" s="112"/>
      <c r="BJ46" s="112"/>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row>
    <row r="47" spans="1:84">
      <c r="A47" s="112"/>
      <c r="B47" s="114"/>
      <c r="C47" s="114"/>
      <c r="D47" s="121"/>
      <c r="E47" s="121"/>
      <c r="F47" s="121"/>
      <c r="G47" s="114"/>
      <c r="H47" s="114"/>
      <c r="I47" s="114"/>
      <c r="J47" s="114"/>
      <c r="K47" s="114"/>
      <c r="L47" s="114"/>
      <c r="M47" s="114"/>
      <c r="N47" s="114"/>
      <c r="O47" s="114"/>
      <c r="P47" s="114"/>
      <c r="Q47" s="114"/>
      <c r="R47" s="114"/>
      <c r="S47" s="114"/>
      <c r="T47" s="114"/>
      <c r="U47" s="114"/>
      <c r="V47" s="122">
        <f>100*(+AD41/$E$9)</f>
        <v>183.37896485006314</v>
      </c>
      <c r="W47" s="129">
        <f>EXP(5.7226-(0.68367*LN(+V47)))</f>
        <v>8.6678110978558927</v>
      </c>
      <c r="X47" s="123">
        <f>(+W47*V47)/100</f>
        <v>15.894942266407028</v>
      </c>
      <c r="Y47" s="122">
        <f>100*((((X47/100)-((X47/100)-0.03574)*$E$21)-0.03574-0.00619)/0.344)</f>
        <v>21.839598534385583</v>
      </c>
      <c r="Z47" s="114">
        <f>$E$20</f>
        <v>0.25</v>
      </c>
      <c r="AA47" s="122">
        <f>Y47+Z47</f>
        <v>22.089598534385583</v>
      </c>
      <c r="AB47" s="122">
        <f>100*($E$17*$E$19+($E$18*(AA47/100))/(1-$E$21))</f>
        <v>17.649384246951197</v>
      </c>
      <c r="AC47" s="123">
        <f>AB47/V47</f>
        <v>9.6245413215097664E-2</v>
      </c>
      <c r="AD47" s="121">
        <f>ROUND($E$8/(1-AC47),0)</f>
        <v>1157955</v>
      </c>
      <c r="AE47" s="114" t="str">
        <f>IF(OR(OR(AD47=AD41,AD47=(AD41+1)),AD47=(AD33-1)),"yes","not yet")</f>
        <v>yes</v>
      </c>
      <c r="AF47" s="122">
        <f>100*(1-AC47)</f>
        <v>90.375458678490233</v>
      </c>
      <c r="AG47" s="114"/>
      <c r="AH47" s="114"/>
      <c r="AI47" s="114"/>
      <c r="AJ47" s="114"/>
      <c r="AK47" s="114"/>
      <c r="AL47" s="114"/>
      <c r="AM47" s="114"/>
      <c r="AN47" s="114"/>
      <c r="AO47" s="114"/>
      <c r="AP47" s="114"/>
      <c r="AQ47" s="114"/>
      <c r="AR47" s="114"/>
      <c r="AS47" s="112"/>
      <c r="AT47" s="112"/>
      <c r="AU47" s="112"/>
      <c r="AV47" s="112"/>
      <c r="AW47" s="112"/>
      <c r="AX47" s="112"/>
      <c r="AY47" s="112"/>
      <c r="AZ47" s="112"/>
      <c r="BA47" s="112"/>
      <c r="BB47" s="112"/>
      <c r="BC47" s="112"/>
      <c r="BD47" s="112"/>
      <c r="BE47" s="112"/>
      <c r="BF47" s="112"/>
      <c r="BG47" s="112"/>
      <c r="BH47" s="112"/>
      <c r="BI47" s="112"/>
      <c r="BJ47" s="112"/>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row>
    <row r="48" spans="1:84">
      <c r="A48" s="112"/>
      <c r="B48" s="114"/>
      <c r="C48" s="114"/>
      <c r="D48" s="114"/>
      <c r="E48" s="117"/>
      <c r="F48" s="114"/>
      <c r="G48" s="114"/>
      <c r="H48" s="114"/>
      <c r="I48" s="114"/>
      <c r="J48" s="114"/>
      <c r="K48" s="114"/>
      <c r="L48" s="114"/>
      <c r="M48" s="114"/>
      <c r="N48" s="114"/>
      <c r="O48" s="114"/>
      <c r="P48" s="114"/>
      <c r="Q48" s="114"/>
      <c r="R48" s="114"/>
      <c r="S48" s="114"/>
      <c r="T48" s="114"/>
      <c r="U48" s="114"/>
      <c r="V48" s="122">
        <f>100*(+AD42/$E$9)</f>
        <v>183.05035851211056</v>
      </c>
      <c r="W48" s="129">
        <f>EXP(5.70827-(0.68367*LN(+V48)))</f>
        <v>8.5549707930725223</v>
      </c>
      <c r="X48" s="123">
        <f>(+W48*V48)/100</f>
        <v>15.6599047073256</v>
      </c>
      <c r="Y48" s="122">
        <f>100*((((X48/100)-((X48/100)-0.03574)*$E$21)-0.03574-0.00619)/0.344)</f>
        <v>21.388654380334003</v>
      </c>
      <c r="Z48" s="114">
        <f>$E$20</f>
        <v>0.25</v>
      </c>
      <c r="AA48" s="122">
        <f>Y48+Z48</f>
        <v>21.638654380334003</v>
      </c>
      <c r="AB48" s="122">
        <f>100*($E$17*$E$19+($E$18*(AA48/100))/(1-$E$21))</f>
        <v>17.320750735663072</v>
      </c>
      <c r="AC48" s="123">
        <f>AB48/V48</f>
        <v>9.4622872505967459E-2</v>
      </c>
      <c r="AD48" s="121">
        <f>ROUND($E$8/(1-AC48),0)</f>
        <v>1155880</v>
      </c>
      <c r="AE48" s="114" t="str">
        <f>IF(OR(OR(AD48=AD42,AD48=(AD42+1)),AD48=(AD42-1)),"yes","not yet")</f>
        <v>yes</v>
      </c>
      <c r="AF48" s="122">
        <f>100*(1-AC48)</f>
        <v>90.537712749403255</v>
      </c>
      <c r="AG48" s="114"/>
      <c r="AH48" s="114"/>
      <c r="AI48" s="114"/>
      <c r="AJ48" s="114"/>
      <c r="AK48" s="114"/>
      <c r="AL48" s="114"/>
      <c r="AM48" s="114"/>
      <c r="AN48" s="114"/>
      <c r="AO48" s="114"/>
      <c r="AP48" s="114"/>
      <c r="AQ48" s="114"/>
      <c r="AR48" s="114"/>
      <c r="AS48" s="112"/>
      <c r="AT48" s="112"/>
      <c r="AU48" s="112"/>
      <c r="AV48" s="112"/>
      <c r="AW48" s="112"/>
      <c r="AX48" s="112"/>
      <c r="AY48" s="112"/>
      <c r="AZ48" s="112"/>
      <c r="BA48" s="112"/>
      <c r="BB48" s="112"/>
      <c r="BC48" s="112"/>
      <c r="BD48" s="112"/>
      <c r="BE48" s="112"/>
      <c r="BF48" s="112"/>
      <c r="BG48" s="112"/>
      <c r="BH48" s="112"/>
      <c r="BI48" s="112"/>
      <c r="BJ48" s="112"/>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row>
    <row r="49" spans="1:84">
      <c r="A49" s="112"/>
      <c r="B49" s="114"/>
      <c r="C49" s="114"/>
      <c r="D49" s="114"/>
      <c r="E49" s="117"/>
      <c r="F49" s="114"/>
      <c r="G49" s="114"/>
      <c r="H49" s="114"/>
      <c r="I49" s="114"/>
      <c r="J49" s="114"/>
      <c r="K49" s="114"/>
      <c r="L49" s="114"/>
      <c r="M49" s="114"/>
      <c r="N49" s="114"/>
      <c r="O49" s="114"/>
      <c r="P49" s="114"/>
      <c r="Q49" s="114"/>
      <c r="R49" s="114"/>
      <c r="S49" s="114"/>
      <c r="T49" s="114"/>
      <c r="U49" s="114"/>
      <c r="V49" s="122">
        <f>100*(+AD43/$E$9)</f>
        <v>182.82912330530584</v>
      </c>
      <c r="W49" s="129">
        <f>EXP(5.6985-(0.68367*LN(V49)))</f>
        <v>8.4788029530284028</v>
      </c>
      <c r="X49" s="123">
        <f>(+W49*V49)/100</f>
        <v>15.501721105806212</v>
      </c>
      <c r="Y49" s="122">
        <f>100*((((X49/100)-((X49/100)-0.03574)*$E$21)-0.03574-0.00619)/0.344)</f>
        <v>21.085162586721218</v>
      </c>
      <c r="Z49" s="114">
        <f>$E$20</f>
        <v>0.25</v>
      </c>
      <c r="AA49" s="122">
        <f>Y49+Z49</f>
        <v>21.335162586721218</v>
      </c>
      <c r="AB49" s="122">
        <f>100*($E$17*$E$19+($E$18*(AA49/100))/(1-$E$21))</f>
        <v>17.099575734532682</v>
      </c>
      <c r="AC49" s="123">
        <f>AB49/V49</f>
        <v>9.35276362178806E-2</v>
      </c>
      <c r="AD49" s="121">
        <f>ROUND($E$8/(1-AC49),0)</f>
        <v>1154483</v>
      </c>
      <c r="AE49" s="114" t="str">
        <f>IF(OR(OR(AD49=AD43,AD49=(AD43+1)),AD49=(AD43-1)),"yes","not yet")</f>
        <v>yes</v>
      </c>
      <c r="AF49" s="122">
        <f>100*(1-AC49)</f>
        <v>90.647236378211943</v>
      </c>
      <c r="AG49" s="114"/>
      <c r="AH49" s="114"/>
      <c r="AI49" s="114"/>
      <c r="AJ49" s="114"/>
      <c r="AK49" s="114"/>
      <c r="AL49" s="114"/>
      <c r="AM49" s="114"/>
      <c r="AN49" s="114"/>
      <c r="AO49" s="114"/>
      <c r="AP49" s="114"/>
      <c r="AQ49" s="114"/>
      <c r="AR49" s="114"/>
      <c r="AS49" s="112"/>
      <c r="AT49" s="112"/>
      <c r="AU49" s="112"/>
      <c r="AV49" s="112"/>
      <c r="AW49" s="112"/>
      <c r="AX49" s="112"/>
      <c r="AY49" s="112"/>
      <c r="AZ49" s="112"/>
      <c r="BA49" s="112"/>
      <c r="BB49" s="112"/>
      <c r="BC49" s="112"/>
      <c r="BD49" s="112"/>
      <c r="BE49" s="112"/>
      <c r="BF49" s="112"/>
      <c r="BG49" s="112"/>
      <c r="BH49" s="112"/>
      <c r="BI49" s="112"/>
      <c r="BJ49" s="112"/>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row>
    <row r="50" spans="1:84">
      <c r="A50" s="112"/>
      <c r="B50" s="114"/>
      <c r="C50" s="114"/>
      <c r="D50" s="114"/>
      <c r="E50" s="117"/>
      <c r="F50" s="114"/>
      <c r="G50" s="114"/>
      <c r="H50" s="114"/>
      <c r="I50" s="114"/>
      <c r="J50" s="114"/>
      <c r="K50" s="114"/>
      <c r="L50" s="114"/>
      <c r="M50" s="114"/>
      <c r="N50" s="114"/>
      <c r="O50" s="114"/>
      <c r="P50" s="114"/>
      <c r="Q50" s="114"/>
      <c r="R50" s="114"/>
      <c r="S50" s="114"/>
      <c r="T50" s="114"/>
      <c r="U50" s="114"/>
      <c r="V50" s="122">
        <f>100*(+AD44/$E$9)</f>
        <v>182.68770380661107</v>
      </c>
      <c r="W50" s="129">
        <f>EXP(5.6922-(0.68367*LN(V50)))</f>
        <v>8.4300129348572899</v>
      </c>
      <c r="X50" s="123">
        <f>(+W50*V50)/100</f>
        <v>15.400597061291087</v>
      </c>
      <c r="Y50" s="122">
        <f>100*((((X50/100)-((X50/100)-0.03574)*$E$21)-0.03574-0.00619)/0.344)</f>
        <v>20.891145524570113</v>
      </c>
      <c r="Z50" s="114">
        <f>$E$20</f>
        <v>0.25</v>
      </c>
      <c r="AA50" s="122">
        <f>Y50+Z50</f>
        <v>21.141145524570113</v>
      </c>
      <c r="AB50" s="122">
        <f>100*($E$17*$E$19+($E$18*(AA50/100))/(1-$E$21))</f>
        <v>16.958182376149704</v>
      </c>
      <c r="AC50" s="123">
        <f>AB50/V50</f>
        <v>9.2826074348721574E-2</v>
      </c>
      <c r="AD50" s="121">
        <f>ROUND($E$8/(1-AC50),0)</f>
        <v>1153590</v>
      </c>
      <c r="AE50" s="114" t="str">
        <f>IF(OR(OR(AD50=AD44,AD50=(AD44+1)),AD50=(AD44-1)),"yes","not yet")</f>
        <v>yes</v>
      </c>
      <c r="AF50" s="122">
        <f>100*(1-AC50)</f>
        <v>90.717392565127838</v>
      </c>
      <c r="AG50" s="114"/>
      <c r="AH50" s="114"/>
      <c r="AI50" s="114"/>
      <c r="AJ50" s="114"/>
      <c r="AK50" s="114"/>
      <c r="AL50" s="114"/>
      <c r="AM50" s="114"/>
      <c r="AN50" s="114"/>
      <c r="AO50" s="114"/>
      <c r="AP50" s="114"/>
      <c r="AQ50" s="114"/>
      <c r="AR50" s="114"/>
      <c r="AS50" s="112"/>
      <c r="AT50" s="112"/>
      <c r="AU50" s="112"/>
      <c r="AV50" s="112"/>
      <c r="AW50" s="112"/>
      <c r="AX50" s="112"/>
      <c r="AY50" s="112"/>
      <c r="AZ50" s="112"/>
      <c r="BA50" s="112"/>
      <c r="BB50" s="112"/>
      <c r="BC50" s="112"/>
      <c r="BD50" s="112"/>
      <c r="BE50" s="112"/>
      <c r="BF50" s="112"/>
      <c r="BG50" s="112"/>
      <c r="BH50" s="112"/>
      <c r="BI50" s="112"/>
      <c r="BJ50" s="112"/>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row>
    <row r="51" spans="1:84">
      <c r="A51" s="112"/>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22"/>
      <c r="AB51" s="114"/>
      <c r="AC51" s="114"/>
      <c r="AD51" s="114"/>
      <c r="AE51" s="114"/>
      <c r="AF51" s="114"/>
      <c r="AG51" s="114"/>
      <c r="AH51" s="114"/>
      <c r="AI51" s="114"/>
      <c r="AJ51" s="114"/>
      <c r="AK51" s="114"/>
      <c r="AL51" s="114"/>
      <c r="AM51" s="114"/>
      <c r="AN51" s="114"/>
      <c r="AO51" s="114"/>
      <c r="AP51" s="114"/>
      <c r="AQ51" s="114"/>
      <c r="AR51" s="114"/>
      <c r="AS51" s="112"/>
      <c r="AT51" s="112"/>
      <c r="AU51" s="112"/>
      <c r="AV51" s="112"/>
      <c r="AW51" s="112"/>
      <c r="AX51" s="112"/>
      <c r="AY51" s="112"/>
      <c r="AZ51" s="112"/>
      <c r="BA51" s="112"/>
      <c r="BB51" s="112"/>
      <c r="BC51" s="112"/>
      <c r="BD51" s="112"/>
      <c r="BE51" s="112"/>
      <c r="BF51" s="112"/>
      <c r="BG51" s="112"/>
      <c r="BH51" s="112"/>
      <c r="BI51" s="112"/>
      <c r="BJ51" s="112"/>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row>
    <row r="52" spans="1:84">
      <c r="A52" s="112"/>
      <c r="B52" s="114"/>
      <c r="C52" s="114"/>
      <c r="D52" s="114"/>
      <c r="E52" s="114"/>
      <c r="F52" s="114"/>
      <c r="G52" s="114"/>
      <c r="H52" s="114"/>
      <c r="I52" s="114"/>
      <c r="J52" s="114"/>
      <c r="K52" s="114"/>
      <c r="L52" s="114"/>
      <c r="M52" s="114"/>
      <c r="N52" s="114"/>
      <c r="O52" s="114"/>
      <c r="P52" s="114"/>
      <c r="Q52" s="114"/>
      <c r="R52" s="114"/>
      <c r="S52" s="114"/>
      <c r="T52" s="114"/>
      <c r="U52" s="114"/>
      <c r="V52" s="119" t="s">
        <v>282</v>
      </c>
      <c r="W52" s="128" t="s">
        <v>227</v>
      </c>
      <c r="X52" s="128" t="s">
        <v>228</v>
      </c>
      <c r="Y52" s="128" t="s">
        <v>229</v>
      </c>
      <c r="Z52" s="114"/>
      <c r="AA52" s="122"/>
      <c r="AB52" s="114"/>
      <c r="AC52" s="114"/>
      <c r="AD52" s="114"/>
      <c r="AE52" s="114"/>
      <c r="AF52" s="114"/>
      <c r="AG52" s="114"/>
      <c r="AH52" s="114"/>
      <c r="AI52" s="114"/>
      <c r="AJ52" s="114"/>
      <c r="AK52" s="114"/>
      <c r="AL52" s="114"/>
      <c r="AM52" s="114"/>
      <c r="AN52" s="114"/>
      <c r="AO52" s="114"/>
      <c r="AP52" s="114"/>
      <c r="AQ52" s="114"/>
      <c r="AR52" s="114"/>
      <c r="AS52" s="112"/>
      <c r="AT52" s="112"/>
      <c r="AU52" s="112"/>
      <c r="AV52" s="112"/>
      <c r="AW52" s="112"/>
      <c r="AX52" s="112"/>
      <c r="AY52" s="112"/>
      <c r="AZ52" s="112"/>
      <c r="BA52" s="112"/>
      <c r="BB52" s="112"/>
      <c r="BC52" s="112"/>
      <c r="BD52" s="112"/>
      <c r="BE52" s="112"/>
      <c r="BF52" s="112"/>
      <c r="BG52" s="112"/>
      <c r="BH52" s="112"/>
      <c r="BI52" s="112"/>
      <c r="BJ52" s="112"/>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row>
    <row r="53" spans="1:84">
      <c r="A53" s="112"/>
      <c r="B53" s="114"/>
      <c r="C53" s="114"/>
      <c r="D53" s="114"/>
      <c r="E53" s="114"/>
      <c r="F53" s="114"/>
      <c r="G53" s="114"/>
      <c r="H53" s="114"/>
      <c r="I53" s="114"/>
      <c r="J53" s="114"/>
      <c r="K53" s="114"/>
      <c r="L53" s="114"/>
      <c r="M53" s="114"/>
      <c r="N53" s="114"/>
      <c r="O53" s="114"/>
      <c r="P53" s="114"/>
      <c r="Q53" s="114"/>
      <c r="R53" s="114"/>
      <c r="S53" s="114"/>
      <c r="T53" s="114"/>
      <c r="U53" s="114"/>
      <c r="V53" s="122">
        <f>100*(+AD47/$E$9)</f>
        <v>183.37896485006314</v>
      </c>
      <c r="W53" s="129">
        <f>EXP(5.7226-(0.68367*LN(+V53)))</f>
        <v>8.6678110978558927</v>
      </c>
      <c r="X53" s="123">
        <f>(+W53*V53)/100</f>
        <v>15.894942266407028</v>
      </c>
      <c r="Y53" s="122">
        <f>100*((((X53/100)-((X53/100)-0.03574)*$E$21)-0.03574-0.00619)/0.344)</f>
        <v>21.839598534385583</v>
      </c>
      <c r="Z53" s="114">
        <f>$E$20</f>
        <v>0.25</v>
      </c>
      <c r="AA53" s="122">
        <f>Y53+Z53</f>
        <v>22.089598534385583</v>
      </c>
      <c r="AB53" s="122">
        <f>100*($E$17*$E$19+($E$18*(AA53/100))/(1-$E$21))</f>
        <v>17.649384246951197</v>
      </c>
      <c r="AC53" s="123">
        <f>AB53/V53</f>
        <v>9.6245413215097664E-2</v>
      </c>
      <c r="AD53" s="121">
        <f>ROUND($E$8/(1-AC53),0)</f>
        <v>1157955</v>
      </c>
      <c r="AE53" s="114" t="str">
        <f>IF(OR(OR(AD53=AD47,AD53=(AD47+1)),AD53=(AD39-1)),"yes","not yet")</f>
        <v>yes</v>
      </c>
      <c r="AF53" s="122">
        <f>100*(1-AC53)</f>
        <v>90.375458678490233</v>
      </c>
      <c r="AG53" s="114"/>
      <c r="AH53" s="114"/>
      <c r="AI53" s="114"/>
      <c r="AJ53" s="114"/>
      <c r="AK53" s="114"/>
      <c r="AL53" s="114"/>
      <c r="AM53" s="114"/>
      <c r="AN53" s="114"/>
      <c r="AO53" s="114"/>
      <c r="AP53" s="114"/>
      <c r="AQ53" s="114"/>
      <c r="AR53" s="114"/>
      <c r="AS53" s="112"/>
      <c r="AT53" s="112"/>
      <c r="AU53" s="112"/>
      <c r="AV53" s="112"/>
      <c r="AW53" s="112"/>
      <c r="AX53" s="112"/>
      <c r="AY53" s="112"/>
      <c r="AZ53" s="112"/>
      <c r="BA53" s="112"/>
      <c r="BB53" s="112"/>
      <c r="BC53" s="112"/>
      <c r="BD53" s="112"/>
      <c r="BE53" s="112"/>
      <c r="BF53" s="112"/>
      <c r="BG53" s="112"/>
      <c r="BH53" s="112"/>
      <c r="BI53" s="112"/>
      <c r="BJ53" s="112"/>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row>
    <row r="54" spans="1:84">
      <c r="A54" s="112"/>
      <c r="B54" s="114"/>
      <c r="C54" s="114"/>
      <c r="D54" s="114"/>
      <c r="E54" s="114"/>
      <c r="F54" s="114"/>
      <c r="G54" s="114"/>
      <c r="H54" s="114"/>
      <c r="I54" s="114"/>
      <c r="J54" s="114"/>
      <c r="K54" s="114"/>
      <c r="L54" s="114"/>
      <c r="M54" s="114"/>
      <c r="N54" s="114"/>
      <c r="O54" s="114"/>
      <c r="P54" s="114"/>
      <c r="Q54" s="114"/>
      <c r="R54" s="114"/>
      <c r="S54" s="114"/>
      <c r="T54" s="114"/>
      <c r="U54" s="114"/>
      <c r="V54" s="122">
        <f>100*(+AD48/$E$9)</f>
        <v>183.05035851211056</v>
      </c>
      <c r="W54" s="129">
        <f>EXP(5.70827-(0.68367*LN(+V54)))</f>
        <v>8.5549707930725223</v>
      </c>
      <c r="X54" s="123">
        <f>(+W54*V54)/100</f>
        <v>15.6599047073256</v>
      </c>
      <c r="Y54" s="122">
        <f>100*((((X54/100)-((X54/100)-0.03574)*$E$21)-0.03574-0.00619)/0.344)</f>
        <v>21.388654380334003</v>
      </c>
      <c r="Z54" s="114">
        <f>$E$20</f>
        <v>0.25</v>
      </c>
      <c r="AA54" s="122">
        <f>Y54+Z54</f>
        <v>21.638654380334003</v>
      </c>
      <c r="AB54" s="122">
        <f>100*($E$17*$E$19+($E$18*(AA54/100))/(1-$E$21))</f>
        <v>17.320750735663072</v>
      </c>
      <c r="AC54" s="123">
        <f>AB54/V54</f>
        <v>9.4622872505967459E-2</v>
      </c>
      <c r="AD54" s="121">
        <f>ROUND($E$8/(1-AC54),0)</f>
        <v>1155880</v>
      </c>
      <c r="AE54" s="114" t="str">
        <f>IF(OR(OR(AD54=AD48,AD54=(AD48+1)),AD54=(AD48-1)),"yes","not yet")</f>
        <v>yes</v>
      </c>
      <c r="AF54" s="122">
        <f>100*(1-AC54)</f>
        <v>90.537712749403255</v>
      </c>
      <c r="AG54" s="114"/>
      <c r="AH54" s="114"/>
      <c r="AI54" s="114"/>
      <c r="AJ54" s="114"/>
      <c r="AK54" s="114"/>
      <c r="AL54" s="114"/>
      <c r="AM54" s="114"/>
      <c r="AN54" s="114"/>
      <c r="AO54" s="114"/>
      <c r="AP54" s="114"/>
      <c r="AQ54" s="114"/>
      <c r="AR54" s="114"/>
      <c r="AS54" s="112"/>
      <c r="AT54" s="112"/>
      <c r="AU54" s="112"/>
      <c r="AV54" s="112"/>
      <c r="AW54" s="112"/>
      <c r="AX54" s="112"/>
      <c r="AY54" s="112"/>
      <c r="AZ54" s="112"/>
      <c r="BA54" s="112"/>
      <c r="BB54" s="112"/>
      <c r="BC54" s="112"/>
      <c r="BD54" s="112"/>
      <c r="BE54" s="112"/>
      <c r="BF54" s="112"/>
      <c r="BG54" s="112"/>
      <c r="BH54" s="112"/>
      <c r="BI54" s="112"/>
      <c r="BJ54" s="112"/>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row>
    <row r="55" spans="1:84">
      <c r="A55" s="112"/>
      <c r="B55" s="114"/>
      <c r="C55" s="114"/>
      <c r="D55" s="114"/>
      <c r="E55" s="114"/>
      <c r="F55" s="114"/>
      <c r="G55" s="114"/>
      <c r="H55" s="114"/>
      <c r="I55" s="114"/>
      <c r="J55" s="114"/>
      <c r="K55" s="114"/>
      <c r="L55" s="114"/>
      <c r="M55" s="114"/>
      <c r="N55" s="114"/>
      <c r="O55" s="114"/>
      <c r="P55" s="114"/>
      <c r="Q55" s="114"/>
      <c r="R55" s="114"/>
      <c r="S55" s="114"/>
      <c r="T55" s="114"/>
      <c r="U55" s="114"/>
      <c r="V55" s="122">
        <f>100*(+AD49/$E$9)</f>
        <v>182.82912330530584</v>
      </c>
      <c r="W55" s="129">
        <f>EXP(5.6985-(0.68367*LN(V55)))</f>
        <v>8.4788029530284028</v>
      </c>
      <c r="X55" s="123">
        <f>(+W55*V55)/100</f>
        <v>15.501721105806212</v>
      </c>
      <c r="Y55" s="122">
        <f>100*((((X55/100)-((X55/100)-0.03574)*$E$21)-0.03574-0.00619)/0.344)</f>
        <v>21.085162586721218</v>
      </c>
      <c r="Z55" s="114">
        <f>$E$20</f>
        <v>0.25</v>
      </c>
      <c r="AA55" s="122">
        <f>Y55+Z55</f>
        <v>21.335162586721218</v>
      </c>
      <c r="AB55" s="122">
        <f>100*($E$17*$E$19+($E$18*(AA55/100))/(1-$E$21))</f>
        <v>17.099575734532682</v>
      </c>
      <c r="AC55" s="123">
        <f>AB55/V55</f>
        <v>9.35276362178806E-2</v>
      </c>
      <c r="AD55" s="121">
        <f>ROUND($E$8/(1-AC55),0)</f>
        <v>1154483</v>
      </c>
      <c r="AE55" s="114" t="str">
        <f>IF(OR(OR(AD55=AD49,AD55=(AD49+1)),AD55=(AD49-1)),"yes","not yet")</f>
        <v>yes</v>
      </c>
      <c r="AF55" s="122">
        <f>100*(1-AC55)</f>
        <v>90.647236378211943</v>
      </c>
      <c r="AG55" s="114"/>
      <c r="AH55" s="114"/>
      <c r="AI55" s="114"/>
      <c r="AJ55" s="114"/>
      <c r="AK55" s="114"/>
      <c r="AL55" s="114"/>
      <c r="AM55" s="114"/>
      <c r="AN55" s="114"/>
      <c r="AO55" s="114"/>
      <c r="AP55" s="114"/>
      <c r="AQ55" s="114"/>
      <c r="AR55" s="114"/>
      <c r="AS55" s="112"/>
      <c r="AT55" s="112"/>
      <c r="AU55" s="112"/>
      <c r="AV55" s="112"/>
      <c r="AW55" s="112"/>
      <c r="AX55" s="112"/>
      <c r="AY55" s="112"/>
      <c r="AZ55" s="112"/>
      <c r="BA55" s="112"/>
      <c r="BB55" s="112"/>
      <c r="BC55" s="112"/>
      <c r="BD55" s="112"/>
      <c r="BE55" s="112"/>
      <c r="BF55" s="112"/>
      <c r="BG55" s="112"/>
      <c r="BH55" s="112"/>
      <c r="BI55" s="112"/>
      <c r="BJ55" s="112"/>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row>
    <row r="56" spans="1:84">
      <c r="A56" s="112"/>
      <c r="B56" s="114"/>
      <c r="C56" s="114"/>
      <c r="D56" s="114"/>
      <c r="E56" s="114"/>
      <c r="F56" s="114"/>
      <c r="G56" s="114"/>
      <c r="H56" s="114"/>
      <c r="I56" s="114"/>
      <c r="J56" s="114"/>
      <c r="K56" s="114"/>
      <c r="L56" s="114"/>
      <c r="M56" s="114"/>
      <c r="N56" s="114"/>
      <c r="O56" s="114"/>
      <c r="P56" s="114"/>
      <c r="Q56" s="114"/>
      <c r="R56" s="114"/>
      <c r="S56" s="114"/>
      <c r="T56" s="114"/>
      <c r="U56" s="114"/>
      <c r="V56" s="122">
        <f>100*(+AD50/$E$9)</f>
        <v>182.68770380661107</v>
      </c>
      <c r="W56" s="129">
        <f>EXP(5.6922-(0.68367*LN(V56)))</f>
        <v>8.4300129348572899</v>
      </c>
      <c r="X56" s="123">
        <f>(+W56*V56)/100</f>
        <v>15.400597061291087</v>
      </c>
      <c r="Y56" s="122">
        <f>100*((((X56/100)-((X56/100)-0.03574)*$E$21)-0.03574-0.00619)/0.344)</f>
        <v>20.891145524570113</v>
      </c>
      <c r="Z56" s="114">
        <f>$E$20</f>
        <v>0.25</v>
      </c>
      <c r="AA56" s="122">
        <f>Y56+Z56</f>
        <v>21.141145524570113</v>
      </c>
      <c r="AB56" s="122">
        <f>100*($E$17*$E$19+($E$18*(AA56/100))/(1-$E$21))</f>
        <v>16.958182376149704</v>
      </c>
      <c r="AC56" s="123">
        <f>AB56/V56</f>
        <v>9.2826074348721574E-2</v>
      </c>
      <c r="AD56" s="121">
        <f>ROUND($E$8/(1-AC56),0)</f>
        <v>1153590</v>
      </c>
      <c r="AE56" s="114" t="str">
        <f>IF(OR(OR(AD56=AD50,AD56=(AD50+1)),AD56=(AD50-1)),"yes","not yet")</f>
        <v>yes</v>
      </c>
      <c r="AF56" s="122">
        <f>100*(1-AC56)</f>
        <v>90.717392565127838</v>
      </c>
      <c r="AG56" s="114"/>
      <c r="AH56" s="114"/>
      <c r="AI56" s="114"/>
      <c r="AJ56" s="114"/>
      <c r="AK56" s="114"/>
      <c r="AL56" s="114"/>
      <c r="AM56" s="114"/>
      <c r="AN56" s="114"/>
      <c r="AO56" s="114"/>
      <c r="AP56" s="114"/>
      <c r="AQ56" s="114"/>
      <c r="AR56" s="114"/>
      <c r="AS56" s="112"/>
      <c r="AT56" s="112"/>
      <c r="AU56" s="112"/>
      <c r="AV56" s="112"/>
      <c r="AW56" s="112"/>
      <c r="AX56" s="112"/>
      <c r="AY56" s="112"/>
      <c r="AZ56" s="112"/>
      <c r="BA56" s="112"/>
      <c r="BB56" s="112"/>
      <c r="BC56" s="112"/>
      <c r="BD56" s="112"/>
      <c r="BE56" s="112"/>
      <c r="BF56" s="112"/>
      <c r="BG56" s="112"/>
      <c r="BH56" s="112"/>
      <c r="BI56" s="112"/>
      <c r="BJ56" s="112"/>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row>
    <row r="57" spans="1:84">
      <c r="A57" s="112"/>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22"/>
      <c r="AB57" s="114"/>
      <c r="AC57" s="114"/>
      <c r="AD57" s="114"/>
      <c r="AE57" s="114"/>
      <c r="AF57" s="114"/>
      <c r="AG57" s="114"/>
      <c r="AH57" s="114"/>
      <c r="AI57" s="114"/>
      <c r="AJ57" s="114"/>
      <c r="AK57" s="114"/>
      <c r="AL57" s="114"/>
      <c r="AM57" s="114"/>
      <c r="AN57" s="114"/>
      <c r="AO57" s="114"/>
      <c r="AP57" s="114"/>
      <c r="AQ57" s="114"/>
      <c r="AR57" s="114"/>
      <c r="AS57" s="112"/>
      <c r="AT57" s="112"/>
      <c r="AU57" s="112"/>
      <c r="AV57" s="112"/>
      <c r="AW57" s="112"/>
      <c r="AX57" s="112"/>
      <c r="AY57" s="112"/>
      <c r="AZ57" s="112"/>
      <c r="BA57" s="112"/>
      <c r="BB57" s="112"/>
      <c r="BC57" s="112"/>
      <c r="BD57" s="112"/>
      <c r="BE57" s="112"/>
      <c r="BF57" s="112"/>
      <c r="BG57" s="112"/>
      <c r="BH57" s="112"/>
      <c r="BI57" s="112"/>
      <c r="BJ57" s="112"/>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row>
    <row r="58" spans="1:84">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row>
    <row r="59" spans="1:84">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row>
    <row r="60" spans="1:84">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row>
    <row r="61" spans="1:84">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row>
    <row r="62" spans="1:84">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row>
    <row r="63" spans="1:84">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row>
    <row r="64" spans="1:84">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row>
    <row r="65" spans="1:84">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row>
    <row r="66" spans="1:84">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row>
    <row r="67" spans="1:84">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row>
    <row r="68" spans="1:84">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row>
    <row r="69" spans="1:84">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row>
    <row r="70" spans="1:84">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row>
    <row r="71" spans="1:84">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row>
    <row r="72" spans="1:84">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row>
    <row r="73" spans="1:84">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row>
    <row r="74" spans="1:84">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row>
    <row r="75" spans="1:84">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row>
    <row r="76" spans="1:84">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row>
    <row r="77" spans="1:84">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row>
    <row r="78" spans="1:84">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row>
    <row r="79" spans="1:84">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row>
    <row r="80" spans="1:84">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row>
    <row r="81" spans="1:84">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row>
    <row r="82" spans="1:84">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row>
    <row r="83" spans="1:84">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row>
    <row r="84" spans="1:84">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row>
    <row r="85" spans="1:84">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row>
    <row r="86" spans="1:84">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row>
    <row r="87" spans="1:84">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row>
    <row r="88" spans="1:84">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row>
    <row r="89" spans="1:84">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row>
    <row r="90" spans="1:84">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row>
    <row r="91" spans="1:84">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row>
    <row r="92" spans="1:84">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row>
    <row r="93" spans="1:84">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row>
    <row r="94" spans="1:84">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row>
    <row r="95" spans="1:84">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row>
    <row r="96" spans="1:84">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row>
    <row r="97" spans="1:84">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row>
    <row r="98" spans="1:84">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row>
    <row r="99" spans="1:84">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row>
    <row r="100" spans="1:84">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row>
    <row r="101" spans="1:84">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row>
    <row r="102" spans="1:84">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row>
    <row r="103" spans="1:84">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row>
    <row r="104" spans="1:84">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row>
    <row r="105" spans="1:84">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row>
    <row r="106" spans="1:84">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row>
    <row r="107" spans="1:84">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row>
    <row r="108" spans="1:84">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row>
    <row r="109" spans="1:84">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row>
    <row r="110" spans="1:84">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row>
    <row r="111" spans="1:84">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row>
    <row r="112" spans="1:84">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row>
    <row r="113" spans="1:84">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row>
    <row r="114" spans="1:84">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row>
    <row r="115" spans="1:84">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row>
    <row r="116" spans="1:84">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row>
    <row r="117" spans="1:84">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row>
    <row r="118" spans="1:84">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row>
    <row r="119" spans="1:84">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row>
    <row r="120" spans="1:84">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row>
    <row r="121" spans="1:84">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row>
    <row r="122" spans="1:84">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row>
    <row r="123" spans="1:84">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row>
    <row r="124" spans="1:84">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row>
    <row r="125" spans="1:84">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row>
    <row r="126" spans="1:84">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row>
    <row r="127" spans="1:84">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row>
    <row r="128" spans="1:84">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row>
    <row r="129" spans="1:84">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row>
    <row r="130" spans="1:84">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row>
    <row r="131" spans="1:84">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row>
    <row r="132" spans="1:84">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row>
    <row r="133" spans="1:84">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row>
    <row r="134" spans="1:84">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row>
    <row r="135" spans="1:84">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row>
    <row r="136" spans="1:84">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row>
    <row r="137" spans="1:84">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row>
    <row r="138" spans="1:84">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row>
    <row r="139" spans="1:84">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row>
    <row r="140" spans="1:84">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row>
    <row r="141" spans="1:84">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row>
    <row r="142" spans="1:84">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row>
    <row r="143" spans="1:84">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row>
    <row r="144" spans="1:84">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row>
    <row r="145" spans="1:84">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row>
    <row r="146" spans="1:84">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row>
    <row r="147" spans="1:84">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row>
    <row r="148" spans="1:84">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row>
    <row r="149" spans="1:84">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row>
    <row r="150" spans="1:84">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row>
    <row r="151" spans="1:84">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row>
    <row r="152" spans="1:84">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row>
    <row r="153" spans="1:84">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row>
    <row r="154" spans="1:84">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row>
    <row r="155" spans="1:84">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3"/>
      <c r="BL155" s="113"/>
      <c r="BM155" s="113"/>
      <c r="BN155" s="113"/>
      <c r="BO155" s="113"/>
      <c r="BP155" s="113"/>
      <c r="BQ155" s="113"/>
      <c r="BR155" s="113"/>
      <c r="BS155" s="113"/>
      <c r="BT155" s="113"/>
      <c r="BU155" s="113"/>
      <c r="BV155" s="113"/>
      <c r="BW155" s="113"/>
      <c r="BX155" s="113"/>
      <c r="BY155" s="113"/>
      <c r="BZ155" s="113"/>
      <c r="CA155" s="113"/>
      <c r="CB155" s="113"/>
      <c r="CC155" s="113"/>
      <c r="CD155" s="113"/>
      <c r="CE155" s="113"/>
      <c r="CF155" s="113"/>
    </row>
    <row r="156" spans="1:84">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c r="CF156" s="113"/>
    </row>
    <row r="157" spans="1:84">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row>
    <row r="158" spans="1:84">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3"/>
      <c r="BL158" s="113"/>
      <c r="BM158" s="113"/>
      <c r="BN158" s="113"/>
      <c r="BO158" s="113"/>
      <c r="BP158" s="113"/>
      <c r="BQ158" s="113"/>
      <c r="BR158" s="113"/>
      <c r="BS158" s="113"/>
      <c r="BT158" s="113"/>
      <c r="BU158" s="113"/>
      <c r="BV158" s="113"/>
      <c r="BW158" s="113"/>
      <c r="BX158" s="113"/>
      <c r="BY158" s="113"/>
      <c r="BZ158" s="113"/>
      <c r="CA158" s="113"/>
      <c r="CB158" s="113"/>
      <c r="CC158" s="113"/>
      <c r="CD158" s="113"/>
      <c r="CE158" s="113"/>
      <c r="CF158" s="113"/>
    </row>
    <row r="159" spans="1:84">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row>
    <row r="160" spans="1:84">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row>
    <row r="161" spans="1:84">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row>
    <row r="162" spans="1:84">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row>
    <row r="163" spans="1:84">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row>
    <row r="164" spans="1:84">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row>
    <row r="165" spans="1:84">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row>
    <row r="166" spans="1:84">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row>
    <row r="167" spans="1:84">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3"/>
      <c r="BL167" s="113"/>
      <c r="BM167" s="113"/>
      <c r="BN167" s="113"/>
      <c r="BO167" s="113"/>
      <c r="BP167" s="113"/>
      <c r="BQ167" s="113"/>
      <c r="BR167" s="113"/>
      <c r="BS167" s="113"/>
      <c r="BT167" s="113"/>
      <c r="BU167" s="113"/>
      <c r="BV167" s="113"/>
      <c r="BW167" s="113"/>
      <c r="BX167" s="113"/>
      <c r="BY167" s="113"/>
      <c r="BZ167" s="113"/>
      <c r="CA167" s="113"/>
      <c r="CB167" s="113"/>
      <c r="CC167" s="113"/>
      <c r="CD167" s="113"/>
      <c r="CE167" s="113"/>
      <c r="CF167" s="113"/>
    </row>
    <row r="168" spans="1:84">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3"/>
      <c r="BL168" s="113"/>
      <c r="BM168" s="113"/>
      <c r="BN168" s="113"/>
      <c r="BO168" s="113"/>
      <c r="BP168" s="113"/>
      <c r="BQ168" s="113"/>
      <c r="BR168" s="113"/>
      <c r="BS168" s="113"/>
      <c r="BT168" s="113"/>
      <c r="BU168" s="113"/>
      <c r="BV168" s="113"/>
      <c r="BW168" s="113"/>
      <c r="BX168" s="113"/>
      <c r="BY168" s="113"/>
      <c r="BZ168" s="113"/>
      <c r="CA168" s="113"/>
      <c r="CB168" s="113"/>
      <c r="CC168" s="113"/>
      <c r="CD168" s="113"/>
      <c r="CE168" s="113"/>
      <c r="CF168" s="113"/>
    </row>
    <row r="169" spans="1:84">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row>
    <row r="170" spans="1:84">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c r="CF170" s="113"/>
    </row>
    <row r="171" spans="1:84">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3"/>
      <c r="BL171" s="113"/>
      <c r="BM171" s="113"/>
      <c r="BN171" s="113"/>
      <c r="BO171" s="113"/>
      <c r="BP171" s="113"/>
      <c r="BQ171" s="113"/>
      <c r="BR171" s="113"/>
      <c r="BS171" s="113"/>
      <c r="BT171" s="113"/>
      <c r="BU171" s="113"/>
      <c r="BV171" s="113"/>
      <c r="BW171" s="113"/>
      <c r="BX171" s="113"/>
      <c r="BY171" s="113"/>
      <c r="BZ171" s="113"/>
      <c r="CA171" s="113"/>
      <c r="CB171" s="113"/>
      <c r="CC171" s="113"/>
      <c r="CD171" s="113"/>
      <c r="CE171" s="113"/>
      <c r="CF171" s="113"/>
    </row>
    <row r="172" spans="1:84">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c r="CF172" s="113"/>
    </row>
    <row r="173" spans="1:84">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row>
    <row r="174" spans="1:84">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row>
    <row r="175" spans="1:84">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3"/>
      <c r="BL175" s="113"/>
      <c r="BM175" s="113"/>
      <c r="BN175" s="113"/>
      <c r="BO175" s="113"/>
      <c r="BP175" s="113"/>
      <c r="BQ175" s="113"/>
      <c r="BR175" s="113"/>
      <c r="BS175" s="113"/>
      <c r="BT175" s="113"/>
      <c r="BU175" s="113"/>
      <c r="BV175" s="113"/>
      <c r="BW175" s="113"/>
      <c r="BX175" s="113"/>
      <c r="BY175" s="113"/>
      <c r="BZ175" s="113"/>
      <c r="CA175" s="113"/>
      <c r="CB175" s="113"/>
      <c r="CC175" s="113"/>
      <c r="CD175" s="113"/>
      <c r="CE175" s="113"/>
      <c r="CF175" s="113"/>
    </row>
    <row r="176" spans="1:84">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3"/>
      <c r="BL176" s="113"/>
      <c r="BM176" s="113"/>
      <c r="BN176" s="113"/>
      <c r="BO176" s="113"/>
      <c r="BP176" s="113"/>
      <c r="BQ176" s="113"/>
      <c r="BR176" s="113"/>
      <c r="BS176" s="113"/>
      <c r="BT176" s="113"/>
      <c r="BU176" s="113"/>
      <c r="BV176" s="113"/>
      <c r="BW176" s="113"/>
      <c r="BX176" s="113"/>
      <c r="BY176" s="113"/>
      <c r="BZ176" s="113"/>
      <c r="CA176" s="113"/>
      <c r="CB176" s="113"/>
      <c r="CC176" s="113"/>
      <c r="CD176" s="113"/>
      <c r="CE176" s="113"/>
      <c r="CF176" s="113"/>
    </row>
    <row r="177" spans="1:84">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3"/>
      <c r="BL177" s="113"/>
      <c r="BM177" s="113"/>
      <c r="BN177" s="113"/>
      <c r="BO177" s="113"/>
      <c r="BP177" s="113"/>
      <c r="BQ177" s="113"/>
      <c r="BR177" s="113"/>
      <c r="BS177" s="113"/>
      <c r="BT177" s="113"/>
      <c r="BU177" s="113"/>
      <c r="BV177" s="113"/>
      <c r="BW177" s="113"/>
      <c r="BX177" s="113"/>
      <c r="BY177" s="113"/>
      <c r="BZ177" s="113"/>
      <c r="CA177" s="113"/>
      <c r="CB177" s="113"/>
      <c r="CC177" s="113"/>
      <c r="CD177" s="113"/>
      <c r="CE177" s="113"/>
      <c r="CF177" s="113"/>
    </row>
    <row r="178" spans="1:84">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3"/>
      <c r="BL178" s="113"/>
      <c r="BM178" s="113"/>
      <c r="BN178" s="113"/>
      <c r="BO178" s="113"/>
      <c r="BP178" s="113"/>
      <c r="BQ178" s="113"/>
      <c r="BR178" s="113"/>
      <c r="BS178" s="113"/>
      <c r="BT178" s="113"/>
      <c r="BU178" s="113"/>
      <c r="BV178" s="113"/>
      <c r="BW178" s="113"/>
      <c r="BX178" s="113"/>
      <c r="BY178" s="113"/>
      <c r="BZ178" s="113"/>
      <c r="CA178" s="113"/>
      <c r="CB178" s="113"/>
      <c r="CC178" s="113"/>
      <c r="CD178" s="113"/>
      <c r="CE178" s="113"/>
      <c r="CF178" s="113"/>
    </row>
    <row r="179" spans="1:84">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3"/>
      <c r="BL179" s="113"/>
      <c r="BM179" s="113"/>
      <c r="BN179" s="113"/>
      <c r="BO179" s="113"/>
      <c r="BP179" s="113"/>
      <c r="BQ179" s="113"/>
      <c r="BR179" s="113"/>
      <c r="BS179" s="113"/>
      <c r="BT179" s="113"/>
      <c r="BU179" s="113"/>
      <c r="BV179" s="113"/>
      <c r="BW179" s="113"/>
      <c r="BX179" s="113"/>
      <c r="BY179" s="113"/>
      <c r="BZ179" s="113"/>
      <c r="CA179" s="113"/>
      <c r="CB179" s="113"/>
      <c r="CC179" s="113"/>
      <c r="CD179" s="113"/>
      <c r="CE179" s="113"/>
      <c r="CF179" s="113"/>
    </row>
    <row r="180" spans="1:84">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3"/>
      <c r="BL180" s="113"/>
      <c r="BM180" s="113"/>
      <c r="BN180" s="113"/>
      <c r="BO180" s="113"/>
      <c r="BP180" s="113"/>
      <c r="BQ180" s="113"/>
      <c r="BR180" s="113"/>
      <c r="BS180" s="113"/>
      <c r="BT180" s="113"/>
      <c r="BU180" s="113"/>
      <c r="BV180" s="113"/>
      <c r="BW180" s="113"/>
      <c r="BX180" s="113"/>
      <c r="BY180" s="113"/>
      <c r="BZ180" s="113"/>
      <c r="CA180" s="113"/>
      <c r="CB180" s="113"/>
      <c r="CC180" s="113"/>
      <c r="CD180" s="113"/>
      <c r="CE180" s="113"/>
      <c r="CF180" s="113"/>
    </row>
    <row r="181" spans="1:84">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row>
    <row r="182" spans="1:84">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row>
    <row r="183" spans="1:84">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row>
    <row r="184" spans="1:84">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3"/>
      <c r="BL184" s="113"/>
      <c r="BM184" s="113"/>
      <c r="BN184" s="113"/>
      <c r="BO184" s="113"/>
      <c r="BP184" s="113"/>
      <c r="BQ184" s="113"/>
      <c r="BR184" s="113"/>
      <c r="BS184" s="113"/>
      <c r="BT184" s="113"/>
      <c r="BU184" s="113"/>
      <c r="BV184" s="113"/>
      <c r="BW184" s="113"/>
      <c r="BX184" s="113"/>
      <c r="BY184" s="113"/>
      <c r="BZ184" s="113"/>
      <c r="CA184" s="113"/>
      <c r="CB184" s="113"/>
      <c r="CC184" s="113"/>
      <c r="CD184" s="113"/>
      <c r="CE184" s="113"/>
      <c r="CF184" s="113"/>
    </row>
    <row r="185" spans="1:84">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3"/>
      <c r="BL185" s="113"/>
      <c r="BM185" s="113"/>
      <c r="BN185" s="113"/>
      <c r="BO185" s="113"/>
      <c r="BP185" s="113"/>
      <c r="BQ185" s="113"/>
      <c r="BR185" s="113"/>
      <c r="BS185" s="113"/>
      <c r="BT185" s="113"/>
      <c r="BU185" s="113"/>
      <c r="BV185" s="113"/>
      <c r="BW185" s="113"/>
      <c r="BX185" s="113"/>
      <c r="BY185" s="113"/>
      <c r="BZ185" s="113"/>
      <c r="CA185" s="113"/>
      <c r="CB185" s="113"/>
      <c r="CC185" s="113"/>
      <c r="CD185" s="113"/>
      <c r="CE185" s="113"/>
      <c r="CF185" s="113"/>
    </row>
    <row r="186" spans="1:84">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row>
    <row r="187" spans="1:84">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row>
    <row r="188" spans="1:84">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3"/>
      <c r="BL188" s="113"/>
      <c r="BM188" s="113"/>
      <c r="BN188" s="113"/>
      <c r="BO188" s="113"/>
      <c r="BP188" s="113"/>
      <c r="BQ188" s="113"/>
      <c r="BR188" s="113"/>
      <c r="BS188" s="113"/>
      <c r="BT188" s="113"/>
      <c r="BU188" s="113"/>
      <c r="BV188" s="113"/>
      <c r="BW188" s="113"/>
      <c r="BX188" s="113"/>
      <c r="BY188" s="113"/>
      <c r="BZ188" s="113"/>
      <c r="CA188" s="113"/>
      <c r="CB188" s="113"/>
      <c r="CC188" s="113"/>
      <c r="CD188" s="113"/>
      <c r="CE188" s="113"/>
      <c r="CF188" s="113"/>
    </row>
    <row r="189" spans="1:84">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row>
    <row r="190" spans="1:84">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row>
    <row r="191" spans="1:84">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row>
    <row r="192" spans="1:84">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row>
    <row r="193" spans="1:84">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row>
    <row r="194" spans="1:84">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row>
    <row r="195" spans="1:84">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row>
    <row r="196" spans="1:84">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row>
    <row r="197" spans="1:84">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row>
    <row r="198" spans="1:84">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row>
    <row r="199" spans="1:84">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row>
    <row r="200" spans="1:84">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row>
    <row r="201" spans="1:84">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row>
    <row r="202" spans="1:84">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row>
    <row r="203" spans="1:84">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row>
    <row r="204" spans="1:84">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row>
    <row r="205" spans="1:84">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row>
    <row r="206" spans="1:84">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3"/>
      <c r="BL206" s="113"/>
      <c r="BM206" s="113"/>
      <c r="BN206" s="113"/>
      <c r="BO206" s="113"/>
      <c r="BP206" s="113"/>
      <c r="BQ206" s="113"/>
      <c r="BR206" s="113"/>
      <c r="BS206" s="113"/>
      <c r="BT206" s="113"/>
      <c r="BU206" s="113"/>
      <c r="BV206" s="113"/>
      <c r="BW206" s="113"/>
      <c r="BX206" s="113"/>
      <c r="BY206" s="113"/>
      <c r="BZ206" s="113"/>
      <c r="CA206" s="113"/>
      <c r="CB206" s="113"/>
      <c r="CC206" s="113"/>
      <c r="CD206" s="113"/>
      <c r="CE206" s="113"/>
      <c r="CF206" s="113"/>
    </row>
    <row r="207" spans="1:84">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row>
    <row r="208" spans="1:84">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row>
    <row r="209" spans="1:84">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row>
    <row r="210" spans="1:84">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3"/>
      <c r="BL210" s="113"/>
      <c r="BM210" s="113"/>
      <c r="BN210" s="113"/>
      <c r="BO210" s="113"/>
      <c r="BP210" s="113"/>
      <c r="BQ210" s="113"/>
      <c r="BR210" s="113"/>
      <c r="BS210" s="113"/>
      <c r="BT210" s="113"/>
      <c r="BU210" s="113"/>
      <c r="BV210" s="113"/>
      <c r="BW210" s="113"/>
      <c r="BX210" s="113"/>
      <c r="BY210" s="113"/>
      <c r="BZ210" s="113"/>
      <c r="CA210" s="113"/>
      <c r="CB210" s="113"/>
      <c r="CC210" s="113"/>
      <c r="CD210" s="113"/>
      <c r="CE210" s="113"/>
      <c r="CF210" s="113"/>
    </row>
    <row r="211" spans="1:84">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3"/>
      <c r="BL211" s="113"/>
      <c r="BM211" s="113"/>
      <c r="BN211" s="113"/>
      <c r="BO211" s="113"/>
      <c r="BP211" s="113"/>
      <c r="BQ211" s="113"/>
      <c r="BR211" s="113"/>
      <c r="BS211" s="113"/>
      <c r="BT211" s="113"/>
      <c r="BU211" s="113"/>
      <c r="BV211" s="113"/>
      <c r="BW211" s="113"/>
      <c r="BX211" s="113"/>
      <c r="BY211" s="113"/>
      <c r="BZ211" s="113"/>
      <c r="CA211" s="113"/>
      <c r="CB211" s="113"/>
      <c r="CC211" s="113"/>
      <c r="CD211" s="113"/>
      <c r="CE211" s="113"/>
      <c r="CF211" s="113"/>
    </row>
    <row r="212" spans="1:84">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row>
    <row r="213" spans="1:84">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row>
    <row r="214" spans="1:84">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row>
    <row r="215" spans="1:84">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row>
    <row r="216" spans="1:84">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row>
    <row r="217" spans="1:84">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row>
    <row r="218" spans="1:84">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row>
    <row r="219" spans="1:84">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row>
    <row r="220" spans="1:84">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row>
    <row r="221" spans="1:84">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row>
    <row r="222" spans="1:84">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3"/>
      <c r="BL222" s="113"/>
      <c r="BM222" s="113"/>
      <c r="BN222" s="113"/>
      <c r="BO222" s="113"/>
      <c r="BP222" s="113"/>
      <c r="BQ222" s="113"/>
      <c r="BR222" s="113"/>
      <c r="BS222" s="113"/>
      <c r="BT222" s="113"/>
      <c r="BU222" s="113"/>
      <c r="BV222" s="113"/>
      <c r="BW222" s="113"/>
      <c r="BX222" s="113"/>
      <c r="BY222" s="113"/>
      <c r="BZ222" s="113"/>
      <c r="CA222" s="113"/>
      <c r="CB222" s="113"/>
      <c r="CC222" s="113"/>
      <c r="CD222" s="113"/>
      <c r="CE222" s="113"/>
      <c r="CF222" s="113"/>
    </row>
    <row r="223" spans="1:84">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3"/>
      <c r="BL223" s="113"/>
      <c r="BM223" s="113"/>
      <c r="BN223" s="113"/>
      <c r="BO223" s="113"/>
      <c r="BP223" s="113"/>
      <c r="BQ223" s="113"/>
      <c r="BR223" s="113"/>
      <c r="BS223" s="113"/>
      <c r="BT223" s="113"/>
      <c r="BU223" s="113"/>
      <c r="BV223" s="113"/>
      <c r="BW223" s="113"/>
      <c r="BX223" s="113"/>
      <c r="BY223" s="113"/>
      <c r="BZ223" s="113"/>
      <c r="CA223" s="113"/>
      <c r="CB223" s="113"/>
      <c r="CC223" s="113"/>
      <c r="CD223" s="113"/>
      <c r="CE223" s="113"/>
      <c r="CF223" s="113"/>
    </row>
    <row r="224" spans="1:84">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3"/>
      <c r="BL224" s="113"/>
      <c r="BM224" s="113"/>
      <c r="BN224" s="113"/>
      <c r="BO224" s="113"/>
      <c r="BP224" s="113"/>
      <c r="BQ224" s="113"/>
      <c r="BR224" s="113"/>
      <c r="BS224" s="113"/>
      <c r="BT224" s="113"/>
      <c r="BU224" s="113"/>
      <c r="BV224" s="113"/>
      <c r="BW224" s="113"/>
      <c r="BX224" s="113"/>
      <c r="BY224" s="113"/>
      <c r="BZ224" s="113"/>
      <c r="CA224" s="113"/>
      <c r="CB224" s="113"/>
      <c r="CC224" s="113"/>
      <c r="CD224" s="113"/>
      <c r="CE224" s="113"/>
      <c r="CF224" s="113"/>
    </row>
    <row r="225" spans="1:84">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row>
    <row r="226" spans="1:84">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3"/>
      <c r="BL226" s="113"/>
      <c r="BM226" s="113"/>
      <c r="BN226" s="113"/>
      <c r="BO226" s="113"/>
      <c r="BP226" s="113"/>
      <c r="BQ226" s="113"/>
      <c r="BR226" s="113"/>
      <c r="BS226" s="113"/>
      <c r="BT226" s="113"/>
      <c r="BU226" s="113"/>
      <c r="BV226" s="113"/>
      <c r="BW226" s="113"/>
      <c r="BX226" s="113"/>
      <c r="BY226" s="113"/>
      <c r="BZ226" s="113"/>
      <c r="CA226" s="113"/>
      <c r="CB226" s="113"/>
      <c r="CC226" s="113"/>
      <c r="CD226" s="113"/>
      <c r="CE226" s="113"/>
      <c r="CF226" s="113"/>
    </row>
    <row r="227" spans="1:84">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3"/>
      <c r="BL227" s="113"/>
      <c r="BM227" s="113"/>
      <c r="BN227" s="113"/>
      <c r="BO227" s="113"/>
      <c r="BP227" s="113"/>
      <c r="BQ227" s="113"/>
      <c r="BR227" s="113"/>
      <c r="BS227" s="113"/>
      <c r="BT227" s="113"/>
      <c r="BU227" s="113"/>
      <c r="BV227" s="113"/>
      <c r="BW227" s="113"/>
      <c r="BX227" s="113"/>
      <c r="BY227" s="113"/>
      <c r="BZ227" s="113"/>
      <c r="CA227" s="113"/>
      <c r="CB227" s="113"/>
      <c r="CC227" s="113"/>
      <c r="CD227" s="113"/>
      <c r="CE227" s="113"/>
      <c r="CF227" s="113"/>
    </row>
    <row r="228" spans="1:84">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3"/>
      <c r="BL228" s="113"/>
      <c r="BM228" s="113"/>
      <c r="BN228" s="113"/>
      <c r="BO228" s="113"/>
      <c r="BP228" s="113"/>
      <c r="BQ228" s="113"/>
      <c r="BR228" s="113"/>
      <c r="BS228" s="113"/>
      <c r="BT228" s="113"/>
      <c r="BU228" s="113"/>
      <c r="BV228" s="113"/>
      <c r="BW228" s="113"/>
      <c r="BX228" s="113"/>
      <c r="BY228" s="113"/>
      <c r="BZ228" s="113"/>
      <c r="CA228" s="113"/>
      <c r="CB228" s="113"/>
      <c r="CC228" s="113"/>
      <c r="CD228" s="113"/>
      <c r="CE228" s="113"/>
      <c r="CF228" s="113"/>
    </row>
    <row r="229" spans="1:84">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3"/>
      <c r="BL229" s="113"/>
      <c r="BM229" s="113"/>
      <c r="BN229" s="113"/>
      <c r="BO229" s="113"/>
      <c r="BP229" s="113"/>
      <c r="BQ229" s="113"/>
      <c r="BR229" s="113"/>
      <c r="BS229" s="113"/>
      <c r="BT229" s="113"/>
      <c r="BU229" s="113"/>
      <c r="BV229" s="113"/>
      <c r="BW229" s="113"/>
      <c r="BX229" s="113"/>
      <c r="BY229" s="113"/>
      <c r="BZ229" s="113"/>
      <c r="CA229" s="113"/>
      <c r="CB229" s="113"/>
      <c r="CC229" s="113"/>
      <c r="CD229" s="113"/>
      <c r="CE229" s="113"/>
      <c r="CF229" s="113"/>
    </row>
    <row r="230" spans="1:84">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3"/>
      <c r="BL230" s="113"/>
      <c r="BM230" s="113"/>
      <c r="BN230" s="113"/>
      <c r="BO230" s="113"/>
      <c r="BP230" s="113"/>
      <c r="BQ230" s="113"/>
      <c r="BR230" s="113"/>
      <c r="BS230" s="113"/>
      <c r="BT230" s="113"/>
      <c r="BU230" s="113"/>
      <c r="BV230" s="113"/>
      <c r="BW230" s="113"/>
      <c r="BX230" s="113"/>
      <c r="BY230" s="113"/>
      <c r="BZ230" s="113"/>
      <c r="CA230" s="113"/>
      <c r="CB230" s="113"/>
      <c r="CC230" s="113"/>
      <c r="CD230" s="113"/>
      <c r="CE230" s="113"/>
      <c r="CF230" s="113"/>
    </row>
    <row r="231" spans="1:84">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3"/>
      <c r="BL231" s="113"/>
      <c r="BM231" s="113"/>
      <c r="BN231" s="113"/>
      <c r="BO231" s="113"/>
      <c r="BP231" s="113"/>
      <c r="BQ231" s="113"/>
      <c r="BR231" s="113"/>
      <c r="BS231" s="113"/>
      <c r="BT231" s="113"/>
      <c r="BU231" s="113"/>
      <c r="BV231" s="113"/>
      <c r="BW231" s="113"/>
      <c r="BX231" s="113"/>
      <c r="BY231" s="113"/>
      <c r="BZ231" s="113"/>
      <c r="CA231" s="113"/>
      <c r="CB231" s="113"/>
      <c r="CC231" s="113"/>
      <c r="CD231" s="113"/>
      <c r="CE231" s="113"/>
      <c r="CF231" s="113"/>
    </row>
    <row r="232" spans="1:84">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3"/>
      <c r="BL232" s="113"/>
      <c r="BM232" s="113"/>
      <c r="BN232" s="113"/>
      <c r="BO232" s="113"/>
      <c r="BP232" s="113"/>
      <c r="BQ232" s="113"/>
      <c r="BR232" s="113"/>
      <c r="BS232" s="113"/>
      <c r="BT232" s="113"/>
      <c r="BU232" s="113"/>
      <c r="BV232" s="113"/>
      <c r="BW232" s="113"/>
      <c r="BX232" s="113"/>
      <c r="BY232" s="113"/>
      <c r="BZ232" s="113"/>
      <c r="CA232" s="113"/>
      <c r="CB232" s="113"/>
      <c r="CC232" s="113"/>
      <c r="CD232" s="113"/>
      <c r="CE232" s="113"/>
      <c r="CF232" s="113"/>
    </row>
    <row r="233" spans="1:84">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3"/>
      <c r="BL233" s="113"/>
      <c r="BM233" s="113"/>
      <c r="BN233" s="113"/>
      <c r="BO233" s="113"/>
      <c r="BP233" s="113"/>
      <c r="BQ233" s="113"/>
      <c r="BR233" s="113"/>
      <c r="BS233" s="113"/>
      <c r="BT233" s="113"/>
      <c r="BU233" s="113"/>
      <c r="BV233" s="113"/>
      <c r="BW233" s="113"/>
      <c r="BX233" s="113"/>
      <c r="BY233" s="113"/>
      <c r="BZ233" s="113"/>
      <c r="CA233" s="113"/>
      <c r="CB233" s="113"/>
      <c r="CC233" s="113"/>
      <c r="CD233" s="113"/>
      <c r="CE233" s="113"/>
      <c r="CF233" s="113"/>
    </row>
    <row r="234" spans="1:84">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3"/>
      <c r="BL234" s="113"/>
      <c r="BM234" s="113"/>
      <c r="BN234" s="113"/>
      <c r="BO234" s="113"/>
      <c r="BP234" s="113"/>
      <c r="BQ234" s="113"/>
      <c r="BR234" s="113"/>
      <c r="BS234" s="113"/>
      <c r="BT234" s="113"/>
      <c r="BU234" s="113"/>
      <c r="BV234" s="113"/>
      <c r="BW234" s="113"/>
      <c r="BX234" s="113"/>
      <c r="BY234" s="113"/>
      <c r="BZ234" s="113"/>
      <c r="CA234" s="113"/>
      <c r="CB234" s="113"/>
      <c r="CC234" s="113"/>
      <c r="CD234" s="113"/>
      <c r="CE234" s="113"/>
      <c r="CF234" s="113"/>
    </row>
    <row r="235" spans="1:84">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3"/>
      <c r="BL235" s="113"/>
      <c r="BM235" s="113"/>
      <c r="BN235" s="113"/>
      <c r="BO235" s="113"/>
      <c r="BP235" s="113"/>
      <c r="BQ235" s="113"/>
      <c r="BR235" s="113"/>
      <c r="BS235" s="113"/>
      <c r="BT235" s="113"/>
      <c r="BU235" s="113"/>
      <c r="BV235" s="113"/>
      <c r="BW235" s="113"/>
      <c r="BX235" s="113"/>
      <c r="BY235" s="113"/>
      <c r="BZ235" s="113"/>
      <c r="CA235" s="113"/>
      <c r="CB235" s="113"/>
      <c r="CC235" s="113"/>
      <c r="CD235" s="113"/>
      <c r="CE235" s="113"/>
      <c r="CF235" s="113"/>
    </row>
    <row r="236" spans="1:84">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3"/>
      <c r="BL236" s="113"/>
      <c r="BM236" s="113"/>
      <c r="BN236" s="113"/>
      <c r="BO236" s="113"/>
      <c r="BP236" s="113"/>
      <c r="BQ236" s="113"/>
      <c r="BR236" s="113"/>
      <c r="BS236" s="113"/>
      <c r="BT236" s="113"/>
      <c r="BU236" s="113"/>
      <c r="BV236" s="113"/>
      <c r="BW236" s="113"/>
      <c r="BX236" s="113"/>
      <c r="BY236" s="113"/>
      <c r="BZ236" s="113"/>
      <c r="CA236" s="113"/>
      <c r="CB236" s="113"/>
      <c r="CC236" s="113"/>
      <c r="CD236" s="113"/>
      <c r="CE236" s="113"/>
      <c r="CF236" s="113"/>
    </row>
    <row r="237" spans="1:84">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row>
    <row r="238" spans="1:84">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3"/>
      <c r="BL238" s="113"/>
      <c r="BM238" s="113"/>
      <c r="BN238" s="113"/>
      <c r="BO238" s="113"/>
      <c r="BP238" s="113"/>
      <c r="BQ238" s="113"/>
      <c r="BR238" s="113"/>
      <c r="BS238" s="113"/>
      <c r="BT238" s="113"/>
      <c r="BU238" s="113"/>
      <c r="BV238" s="113"/>
      <c r="BW238" s="113"/>
      <c r="BX238" s="113"/>
      <c r="BY238" s="113"/>
      <c r="BZ238" s="113"/>
      <c r="CA238" s="113"/>
      <c r="CB238" s="113"/>
      <c r="CC238" s="113"/>
      <c r="CD238" s="113"/>
      <c r="CE238" s="113"/>
      <c r="CF238" s="113"/>
    </row>
    <row r="239" spans="1:84">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3"/>
      <c r="BL239" s="113"/>
      <c r="BM239" s="113"/>
      <c r="BN239" s="113"/>
      <c r="BO239" s="113"/>
      <c r="BP239" s="113"/>
      <c r="BQ239" s="113"/>
      <c r="BR239" s="113"/>
      <c r="BS239" s="113"/>
      <c r="BT239" s="113"/>
      <c r="BU239" s="113"/>
      <c r="BV239" s="113"/>
      <c r="BW239" s="113"/>
      <c r="BX239" s="113"/>
      <c r="BY239" s="113"/>
      <c r="BZ239" s="113"/>
      <c r="CA239" s="113"/>
      <c r="CB239" s="113"/>
      <c r="CC239" s="113"/>
      <c r="CD239" s="113"/>
      <c r="CE239" s="113"/>
      <c r="CF239" s="113"/>
    </row>
    <row r="240" spans="1:84">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row>
    <row r="241" spans="1:84">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3"/>
      <c r="BL241" s="113"/>
      <c r="BM241" s="113"/>
      <c r="BN241" s="113"/>
      <c r="BO241" s="113"/>
      <c r="BP241" s="113"/>
      <c r="BQ241" s="113"/>
      <c r="BR241" s="113"/>
      <c r="BS241" s="113"/>
      <c r="BT241" s="113"/>
      <c r="BU241" s="113"/>
      <c r="BV241" s="113"/>
      <c r="BW241" s="113"/>
      <c r="BX241" s="113"/>
      <c r="BY241" s="113"/>
      <c r="BZ241" s="113"/>
      <c r="CA241" s="113"/>
      <c r="CB241" s="113"/>
      <c r="CC241" s="113"/>
      <c r="CD241" s="113"/>
      <c r="CE241" s="113"/>
      <c r="CF241" s="113"/>
    </row>
    <row r="242" spans="1:84">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3"/>
      <c r="BL242" s="113"/>
      <c r="BM242" s="113"/>
      <c r="BN242" s="113"/>
      <c r="BO242" s="113"/>
      <c r="BP242" s="113"/>
      <c r="BQ242" s="113"/>
      <c r="BR242" s="113"/>
      <c r="BS242" s="113"/>
      <c r="BT242" s="113"/>
      <c r="BU242" s="113"/>
      <c r="BV242" s="113"/>
      <c r="BW242" s="113"/>
      <c r="BX242" s="113"/>
      <c r="BY242" s="113"/>
      <c r="BZ242" s="113"/>
      <c r="CA242" s="113"/>
      <c r="CB242" s="113"/>
      <c r="CC242" s="113"/>
      <c r="CD242" s="113"/>
      <c r="CE242" s="113"/>
      <c r="CF242" s="113"/>
    </row>
    <row r="243" spans="1:84">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row>
    <row r="244" spans="1:84">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3"/>
      <c r="BL244" s="113"/>
      <c r="BM244" s="113"/>
      <c r="BN244" s="113"/>
      <c r="BO244" s="113"/>
      <c r="BP244" s="113"/>
      <c r="BQ244" s="113"/>
      <c r="BR244" s="113"/>
      <c r="BS244" s="113"/>
      <c r="BT244" s="113"/>
      <c r="BU244" s="113"/>
      <c r="BV244" s="113"/>
      <c r="BW244" s="113"/>
      <c r="BX244" s="113"/>
      <c r="BY244" s="113"/>
      <c r="BZ244" s="113"/>
      <c r="CA244" s="113"/>
      <c r="CB244" s="113"/>
      <c r="CC244" s="113"/>
      <c r="CD244" s="113"/>
      <c r="CE244" s="113"/>
      <c r="CF244" s="113"/>
    </row>
    <row r="245" spans="1:84">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3"/>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row>
    <row r="246" spans="1:84">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3"/>
      <c r="BL246" s="113"/>
      <c r="BM246" s="113"/>
      <c r="BN246" s="113"/>
      <c r="BO246" s="113"/>
      <c r="BP246" s="113"/>
      <c r="BQ246" s="113"/>
      <c r="BR246" s="113"/>
      <c r="BS246" s="113"/>
      <c r="BT246" s="113"/>
      <c r="BU246" s="113"/>
      <c r="BV246" s="113"/>
      <c r="BW246" s="113"/>
      <c r="BX246" s="113"/>
      <c r="BY246" s="113"/>
      <c r="BZ246" s="113"/>
      <c r="CA246" s="113"/>
      <c r="CB246" s="113"/>
      <c r="CC246" s="113"/>
      <c r="CD246" s="113"/>
      <c r="CE246" s="113"/>
      <c r="CF246" s="113"/>
    </row>
    <row r="247" spans="1:84">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3"/>
      <c r="BL247" s="113"/>
      <c r="BM247" s="113"/>
      <c r="BN247" s="113"/>
      <c r="BO247" s="113"/>
      <c r="BP247" s="113"/>
      <c r="BQ247" s="113"/>
      <c r="BR247" s="113"/>
      <c r="BS247" s="113"/>
      <c r="BT247" s="113"/>
      <c r="BU247" s="113"/>
      <c r="BV247" s="113"/>
      <c r="BW247" s="113"/>
      <c r="BX247" s="113"/>
      <c r="BY247" s="113"/>
      <c r="BZ247" s="113"/>
      <c r="CA247" s="113"/>
      <c r="CB247" s="113"/>
      <c r="CC247" s="113"/>
      <c r="CD247" s="113"/>
      <c r="CE247" s="113"/>
      <c r="CF247" s="113"/>
    </row>
    <row r="248" spans="1:84">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3"/>
      <c r="BL248" s="113"/>
      <c r="BM248" s="113"/>
      <c r="BN248" s="113"/>
      <c r="BO248" s="113"/>
      <c r="BP248" s="113"/>
      <c r="BQ248" s="113"/>
      <c r="BR248" s="113"/>
      <c r="BS248" s="113"/>
      <c r="BT248" s="113"/>
      <c r="BU248" s="113"/>
      <c r="BV248" s="113"/>
      <c r="BW248" s="113"/>
      <c r="BX248" s="113"/>
      <c r="BY248" s="113"/>
      <c r="BZ248" s="113"/>
      <c r="CA248" s="113"/>
      <c r="CB248" s="113"/>
      <c r="CC248" s="113"/>
      <c r="CD248" s="113"/>
      <c r="CE248" s="113"/>
      <c r="CF248" s="113"/>
    </row>
    <row r="249" spans="1:84">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row>
    <row r="250" spans="1:84">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3"/>
      <c r="BL250" s="113"/>
      <c r="BM250" s="113"/>
      <c r="BN250" s="113"/>
      <c r="BO250" s="113"/>
      <c r="BP250" s="113"/>
      <c r="BQ250" s="113"/>
      <c r="BR250" s="113"/>
      <c r="BS250" s="113"/>
      <c r="BT250" s="113"/>
      <c r="BU250" s="113"/>
      <c r="BV250" s="113"/>
      <c r="BW250" s="113"/>
      <c r="BX250" s="113"/>
      <c r="BY250" s="113"/>
      <c r="BZ250" s="113"/>
      <c r="CA250" s="113"/>
      <c r="CB250" s="113"/>
      <c r="CC250" s="113"/>
      <c r="CD250" s="113"/>
      <c r="CE250" s="113"/>
      <c r="CF250" s="113"/>
    </row>
    <row r="251" spans="1:84">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3"/>
      <c r="BL251" s="113"/>
      <c r="BM251" s="113"/>
      <c r="BN251" s="113"/>
      <c r="BO251" s="113"/>
      <c r="BP251" s="113"/>
      <c r="BQ251" s="113"/>
      <c r="BR251" s="113"/>
      <c r="BS251" s="113"/>
      <c r="BT251" s="113"/>
      <c r="BU251" s="113"/>
      <c r="BV251" s="113"/>
      <c r="BW251" s="113"/>
      <c r="BX251" s="113"/>
      <c r="BY251" s="113"/>
      <c r="BZ251" s="113"/>
      <c r="CA251" s="113"/>
      <c r="CB251" s="113"/>
      <c r="CC251" s="113"/>
      <c r="CD251" s="113"/>
      <c r="CE251" s="113"/>
      <c r="CF251" s="113"/>
    </row>
    <row r="252" spans="1:84">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3"/>
      <c r="BL252" s="113"/>
      <c r="BM252" s="113"/>
      <c r="BN252" s="113"/>
      <c r="BO252" s="113"/>
      <c r="BP252" s="113"/>
      <c r="BQ252" s="113"/>
      <c r="BR252" s="113"/>
      <c r="BS252" s="113"/>
      <c r="BT252" s="113"/>
      <c r="BU252" s="113"/>
      <c r="BV252" s="113"/>
      <c r="BW252" s="113"/>
      <c r="BX252" s="113"/>
      <c r="BY252" s="113"/>
      <c r="BZ252" s="113"/>
      <c r="CA252" s="113"/>
      <c r="CB252" s="113"/>
      <c r="CC252" s="113"/>
      <c r="CD252" s="113"/>
      <c r="CE252" s="113"/>
      <c r="CF252" s="113"/>
    </row>
    <row r="253" spans="1:84">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3"/>
      <c r="BL253" s="113"/>
      <c r="BM253" s="113"/>
      <c r="BN253" s="113"/>
      <c r="BO253" s="113"/>
      <c r="BP253" s="113"/>
      <c r="BQ253" s="113"/>
      <c r="BR253" s="113"/>
      <c r="BS253" s="113"/>
      <c r="BT253" s="113"/>
      <c r="BU253" s="113"/>
      <c r="BV253" s="113"/>
      <c r="BW253" s="113"/>
      <c r="BX253" s="113"/>
      <c r="BY253" s="113"/>
      <c r="BZ253" s="113"/>
      <c r="CA253" s="113"/>
      <c r="CB253" s="113"/>
      <c r="CC253" s="113"/>
      <c r="CD253" s="113"/>
      <c r="CE253" s="113"/>
      <c r="CF253" s="113"/>
    </row>
    <row r="254" spans="1:84">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row>
    <row r="255" spans="1:84">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3"/>
      <c r="BL255" s="113"/>
      <c r="BM255" s="113"/>
      <c r="BN255" s="113"/>
      <c r="BO255" s="113"/>
      <c r="BP255" s="113"/>
      <c r="BQ255" s="113"/>
      <c r="BR255" s="113"/>
      <c r="BS255" s="113"/>
      <c r="BT255" s="113"/>
      <c r="BU255" s="113"/>
      <c r="BV255" s="113"/>
      <c r="BW255" s="113"/>
      <c r="BX255" s="113"/>
      <c r="BY255" s="113"/>
      <c r="BZ255" s="113"/>
      <c r="CA255" s="113"/>
      <c r="CB255" s="113"/>
      <c r="CC255" s="113"/>
      <c r="CD255" s="113"/>
      <c r="CE255" s="113"/>
      <c r="CF255" s="113"/>
    </row>
    <row r="256" spans="1:84">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3"/>
      <c r="BL256" s="113"/>
      <c r="BM256" s="113"/>
      <c r="BN256" s="113"/>
      <c r="BO256" s="113"/>
      <c r="BP256" s="113"/>
      <c r="BQ256" s="113"/>
      <c r="BR256" s="113"/>
      <c r="BS256" s="113"/>
      <c r="BT256" s="113"/>
      <c r="BU256" s="113"/>
      <c r="BV256" s="113"/>
      <c r="BW256" s="113"/>
      <c r="BX256" s="113"/>
      <c r="BY256" s="113"/>
      <c r="BZ256" s="113"/>
      <c r="CA256" s="113"/>
      <c r="CB256" s="113"/>
      <c r="CC256" s="113"/>
      <c r="CD256" s="113"/>
      <c r="CE256" s="113"/>
      <c r="CF256" s="113"/>
    </row>
    <row r="257" spans="1:84">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3"/>
      <c r="BL257" s="113"/>
      <c r="BM257" s="113"/>
      <c r="BN257" s="113"/>
      <c r="BO257" s="113"/>
      <c r="BP257" s="113"/>
      <c r="BQ257" s="113"/>
      <c r="BR257" s="113"/>
      <c r="BS257" s="113"/>
      <c r="BT257" s="113"/>
      <c r="BU257" s="113"/>
      <c r="BV257" s="113"/>
      <c r="BW257" s="113"/>
      <c r="BX257" s="113"/>
      <c r="BY257" s="113"/>
      <c r="BZ257" s="113"/>
      <c r="CA257" s="113"/>
      <c r="CB257" s="113"/>
      <c r="CC257" s="113"/>
      <c r="CD257" s="113"/>
      <c r="CE257" s="113"/>
      <c r="CF257" s="113"/>
    </row>
    <row r="258" spans="1:84">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3"/>
      <c r="BL258" s="113"/>
      <c r="BM258" s="113"/>
      <c r="BN258" s="113"/>
      <c r="BO258" s="113"/>
      <c r="BP258" s="113"/>
      <c r="BQ258" s="113"/>
      <c r="BR258" s="113"/>
      <c r="BS258" s="113"/>
      <c r="BT258" s="113"/>
      <c r="BU258" s="113"/>
      <c r="BV258" s="113"/>
      <c r="BW258" s="113"/>
      <c r="BX258" s="113"/>
      <c r="BY258" s="113"/>
      <c r="BZ258" s="113"/>
      <c r="CA258" s="113"/>
      <c r="CB258" s="113"/>
      <c r="CC258" s="113"/>
      <c r="CD258" s="113"/>
      <c r="CE258" s="113"/>
      <c r="CF258" s="113"/>
    </row>
    <row r="259" spans="1:84">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3"/>
      <c r="BL259" s="113"/>
      <c r="BM259" s="113"/>
      <c r="BN259" s="113"/>
      <c r="BO259" s="113"/>
      <c r="BP259" s="113"/>
      <c r="BQ259" s="113"/>
      <c r="BR259" s="113"/>
      <c r="BS259" s="113"/>
      <c r="BT259" s="113"/>
      <c r="BU259" s="113"/>
      <c r="BV259" s="113"/>
      <c r="BW259" s="113"/>
      <c r="BX259" s="113"/>
      <c r="BY259" s="113"/>
      <c r="BZ259" s="113"/>
      <c r="CA259" s="113"/>
      <c r="CB259" s="113"/>
      <c r="CC259" s="113"/>
      <c r="CD259" s="113"/>
      <c r="CE259" s="113"/>
      <c r="CF259" s="113"/>
    </row>
    <row r="260" spans="1:84">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3"/>
      <c r="BR260" s="113"/>
      <c r="BS260" s="113"/>
      <c r="BT260" s="113"/>
      <c r="BU260" s="113"/>
      <c r="BV260" s="113"/>
      <c r="BW260" s="113"/>
      <c r="BX260" s="113"/>
      <c r="BY260" s="113"/>
      <c r="BZ260" s="113"/>
      <c r="CA260" s="113"/>
      <c r="CB260" s="113"/>
      <c r="CC260" s="113"/>
      <c r="CD260" s="113"/>
      <c r="CE260" s="113"/>
      <c r="CF260" s="113"/>
    </row>
    <row r="261" spans="1:84">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113"/>
      <c r="AY261" s="113"/>
      <c r="AZ261" s="113"/>
      <c r="BA261" s="113"/>
      <c r="BB261" s="113"/>
      <c r="BC261" s="113"/>
      <c r="BD261" s="113"/>
      <c r="BE261" s="113"/>
      <c r="BF261" s="113"/>
      <c r="BG261" s="113"/>
      <c r="BH261" s="113"/>
      <c r="BI261" s="113"/>
      <c r="BJ261" s="113"/>
      <c r="BK261" s="113"/>
      <c r="BL261" s="113"/>
      <c r="BM261" s="113"/>
      <c r="BN261" s="113"/>
      <c r="BO261" s="113"/>
      <c r="BP261" s="113"/>
      <c r="BQ261" s="113"/>
      <c r="BR261" s="113"/>
      <c r="BS261" s="113"/>
      <c r="BT261" s="113"/>
      <c r="BU261" s="113"/>
      <c r="BV261" s="113"/>
      <c r="BW261" s="113"/>
      <c r="BX261" s="113"/>
      <c r="BY261" s="113"/>
      <c r="BZ261" s="113"/>
      <c r="CA261" s="113"/>
      <c r="CB261" s="113"/>
      <c r="CC261" s="113"/>
      <c r="CD261" s="113"/>
      <c r="CE261" s="113"/>
      <c r="CF261" s="113"/>
    </row>
    <row r="262" spans="1:84">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c r="BL262" s="113"/>
      <c r="BM262" s="113"/>
      <c r="BN262" s="113"/>
      <c r="BO262" s="113"/>
      <c r="BP262" s="113"/>
      <c r="BQ262" s="113"/>
      <c r="BR262" s="113"/>
      <c r="BS262" s="113"/>
      <c r="BT262" s="113"/>
      <c r="BU262" s="113"/>
      <c r="BV262" s="113"/>
      <c r="BW262" s="113"/>
      <c r="BX262" s="113"/>
      <c r="BY262" s="113"/>
      <c r="BZ262" s="113"/>
      <c r="CA262" s="113"/>
      <c r="CB262" s="113"/>
      <c r="CC262" s="113"/>
      <c r="CD262" s="113"/>
      <c r="CE262" s="113"/>
      <c r="CF262" s="113"/>
    </row>
    <row r="263" spans="1:84">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c r="BC263" s="113"/>
      <c r="BD263" s="113"/>
      <c r="BE263" s="113"/>
      <c r="BF263" s="113"/>
      <c r="BG263" s="113"/>
      <c r="BH263" s="113"/>
      <c r="BI263" s="113"/>
      <c r="BJ263" s="113"/>
      <c r="BK263" s="113"/>
      <c r="BL263" s="113"/>
      <c r="BM263" s="113"/>
      <c r="BN263" s="113"/>
      <c r="BO263" s="113"/>
      <c r="BP263" s="113"/>
      <c r="BQ263" s="113"/>
      <c r="BR263" s="113"/>
      <c r="BS263" s="113"/>
      <c r="BT263" s="113"/>
      <c r="BU263" s="113"/>
      <c r="BV263" s="113"/>
      <c r="BW263" s="113"/>
      <c r="BX263" s="113"/>
      <c r="BY263" s="113"/>
      <c r="BZ263" s="113"/>
      <c r="CA263" s="113"/>
      <c r="CB263" s="113"/>
      <c r="CC263" s="113"/>
      <c r="CD263" s="113"/>
      <c r="CE263" s="113"/>
      <c r="CF263" s="113"/>
    </row>
    <row r="264" spans="1:84">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c r="BZ264" s="113"/>
      <c r="CA264" s="113"/>
      <c r="CB264" s="113"/>
      <c r="CC264" s="113"/>
      <c r="CD264" s="113"/>
      <c r="CE264" s="113"/>
      <c r="CF264" s="113"/>
    </row>
    <row r="265" spans="1:84">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113"/>
      <c r="AY265" s="113"/>
      <c r="AZ265" s="113"/>
      <c r="BA265" s="113"/>
      <c r="BB265" s="113"/>
      <c r="BC265" s="113"/>
      <c r="BD265" s="113"/>
      <c r="BE265" s="113"/>
      <c r="BF265" s="113"/>
      <c r="BG265" s="113"/>
      <c r="BH265" s="113"/>
      <c r="BI265" s="113"/>
      <c r="BJ265" s="113"/>
      <c r="BK265" s="113"/>
      <c r="BL265" s="113"/>
      <c r="BM265" s="113"/>
      <c r="BN265" s="113"/>
      <c r="BO265" s="113"/>
      <c r="BP265" s="113"/>
      <c r="BQ265" s="113"/>
      <c r="BR265" s="113"/>
      <c r="BS265" s="113"/>
      <c r="BT265" s="113"/>
      <c r="BU265" s="113"/>
      <c r="BV265" s="113"/>
      <c r="BW265" s="113"/>
      <c r="BX265" s="113"/>
      <c r="BY265" s="113"/>
      <c r="BZ265" s="113"/>
      <c r="CA265" s="113"/>
      <c r="CB265" s="113"/>
      <c r="CC265" s="113"/>
      <c r="CD265" s="113"/>
      <c r="CE265" s="113"/>
      <c r="CF265" s="113"/>
    </row>
    <row r="266" spans="1:84">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c r="BL266" s="113"/>
      <c r="BM266" s="113"/>
      <c r="BN266" s="113"/>
      <c r="BO266" s="113"/>
      <c r="BP266" s="113"/>
      <c r="BQ266" s="113"/>
      <c r="BR266" s="113"/>
      <c r="BS266" s="113"/>
      <c r="BT266" s="113"/>
      <c r="BU266" s="113"/>
      <c r="BV266" s="113"/>
      <c r="BW266" s="113"/>
      <c r="BX266" s="113"/>
      <c r="BY266" s="113"/>
      <c r="BZ266" s="113"/>
      <c r="CA266" s="113"/>
      <c r="CB266" s="113"/>
      <c r="CC266" s="113"/>
      <c r="CD266" s="113"/>
      <c r="CE266" s="113"/>
      <c r="CF266" s="113"/>
    </row>
    <row r="267" spans="1:84">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c r="BL267" s="113"/>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row>
    <row r="268" spans="1:84">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c r="BL268" s="113"/>
      <c r="BM268" s="113"/>
      <c r="BN268" s="113"/>
      <c r="BO268" s="113"/>
      <c r="BP268" s="113"/>
      <c r="BQ268" s="113"/>
      <c r="BR268" s="113"/>
      <c r="BS268" s="113"/>
      <c r="BT268" s="113"/>
      <c r="BU268" s="113"/>
      <c r="BV268" s="113"/>
      <c r="BW268" s="113"/>
      <c r="BX268" s="113"/>
      <c r="BY268" s="113"/>
      <c r="BZ268" s="113"/>
      <c r="CA268" s="113"/>
      <c r="CB268" s="113"/>
      <c r="CC268" s="113"/>
      <c r="CD268" s="113"/>
      <c r="CE268" s="113"/>
      <c r="CF268" s="113"/>
    </row>
    <row r="269" spans="1:84">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3"/>
      <c r="BQ269" s="113"/>
      <c r="BR269" s="113"/>
      <c r="BS269" s="113"/>
      <c r="BT269" s="113"/>
      <c r="BU269" s="113"/>
      <c r="BV269" s="113"/>
      <c r="BW269" s="113"/>
      <c r="BX269" s="113"/>
      <c r="BY269" s="113"/>
      <c r="BZ269" s="113"/>
      <c r="CA269" s="113"/>
      <c r="CB269" s="113"/>
      <c r="CC269" s="113"/>
      <c r="CD269" s="113"/>
      <c r="CE269" s="113"/>
      <c r="CF269" s="113"/>
    </row>
    <row r="270" spans="1:84">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c r="BL270" s="113"/>
      <c r="BM270" s="113"/>
      <c r="BN270" s="113"/>
      <c r="BO270" s="113"/>
      <c r="BP270" s="113"/>
      <c r="BQ270" s="113"/>
      <c r="BR270" s="113"/>
      <c r="BS270" s="113"/>
      <c r="BT270" s="113"/>
      <c r="BU270" s="113"/>
      <c r="BV270" s="113"/>
      <c r="BW270" s="113"/>
      <c r="BX270" s="113"/>
      <c r="BY270" s="113"/>
      <c r="BZ270" s="113"/>
      <c r="CA270" s="113"/>
      <c r="CB270" s="113"/>
      <c r="CC270" s="113"/>
      <c r="CD270" s="113"/>
      <c r="CE270" s="113"/>
      <c r="CF270" s="113"/>
    </row>
    <row r="271" spans="1:84">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c r="BY271" s="113"/>
      <c r="BZ271" s="113"/>
      <c r="CA271" s="113"/>
      <c r="CB271" s="113"/>
      <c r="CC271" s="113"/>
      <c r="CD271" s="113"/>
      <c r="CE271" s="113"/>
      <c r="CF271" s="113"/>
    </row>
    <row r="272" spans="1:84">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c r="BL272" s="113"/>
      <c r="BM272" s="113"/>
      <c r="BN272" s="113"/>
      <c r="BO272" s="113"/>
      <c r="BP272" s="113"/>
      <c r="BQ272" s="113"/>
      <c r="BR272" s="113"/>
      <c r="BS272" s="113"/>
      <c r="BT272" s="113"/>
      <c r="BU272" s="113"/>
      <c r="BV272" s="113"/>
      <c r="BW272" s="113"/>
      <c r="BX272" s="113"/>
      <c r="BY272" s="113"/>
      <c r="BZ272" s="113"/>
      <c r="CA272" s="113"/>
      <c r="CB272" s="113"/>
      <c r="CC272" s="113"/>
      <c r="CD272" s="113"/>
      <c r="CE272" s="113"/>
      <c r="CF272" s="113"/>
    </row>
    <row r="273" spans="1:84">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c r="BL273" s="113"/>
      <c r="BM273" s="113"/>
      <c r="BN273" s="113"/>
      <c r="BO273" s="113"/>
      <c r="BP273" s="113"/>
      <c r="BQ273" s="113"/>
      <c r="BR273" s="113"/>
      <c r="BS273" s="113"/>
      <c r="BT273" s="113"/>
      <c r="BU273" s="113"/>
      <c r="BV273" s="113"/>
      <c r="BW273" s="113"/>
      <c r="BX273" s="113"/>
      <c r="BY273" s="113"/>
      <c r="BZ273" s="113"/>
      <c r="CA273" s="113"/>
      <c r="CB273" s="113"/>
      <c r="CC273" s="113"/>
      <c r="CD273" s="113"/>
      <c r="CE273" s="113"/>
      <c r="CF273" s="113"/>
    </row>
    <row r="274" spans="1:84">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c r="BL274" s="113"/>
      <c r="BM274" s="113"/>
      <c r="BN274" s="113"/>
      <c r="BO274" s="113"/>
      <c r="BP274" s="113"/>
      <c r="BQ274" s="113"/>
      <c r="BR274" s="113"/>
      <c r="BS274" s="113"/>
      <c r="BT274" s="113"/>
      <c r="BU274" s="113"/>
      <c r="BV274" s="113"/>
      <c r="BW274" s="113"/>
      <c r="BX274" s="113"/>
      <c r="BY274" s="113"/>
      <c r="BZ274" s="113"/>
      <c r="CA274" s="113"/>
      <c r="CB274" s="113"/>
      <c r="CC274" s="113"/>
      <c r="CD274" s="113"/>
      <c r="CE274" s="113"/>
      <c r="CF274" s="113"/>
    </row>
    <row r="275" spans="1:84">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c r="BL275" s="113"/>
      <c r="BM275" s="113"/>
      <c r="BN275" s="113"/>
      <c r="BO275" s="113"/>
      <c r="BP275" s="113"/>
      <c r="BQ275" s="113"/>
      <c r="BR275" s="113"/>
      <c r="BS275" s="113"/>
      <c r="BT275" s="113"/>
      <c r="BU275" s="113"/>
      <c r="BV275" s="113"/>
      <c r="BW275" s="113"/>
      <c r="BX275" s="113"/>
      <c r="BY275" s="113"/>
      <c r="BZ275" s="113"/>
      <c r="CA275" s="113"/>
      <c r="CB275" s="113"/>
      <c r="CC275" s="113"/>
      <c r="CD275" s="113"/>
      <c r="CE275" s="113"/>
      <c r="CF275" s="113"/>
    </row>
    <row r="276" spans="1:84">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c r="BL276" s="113"/>
      <c r="BM276" s="113"/>
      <c r="BN276" s="113"/>
      <c r="BO276" s="113"/>
      <c r="BP276" s="113"/>
      <c r="BQ276" s="113"/>
      <c r="BR276" s="113"/>
      <c r="BS276" s="113"/>
      <c r="BT276" s="113"/>
      <c r="BU276" s="113"/>
      <c r="BV276" s="113"/>
      <c r="BW276" s="113"/>
      <c r="BX276" s="113"/>
      <c r="BY276" s="113"/>
      <c r="BZ276" s="113"/>
      <c r="CA276" s="113"/>
      <c r="CB276" s="113"/>
      <c r="CC276" s="113"/>
      <c r="CD276" s="113"/>
      <c r="CE276" s="113"/>
      <c r="CF276" s="113"/>
    </row>
    <row r="277" spans="1:84">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c r="BL277" s="113"/>
      <c r="BM277" s="113"/>
      <c r="BN277" s="113"/>
      <c r="BO277" s="113"/>
      <c r="BP277" s="113"/>
      <c r="BQ277" s="113"/>
      <c r="BR277" s="113"/>
      <c r="BS277" s="113"/>
      <c r="BT277" s="113"/>
      <c r="BU277" s="113"/>
      <c r="BV277" s="113"/>
      <c r="BW277" s="113"/>
      <c r="BX277" s="113"/>
      <c r="BY277" s="113"/>
      <c r="BZ277" s="113"/>
      <c r="CA277" s="113"/>
      <c r="CB277" s="113"/>
      <c r="CC277" s="113"/>
      <c r="CD277" s="113"/>
      <c r="CE277" s="113"/>
      <c r="CF277" s="113"/>
    </row>
    <row r="278" spans="1:84">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c r="BZ278" s="113"/>
      <c r="CA278" s="113"/>
      <c r="CB278" s="113"/>
      <c r="CC278" s="113"/>
      <c r="CD278" s="113"/>
      <c r="CE278" s="113"/>
      <c r="CF278" s="113"/>
    </row>
    <row r="279" spans="1:84">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c r="AO279" s="113"/>
      <c r="AP279" s="113"/>
      <c r="AQ279" s="113"/>
      <c r="AR279" s="113"/>
      <c r="AS279" s="113"/>
      <c r="AT279" s="113"/>
      <c r="AU279" s="113"/>
      <c r="AV279" s="113"/>
      <c r="AW279" s="113"/>
      <c r="AX279" s="113"/>
      <c r="AY279" s="113"/>
      <c r="AZ279" s="113"/>
      <c r="BA279" s="113"/>
      <c r="BB279" s="113"/>
      <c r="BC279" s="113"/>
      <c r="BD279" s="113"/>
      <c r="BE279" s="113"/>
      <c r="BF279" s="113"/>
      <c r="BG279" s="113"/>
      <c r="BH279" s="113"/>
      <c r="BI279" s="113"/>
      <c r="BJ279" s="113"/>
      <c r="BK279" s="113"/>
      <c r="BL279" s="113"/>
      <c r="BM279" s="113"/>
      <c r="BN279" s="113"/>
      <c r="BO279" s="113"/>
      <c r="BP279" s="113"/>
      <c r="BQ279" s="113"/>
      <c r="BR279" s="113"/>
      <c r="BS279" s="113"/>
      <c r="BT279" s="113"/>
      <c r="BU279" s="113"/>
      <c r="BV279" s="113"/>
      <c r="BW279" s="113"/>
      <c r="BX279" s="113"/>
      <c r="BY279" s="113"/>
      <c r="BZ279" s="113"/>
      <c r="CA279" s="113"/>
      <c r="CB279" s="113"/>
      <c r="CC279" s="113"/>
      <c r="CD279" s="113"/>
      <c r="CE279" s="113"/>
      <c r="CF279" s="113"/>
    </row>
    <row r="280" spans="1:84">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c r="BC280" s="113"/>
      <c r="BD280" s="113"/>
      <c r="BE280" s="113"/>
      <c r="BF280" s="113"/>
      <c r="BG280" s="113"/>
      <c r="BH280" s="113"/>
      <c r="BI280" s="113"/>
      <c r="BJ280" s="113"/>
      <c r="BK280" s="113"/>
      <c r="BL280" s="113"/>
      <c r="BM280" s="113"/>
      <c r="BN280" s="113"/>
      <c r="BO280" s="113"/>
      <c r="BP280" s="113"/>
      <c r="BQ280" s="113"/>
      <c r="BR280" s="113"/>
      <c r="BS280" s="113"/>
      <c r="BT280" s="113"/>
      <c r="BU280" s="113"/>
      <c r="BV280" s="113"/>
      <c r="BW280" s="113"/>
      <c r="BX280" s="113"/>
      <c r="BY280" s="113"/>
      <c r="BZ280" s="113"/>
      <c r="CA280" s="113"/>
      <c r="CB280" s="113"/>
      <c r="CC280" s="113"/>
      <c r="CD280" s="113"/>
      <c r="CE280" s="113"/>
      <c r="CF280" s="113"/>
    </row>
    <row r="281" spans="1:84">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c r="AO281" s="113"/>
      <c r="AP281" s="113"/>
      <c r="AQ281" s="113"/>
      <c r="AR281" s="113"/>
      <c r="AS281" s="113"/>
      <c r="AT281" s="113"/>
      <c r="AU281" s="113"/>
      <c r="AV281" s="113"/>
      <c r="AW281" s="113"/>
      <c r="AX281" s="113"/>
      <c r="AY281" s="113"/>
      <c r="AZ281" s="113"/>
      <c r="BA281" s="113"/>
      <c r="BB281" s="113"/>
      <c r="BC281" s="113"/>
      <c r="BD281" s="113"/>
      <c r="BE281" s="113"/>
      <c r="BF281" s="113"/>
      <c r="BG281" s="113"/>
      <c r="BH281" s="113"/>
      <c r="BI281" s="113"/>
      <c r="BJ281" s="113"/>
      <c r="BK281" s="113"/>
      <c r="BL281" s="113"/>
      <c r="BM281" s="113"/>
      <c r="BN281" s="113"/>
      <c r="BO281" s="113"/>
      <c r="BP281" s="113"/>
      <c r="BQ281" s="113"/>
      <c r="BR281" s="113"/>
      <c r="BS281" s="113"/>
      <c r="BT281" s="113"/>
      <c r="BU281" s="113"/>
      <c r="BV281" s="113"/>
      <c r="BW281" s="113"/>
      <c r="BX281" s="113"/>
      <c r="BY281" s="113"/>
      <c r="BZ281" s="113"/>
      <c r="CA281" s="113"/>
      <c r="CB281" s="113"/>
      <c r="CC281" s="113"/>
      <c r="CD281" s="113"/>
      <c r="CE281" s="113"/>
      <c r="CF281" s="113"/>
    </row>
    <row r="282" spans="1:84">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3"/>
      <c r="BZ282" s="113"/>
      <c r="CA282" s="113"/>
      <c r="CB282" s="113"/>
      <c r="CC282" s="113"/>
      <c r="CD282" s="113"/>
      <c r="CE282" s="113"/>
      <c r="CF282" s="113"/>
    </row>
    <row r="283" spans="1:84">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3"/>
      <c r="BR283" s="113"/>
      <c r="BS283" s="113"/>
      <c r="BT283" s="113"/>
      <c r="BU283" s="113"/>
      <c r="BV283" s="113"/>
      <c r="BW283" s="113"/>
      <c r="BX283" s="113"/>
      <c r="BY283" s="113"/>
      <c r="BZ283" s="113"/>
      <c r="CA283" s="113"/>
      <c r="CB283" s="113"/>
      <c r="CC283" s="113"/>
      <c r="CD283" s="113"/>
      <c r="CE283" s="113"/>
      <c r="CF283" s="113"/>
    </row>
    <row r="284" spans="1:84">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c r="AO284" s="113"/>
      <c r="AP284" s="113"/>
      <c r="AQ284" s="113"/>
      <c r="AR284" s="113"/>
      <c r="AS284" s="113"/>
      <c r="AT284" s="113"/>
      <c r="AU284" s="113"/>
      <c r="AV284" s="113"/>
      <c r="AW284" s="113"/>
      <c r="AX284" s="113"/>
      <c r="AY284" s="113"/>
      <c r="AZ284" s="113"/>
      <c r="BA284" s="113"/>
      <c r="BB284" s="113"/>
      <c r="BC284" s="113"/>
      <c r="BD284" s="113"/>
      <c r="BE284" s="113"/>
      <c r="BF284" s="113"/>
      <c r="BG284" s="113"/>
      <c r="BH284" s="113"/>
      <c r="BI284" s="113"/>
      <c r="BJ284" s="113"/>
      <c r="BK284" s="113"/>
      <c r="BL284" s="113"/>
      <c r="BM284" s="113"/>
      <c r="BN284" s="113"/>
      <c r="BO284" s="113"/>
      <c r="BP284" s="113"/>
      <c r="BQ284" s="113"/>
      <c r="BR284" s="113"/>
      <c r="BS284" s="113"/>
      <c r="BT284" s="113"/>
      <c r="BU284" s="113"/>
      <c r="BV284" s="113"/>
      <c r="BW284" s="113"/>
      <c r="BX284" s="113"/>
      <c r="BY284" s="113"/>
      <c r="BZ284" s="113"/>
      <c r="CA284" s="113"/>
      <c r="CB284" s="113"/>
      <c r="CC284" s="113"/>
      <c r="CD284" s="113"/>
      <c r="CE284" s="113"/>
      <c r="CF284" s="113"/>
    </row>
    <row r="285" spans="1:84">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c r="BC285" s="113"/>
      <c r="BD285" s="113"/>
      <c r="BE285" s="113"/>
      <c r="BF285" s="113"/>
      <c r="BG285" s="113"/>
      <c r="BH285" s="113"/>
      <c r="BI285" s="113"/>
      <c r="BJ285" s="113"/>
      <c r="BK285" s="113"/>
      <c r="BL285" s="113"/>
      <c r="BM285" s="113"/>
      <c r="BN285" s="113"/>
      <c r="BO285" s="113"/>
      <c r="BP285" s="113"/>
      <c r="BQ285" s="113"/>
      <c r="BR285" s="113"/>
      <c r="BS285" s="113"/>
      <c r="BT285" s="113"/>
      <c r="BU285" s="113"/>
      <c r="BV285" s="113"/>
      <c r="BW285" s="113"/>
      <c r="BX285" s="113"/>
      <c r="BY285" s="113"/>
      <c r="BZ285" s="113"/>
      <c r="CA285" s="113"/>
      <c r="CB285" s="113"/>
      <c r="CC285" s="113"/>
      <c r="CD285" s="113"/>
      <c r="CE285" s="113"/>
      <c r="CF285" s="113"/>
    </row>
    <row r="286" spans="1:84">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c r="BZ286" s="113"/>
      <c r="CA286" s="113"/>
      <c r="CB286" s="113"/>
      <c r="CC286" s="113"/>
      <c r="CD286" s="113"/>
      <c r="CE286" s="113"/>
      <c r="CF286" s="113"/>
    </row>
    <row r="287" spans="1:84">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3"/>
      <c r="BE287" s="113"/>
      <c r="BF287" s="113"/>
      <c r="BG287" s="113"/>
      <c r="BH287" s="113"/>
      <c r="BI287" s="113"/>
      <c r="BJ287" s="113"/>
      <c r="BK287" s="113"/>
      <c r="BL287" s="113"/>
      <c r="BM287" s="113"/>
      <c r="BN287" s="113"/>
      <c r="BO287" s="113"/>
      <c r="BP287" s="113"/>
      <c r="BQ287" s="113"/>
      <c r="BR287" s="113"/>
      <c r="BS287" s="113"/>
      <c r="BT287" s="113"/>
      <c r="BU287" s="113"/>
      <c r="BV287" s="113"/>
      <c r="BW287" s="113"/>
      <c r="BX287" s="113"/>
      <c r="BY287" s="113"/>
      <c r="BZ287" s="113"/>
      <c r="CA287" s="113"/>
      <c r="CB287" s="113"/>
      <c r="CC287" s="113"/>
      <c r="CD287" s="113"/>
      <c r="CE287" s="113"/>
      <c r="CF287" s="113"/>
    </row>
    <row r="288" spans="1:84">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row>
    <row r="289" spans="1:84">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c r="BL289" s="113"/>
      <c r="BM289" s="113"/>
      <c r="BN289" s="113"/>
      <c r="BO289" s="113"/>
      <c r="BP289" s="113"/>
      <c r="BQ289" s="113"/>
      <c r="BR289" s="113"/>
      <c r="BS289" s="113"/>
      <c r="BT289" s="113"/>
      <c r="BU289" s="113"/>
      <c r="BV289" s="113"/>
      <c r="BW289" s="113"/>
      <c r="BX289" s="113"/>
      <c r="BY289" s="113"/>
      <c r="BZ289" s="113"/>
      <c r="CA289" s="113"/>
      <c r="CB289" s="113"/>
      <c r="CC289" s="113"/>
      <c r="CD289" s="113"/>
      <c r="CE289" s="113"/>
      <c r="CF289" s="113"/>
    </row>
    <row r="290" spans="1:84">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3"/>
      <c r="AY290" s="113"/>
      <c r="AZ290" s="113"/>
      <c r="BA290" s="113"/>
      <c r="BB290" s="113"/>
      <c r="BC290" s="113"/>
      <c r="BD290" s="113"/>
      <c r="BE290" s="113"/>
      <c r="BF290" s="113"/>
      <c r="BG290" s="113"/>
      <c r="BH290" s="113"/>
      <c r="BI290" s="113"/>
      <c r="BJ290" s="113"/>
      <c r="BK290" s="113"/>
      <c r="BL290" s="113"/>
      <c r="BM290" s="113"/>
      <c r="BN290" s="113"/>
      <c r="BO290" s="113"/>
      <c r="BP290" s="113"/>
      <c r="BQ290" s="113"/>
      <c r="BR290" s="113"/>
      <c r="BS290" s="113"/>
      <c r="BT290" s="113"/>
      <c r="BU290" s="113"/>
      <c r="BV290" s="113"/>
      <c r="BW290" s="113"/>
      <c r="BX290" s="113"/>
      <c r="BY290" s="113"/>
      <c r="BZ290" s="113"/>
      <c r="CA290" s="113"/>
      <c r="CB290" s="113"/>
      <c r="CC290" s="113"/>
      <c r="CD290" s="113"/>
      <c r="CE290" s="113"/>
      <c r="CF290" s="113"/>
    </row>
    <row r="291" spans="1:84">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c r="AO291" s="113"/>
      <c r="AP291" s="113"/>
      <c r="AQ291" s="113"/>
      <c r="AR291" s="113"/>
      <c r="AS291" s="113"/>
      <c r="AT291" s="113"/>
      <c r="AU291" s="113"/>
      <c r="AV291" s="113"/>
      <c r="AW291" s="113"/>
      <c r="AX291" s="113"/>
      <c r="AY291" s="113"/>
      <c r="AZ291" s="113"/>
      <c r="BA291" s="113"/>
      <c r="BB291" s="113"/>
      <c r="BC291" s="113"/>
      <c r="BD291" s="113"/>
      <c r="BE291" s="113"/>
      <c r="BF291" s="113"/>
      <c r="BG291" s="113"/>
      <c r="BH291" s="113"/>
      <c r="BI291" s="113"/>
      <c r="BJ291" s="113"/>
      <c r="BK291" s="113"/>
      <c r="BL291" s="113"/>
      <c r="BM291" s="113"/>
      <c r="BN291" s="113"/>
      <c r="BO291" s="113"/>
      <c r="BP291" s="113"/>
      <c r="BQ291" s="113"/>
      <c r="BR291" s="113"/>
      <c r="BS291" s="113"/>
      <c r="BT291" s="113"/>
      <c r="BU291" s="113"/>
      <c r="BV291" s="113"/>
      <c r="BW291" s="113"/>
      <c r="BX291" s="113"/>
      <c r="BY291" s="113"/>
      <c r="BZ291" s="113"/>
      <c r="CA291" s="113"/>
      <c r="CB291" s="113"/>
      <c r="CC291" s="113"/>
      <c r="CD291" s="113"/>
      <c r="CE291" s="113"/>
      <c r="CF291" s="113"/>
    </row>
    <row r="292" spans="1:84">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c r="AO292" s="113"/>
      <c r="AP292" s="113"/>
      <c r="AQ292" s="113"/>
      <c r="AR292" s="113"/>
      <c r="AS292" s="113"/>
      <c r="AT292" s="113"/>
      <c r="AU292" s="113"/>
      <c r="AV292" s="113"/>
      <c r="AW292" s="113"/>
      <c r="AX292" s="113"/>
      <c r="AY292" s="113"/>
      <c r="AZ292" s="113"/>
      <c r="BA292" s="113"/>
      <c r="BB292" s="113"/>
      <c r="BC292" s="113"/>
      <c r="BD292" s="113"/>
      <c r="BE292" s="113"/>
      <c r="BF292" s="113"/>
      <c r="BG292" s="113"/>
      <c r="BH292" s="113"/>
      <c r="BI292" s="113"/>
      <c r="BJ292" s="113"/>
      <c r="BK292" s="113"/>
      <c r="BL292" s="113"/>
      <c r="BM292" s="113"/>
      <c r="BN292" s="113"/>
      <c r="BO292" s="113"/>
      <c r="BP292" s="113"/>
      <c r="BQ292" s="113"/>
      <c r="BR292" s="113"/>
      <c r="BS292" s="113"/>
      <c r="BT292" s="113"/>
      <c r="BU292" s="113"/>
      <c r="BV292" s="113"/>
      <c r="BW292" s="113"/>
      <c r="BX292" s="113"/>
      <c r="BY292" s="113"/>
      <c r="BZ292" s="113"/>
      <c r="CA292" s="113"/>
      <c r="CB292" s="113"/>
      <c r="CC292" s="113"/>
      <c r="CD292" s="113"/>
      <c r="CE292" s="113"/>
      <c r="CF292" s="113"/>
    </row>
    <row r="293" spans="1:84">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c r="BL293" s="113"/>
      <c r="BM293" s="113"/>
      <c r="BN293" s="113"/>
      <c r="BO293" s="113"/>
      <c r="BP293" s="113"/>
      <c r="BQ293" s="113"/>
      <c r="BR293" s="113"/>
      <c r="BS293" s="113"/>
      <c r="BT293" s="113"/>
      <c r="BU293" s="113"/>
      <c r="BV293" s="113"/>
      <c r="BW293" s="113"/>
      <c r="BX293" s="113"/>
      <c r="BY293" s="113"/>
      <c r="BZ293" s="113"/>
      <c r="CA293" s="113"/>
      <c r="CB293" s="113"/>
      <c r="CC293" s="113"/>
      <c r="CD293" s="113"/>
      <c r="CE293" s="113"/>
      <c r="CF293" s="113"/>
    </row>
    <row r="294" spans="1:84">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c r="BC294" s="113"/>
      <c r="BD294" s="113"/>
      <c r="BE294" s="113"/>
      <c r="BF294" s="113"/>
      <c r="BG294" s="113"/>
      <c r="BH294" s="113"/>
      <c r="BI294" s="113"/>
      <c r="BJ294" s="113"/>
      <c r="BK294" s="113"/>
      <c r="BL294" s="113"/>
      <c r="BM294" s="113"/>
      <c r="BN294" s="113"/>
      <c r="BO294" s="113"/>
      <c r="BP294" s="113"/>
      <c r="BQ294" s="113"/>
      <c r="BR294" s="113"/>
      <c r="BS294" s="113"/>
      <c r="BT294" s="113"/>
      <c r="BU294" s="113"/>
      <c r="BV294" s="113"/>
      <c r="BW294" s="113"/>
      <c r="BX294" s="113"/>
      <c r="BY294" s="113"/>
      <c r="BZ294" s="113"/>
      <c r="CA294" s="113"/>
      <c r="CB294" s="113"/>
      <c r="CC294" s="113"/>
      <c r="CD294" s="113"/>
      <c r="CE294" s="113"/>
      <c r="CF294" s="113"/>
    </row>
    <row r="295" spans="1:84">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113"/>
      <c r="BU295" s="113"/>
      <c r="BV295" s="113"/>
      <c r="BW295" s="113"/>
      <c r="BX295" s="113"/>
      <c r="BY295" s="113"/>
      <c r="BZ295" s="113"/>
      <c r="CA295" s="113"/>
      <c r="CB295" s="113"/>
      <c r="CC295" s="113"/>
      <c r="CD295" s="113"/>
      <c r="CE295" s="113"/>
      <c r="CF295" s="113"/>
    </row>
    <row r="296" spans="1:84">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13"/>
      <c r="BB296" s="113"/>
      <c r="BC296" s="113"/>
      <c r="BD296" s="113"/>
      <c r="BE296" s="113"/>
      <c r="BF296" s="113"/>
      <c r="BG296" s="113"/>
      <c r="BH296" s="113"/>
      <c r="BI296" s="113"/>
      <c r="BJ296" s="113"/>
      <c r="BK296" s="113"/>
      <c r="BL296" s="113"/>
      <c r="BM296" s="113"/>
      <c r="BN296" s="113"/>
      <c r="BO296" s="113"/>
      <c r="BP296" s="113"/>
      <c r="BQ296" s="113"/>
      <c r="BR296" s="113"/>
      <c r="BS296" s="113"/>
      <c r="BT296" s="113"/>
      <c r="BU296" s="113"/>
      <c r="BV296" s="113"/>
      <c r="BW296" s="113"/>
      <c r="BX296" s="113"/>
      <c r="BY296" s="113"/>
      <c r="BZ296" s="113"/>
      <c r="CA296" s="113"/>
      <c r="CB296" s="113"/>
      <c r="CC296" s="113"/>
      <c r="CD296" s="113"/>
      <c r="CE296" s="113"/>
      <c r="CF296" s="113"/>
    </row>
    <row r="297" spans="1:84">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c r="BL297" s="113"/>
      <c r="BM297" s="113"/>
      <c r="BN297" s="113"/>
      <c r="BO297" s="113"/>
      <c r="BP297" s="113"/>
      <c r="BQ297" s="113"/>
      <c r="BR297" s="113"/>
      <c r="BS297" s="113"/>
      <c r="BT297" s="113"/>
      <c r="BU297" s="113"/>
      <c r="BV297" s="113"/>
      <c r="BW297" s="113"/>
      <c r="BX297" s="113"/>
      <c r="BY297" s="113"/>
      <c r="BZ297" s="113"/>
      <c r="CA297" s="113"/>
      <c r="CB297" s="113"/>
      <c r="CC297" s="113"/>
      <c r="CD297" s="113"/>
      <c r="CE297" s="113"/>
      <c r="CF297" s="113"/>
    </row>
    <row r="298" spans="1:84">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3"/>
      <c r="BO298" s="113"/>
      <c r="BP298" s="113"/>
      <c r="BQ298" s="113"/>
      <c r="BR298" s="113"/>
      <c r="BS298" s="113"/>
      <c r="BT298" s="113"/>
      <c r="BU298" s="113"/>
      <c r="BV298" s="113"/>
      <c r="BW298" s="113"/>
      <c r="BX298" s="113"/>
      <c r="BY298" s="113"/>
      <c r="BZ298" s="113"/>
      <c r="CA298" s="113"/>
      <c r="CB298" s="113"/>
      <c r="CC298" s="113"/>
      <c r="CD298" s="113"/>
      <c r="CE298" s="113"/>
      <c r="CF298" s="113"/>
    </row>
    <row r="299" spans="1:84">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c r="BL299" s="113"/>
      <c r="BM299" s="113"/>
      <c r="BN299" s="113"/>
      <c r="BO299" s="113"/>
      <c r="BP299" s="113"/>
      <c r="BQ299" s="113"/>
      <c r="BR299" s="113"/>
      <c r="BS299" s="113"/>
      <c r="BT299" s="113"/>
      <c r="BU299" s="113"/>
      <c r="BV299" s="113"/>
      <c r="BW299" s="113"/>
      <c r="BX299" s="113"/>
      <c r="BY299" s="113"/>
      <c r="BZ299" s="113"/>
      <c r="CA299" s="113"/>
      <c r="CB299" s="113"/>
      <c r="CC299" s="113"/>
      <c r="CD299" s="113"/>
      <c r="CE299" s="113"/>
      <c r="CF299" s="113"/>
    </row>
    <row r="300" spans="1:84">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3"/>
      <c r="BC300" s="113"/>
      <c r="BD300" s="113"/>
      <c r="BE300" s="113"/>
      <c r="BF300" s="113"/>
      <c r="BG300" s="113"/>
      <c r="BH300" s="113"/>
      <c r="BI300" s="113"/>
      <c r="BJ300" s="113"/>
      <c r="BK300" s="113"/>
      <c r="BL300" s="113"/>
      <c r="BM300" s="113"/>
      <c r="BN300" s="113"/>
      <c r="BO300" s="113"/>
      <c r="BP300" s="113"/>
      <c r="BQ300" s="113"/>
      <c r="BR300" s="113"/>
      <c r="BS300" s="113"/>
      <c r="BT300" s="113"/>
      <c r="BU300" s="113"/>
      <c r="BV300" s="113"/>
      <c r="BW300" s="113"/>
      <c r="BX300" s="113"/>
      <c r="BY300" s="113"/>
      <c r="BZ300" s="113"/>
      <c r="CA300" s="113"/>
      <c r="CB300" s="113"/>
      <c r="CC300" s="113"/>
      <c r="CD300" s="113"/>
      <c r="CE300" s="113"/>
      <c r="CF300" s="113"/>
    </row>
    <row r="301" spans="1:84">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c r="AO301" s="113"/>
      <c r="AP301" s="113"/>
      <c r="AQ301" s="113"/>
      <c r="AR301" s="113"/>
      <c r="AS301" s="113"/>
      <c r="AT301" s="113"/>
      <c r="AU301" s="113"/>
      <c r="AV301" s="113"/>
      <c r="AW301" s="113"/>
      <c r="AX301" s="113"/>
      <c r="AY301" s="113"/>
      <c r="AZ301" s="113"/>
      <c r="BA301" s="113"/>
      <c r="BB301" s="113"/>
      <c r="BC301" s="113"/>
      <c r="BD301" s="113"/>
      <c r="BE301" s="113"/>
      <c r="BF301" s="113"/>
      <c r="BG301" s="113"/>
      <c r="BH301" s="113"/>
      <c r="BI301" s="113"/>
      <c r="BJ301" s="113"/>
      <c r="BK301" s="113"/>
      <c r="BL301" s="113"/>
      <c r="BM301" s="113"/>
      <c r="BN301" s="113"/>
      <c r="BO301" s="113"/>
      <c r="BP301" s="113"/>
      <c r="BQ301" s="113"/>
      <c r="BR301" s="113"/>
      <c r="BS301" s="113"/>
      <c r="BT301" s="113"/>
      <c r="BU301" s="113"/>
      <c r="BV301" s="113"/>
      <c r="BW301" s="113"/>
      <c r="BX301" s="113"/>
      <c r="BY301" s="113"/>
      <c r="BZ301" s="113"/>
      <c r="CA301" s="113"/>
      <c r="CB301" s="113"/>
      <c r="CC301" s="113"/>
      <c r="CD301" s="113"/>
      <c r="CE301" s="113"/>
      <c r="CF301" s="113"/>
    </row>
    <row r="302" spans="1:84">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row>
    <row r="303" spans="1:84">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c r="AO303" s="113"/>
      <c r="AP303" s="113"/>
      <c r="AQ303" s="113"/>
      <c r="AR303" s="113"/>
      <c r="AS303" s="113"/>
      <c r="AT303" s="113"/>
      <c r="AU303" s="113"/>
      <c r="AV303" s="113"/>
      <c r="AW303" s="113"/>
      <c r="AX303" s="113"/>
      <c r="AY303" s="113"/>
      <c r="AZ303" s="113"/>
      <c r="BA303" s="113"/>
      <c r="BB303" s="113"/>
      <c r="BC303" s="113"/>
      <c r="BD303" s="113"/>
      <c r="BE303" s="113"/>
      <c r="BF303" s="113"/>
      <c r="BG303" s="113"/>
      <c r="BH303" s="113"/>
      <c r="BI303" s="113"/>
      <c r="BJ303" s="113"/>
      <c r="BK303" s="113"/>
      <c r="BL303" s="113"/>
      <c r="BM303" s="113"/>
      <c r="BN303" s="113"/>
      <c r="BO303" s="113"/>
      <c r="BP303" s="113"/>
      <c r="BQ303" s="113"/>
      <c r="BR303" s="113"/>
      <c r="BS303" s="113"/>
      <c r="BT303" s="113"/>
      <c r="BU303" s="113"/>
      <c r="BV303" s="113"/>
      <c r="BW303" s="113"/>
      <c r="BX303" s="113"/>
      <c r="BY303" s="113"/>
      <c r="BZ303" s="113"/>
      <c r="CA303" s="113"/>
      <c r="CB303" s="113"/>
      <c r="CC303" s="113"/>
      <c r="CD303" s="113"/>
      <c r="CE303" s="113"/>
      <c r="CF303" s="113"/>
    </row>
    <row r="304" spans="1:84">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c r="BL304" s="113"/>
      <c r="BM304" s="113"/>
      <c r="BN304" s="113"/>
      <c r="BO304" s="113"/>
      <c r="BP304" s="113"/>
      <c r="BQ304" s="113"/>
      <c r="BR304" s="113"/>
      <c r="BS304" s="113"/>
      <c r="BT304" s="113"/>
      <c r="BU304" s="113"/>
      <c r="BV304" s="113"/>
      <c r="BW304" s="113"/>
      <c r="BX304" s="113"/>
      <c r="BY304" s="113"/>
      <c r="BZ304" s="113"/>
      <c r="CA304" s="113"/>
      <c r="CB304" s="113"/>
      <c r="CC304" s="113"/>
      <c r="CD304" s="113"/>
      <c r="CE304" s="113"/>
      <c r="CF304" s="113"/>
    </row>
    <row r="305" spans="1:84">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c r="AO305" s="113"/>
      <c r="AP305" s="113"/>
      <c r="AQ305" s="113"/>
      <c r="AR305" s="113"/>
      <c r="AS305" s="113"/>
      <c r="AT305" s="113"/>
      <c r="AU305" s="113"/>
      <c r="AV305" s="113"/>
      <c r="AW305" s="113"/>
      <c r="AX305" s="113"/>
      <c r="AY305" s="113"/>
      <c r="AZ305" s="113"/>
      <c r="BA305" s="113"/>
      <c r="BB305" s="113"/>
      <c r="BC305" s="113"/>
      <c r="BD305" s="113"/>
      <c r="BE305" s="113"/>
      <c r="BF305" s="113"/>
      <c r="BG305" s="113"/>
      <c r="BH305" s="113"/>
      <c r="BI305" s="113"/>
      <c r="BJ305" s="113"/>
      <c r="BK305" s="113"/>
      <c r="BL305" s="113"/>
      <c r="BM305" s="113"/>
      <c r="BN305" s="113"/>
      <c r="BO305" s="113"/>
      <c r="BP305" s="113"/>
      <c r="BQ305" s="113"/>
      <c r="BR305" s="113"/>
      <c r="BS305" s="113"/>
      <c r="BT305" s="113"/>
      <c r="BU305" s="113"/>
      <c r="BV305" s="113"/>
      <c r="BW305" s="113"/>
      <c r="BX305" s="113"/>
      <c r="BY305" s="113"/>
      <c r="BZ305" s="113"/>
      <c r="CA305" s="113"/>
      <c r="CB305" s="113"/>
      <c r="CC305" s="113"/>
      <c r="CD305" s="113"/>
      <c r="CE305" s="113"/>
      <c r="CF305" s="113"/>
    </row>
    <row r="306" spans="1:84">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c r="BC306" s="113"/>
      <c r="BD306" s="113"/>
      <c r="BE306" s="113"/>
      <c r="BF306" s="113"/>
      <c r="BG306" s="113"/>
      <c r="BH306" s="113"/>
      <c r="BI306" s="113"/>
      <c r="BJ306" s="113"/>
      <c r="BK306" s="113"/>
      <c r="BL306" s="113"/>
      <c r="BM306" s="113"/>
      <c r="BN306" s="113"/>
      <c r="BO306" s="113"/>
      <c r="BP306" s="113"/>
      <c r="BQ306" s="113"/>
      <c r="BR306" s="113"/>
      <c r="BS306" s="113"/>
      <c r="BT306" s="113"/>
      <c r="BU306" s="113"/>
      <c r="BV306" s="113"/>
      <c r="BW306" s="113"/>
      <c r="BX306" s="113"/>
      <c r="BY306" s="113"/>
      <c r="BZ306" s="113"/>
      <c r="CA306" s="113"/>
      <c r="CB306" s="113"/>
      <c r="CC306" s="113"/>
      <c r="CD306" s="113"/>
      <c r="CE306" s="113"/>
      <c r="CF306" s="113"/>
    </row>
    <row r="307" spans="1:84">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c r="BC307" s="113"/>
      <c r="BD307" s="113"/>
      <c r="BE307" s="113"/>
      <c r="BF307" s="113"/>
      <c r="BG307" s="113"/>
      <c r="BH307" s="113"/>
      <c r="BI307" s="113"/>
      <c r="BJ307" s="113"/>
      <c r="BK307" s="113"/>
      <c r="BL307" s="113"/>
      <c r="BM307" s="113"/>
      <c r="BN307" s="113"/>
      <c r="BO307" s="113"/>
      <c r="BP307" s="113"/>
      <c r="BQ307" s="113"/>
      <c r="BR307" s="113"/>
      <c r="BS307" s="113"/>
      <c r="BT307" s="113"/>
      <c r="BU307" s="113"/>
      <c r="BV307" s="113"/>
      <c r="BW307" s="113"/>
      <c r="BX307" s="113"/>
      <c r="BY307" s="113"/>
      <c r="BZ307" s="113"/>
      <c r="CA307" s="113"/>
      <c r="CB307" s="113"/>
      <c r="CC307" s="113"/>
      <c r="CD307" s="113"/>
      <c r="CE307" s="113"/>
      <c r="CF307" s="113"/>
    </row>
    <row r="308" spans="1:84">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113"/>
      <c r="BJ308" s="113"/>
      <c r="BK308" s="113"/>
      <c r="BL308" s="113"/>
      <c r="BM308" s="113"/>
      <c r="BN308" s="113"/>
      <c r="BO308" s="113"/>
      <c r="BP308" s="113"/>
      <c r="BQ308" s="113"/>
      <c r="BR308" s="113"/>
      <c r="BS308" s="113"/>
      <c r="BT308" s="113"/>
      <c r="BU308" s="113"/>
      <c r="BV308" s="113"/>
      <c r="BW308" s="113"/>
      <c r="BX308" s="113"/>
      <c r="BY308" s="113"/>
      <c r="BZ308" s="113"/>
      <c r="CA308" s="113"/>
      <c r="CB308" s="113"/>
      <c r="CC308" s="113"/>
      <c r="CD308" s="113"/>
      <c r="CE308" s="113"/>
      <c r="CF308" s="113"/>
    </row>
    <row r="309" spans="1:84">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c r="AO309" s="113"/>
      <c r="AP309" s="113"/>
      <c r="AQ309" s="113"/>
      <c r="AR309" s="113"/>
      <c r="AS309" s="113"/>
      <c r="AT309" s="113"/>
      <c r="AU309" s="113"/>
      <c r="AV309" s="113"/>
      <c r="AW309" s="113"/>
      <c r="AX309" s="113"/>
      <c r="AY309" s="113"/>
      <c r="AZ309" s="113"/>
      <c r="BA309" s="113"/>
      <c r="BB309" s="113"/>
      <c r="BC309" s="113"/>
      <c r="BD309" s="113"/>
      <c r="BE309" s="113"/>
      <c r="BF309" s="113"/>
      <c r="BG309" s="113"/>
      <c r="BH309" s="113"/>
      <c r="BI309" s="113"/>
      <c r="BJ309" s="113"/>
      <c r="BK309" s="113"/>
      <c r="BL309" s="113"/>
      <c r="BM309" s="113"/>
      <c r="BN309" s="113"/>
      <c r="BO309" s="113"/>
      <c r="BP309" s="113"/>
      <c r="BQ309" s="113"/>
      <c r="BR309" s="113"/>
      <c r="BS309" s="113"/>
      <c r="BT309" s="113"/>
      <c r="BU309" s="113"/>
      <c r="BV309" s="113"/>
      <c r="BW309" s="113"/>
      <c r="BX309" s="113"/>
      <c r="BY309" s="113"/>
      <c r="BZ309" s="113"/>
      <c r="CA309" s="113"/>
      <c r="CB309" s="113"/>
      <c r="CC309" s="113"/>
      <c r="CD309" s="113"/>
      <c r="CE309" s="113"/>
      <c r="CF309" s="113"/>
    </row>
    <row r="310" spans="1:84">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3"/>
      <c r="AY310" s="113"/>
      <c r="AZ310" s="113"/>
      <c r="BA310" s="113"/>
      <c r="BB310" s="113"/>
      <c r="BC310" s="113"/>
      <c r="BD310" s="113"/>
      <c r="BE310" s="113"/>
      <c r="BF310" s="113"/>
      <c r="BG310" s="113"/>
      <c r="BH310" s="113"/>
      <c r="BI310" s="113"/>
      <c r="BJ310" s="113"/>
      <c r="BK310" s="113"/>
      <c r="BL310" s="113"/>
      <c r="BM310" s="113"/>
      <c r="BN310" s="113"/>
      <c r="BO310" s="113"/>
      <c r="BP310" s="113"/>
      <c r="BQ310" s="113"/>
      <c r="BR310" s="113"/>
      <c r="BS310" s="113"/>
      <c r="BT310" s="113"/>
      <c r="BU310" s="113"/>
      <c r="BV310" s="113"/>
      <c r="BW310" s="113"/>
      <c r="BX310" s="113"/>
      <c r="BY310" s="113"/>
      <c r="BZ310" s="113"/>
      <c r="CA310" s="113"/>
      <c r="CB310" s="113"/>
      <c r="CC310" s="113"/>
      <c r="CD310" s="113"/>
      <c r="CE310" s="113"/>
      <c r="CF310" s="113"/>
    </row>
    <row r="311" spans="1:84">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c r="BL311" s="113"/>
      <c r="BM311" s="113"/>
      <c r="BN311" s="113"/>
      <c r="BO311" s="113"/>
      <c r="BP311" s="113"/>
      <c r="BQ311" s="113"/>
      <c r="BR311" s="113"/>
      <c r="BS311" s="113"/>
      <c r="BT311" s="113"/>
      <c r="BU311" s="113"/>
      <c r="BV311" s="113"/>
      <c r="BW311" s="113"/>
      <c r="BX311" s="113"/>
      <c r="BY311" s="113"/>
      <c r="BZ311" s="113"/>
      <c r="CA311" s="113"/>
      <c r="CB311" s="113"/>
      <c r="CC311" s="113"/>
      <c r="CD311" s="113"/>
      <c r="CE311" s="113"/>
      <c r="CF311" s="113"/>
    </row>
    <row r="312" spans="1:84">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c r="BL312" s="113"/>
      <c r="BM312" s="113"/>
      <c r="BN312" s="113"/>
      <c r="BO312" s="113"/>
      <c r="BP312" s="113"/>
      <c r="BQ312" s="113"/>
      <c r="BR312" s="113"/>
      <c r="BS312" s="113"/>
      <c r="BT312" s="113"/>
      <c r="BU312" s="113"/>
      <c r="BV312" s="113"/>
      <c r="BW312" s="113"/>
      <c r="BX312" s="113"/>
      <c r="BY312" s="113"/>
      <c r="BZ312" s="113"/>
      <c r="CA312" s="113"/>
      <c r="CB312" s="113"/>
      <c r="CC312" s="113"/>
      <c r="CD312" s="113"/>
      <c r="CE312" s="113"/>
      <c r="CF312" s="113"/>
    </row>
    <row r="313" spans="1:84">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c r="AO313" s="113"/>
      <c r="AP313" s="113"/>
      <c r="AQ313" s="113"/>
      <c r="AR313" s="113"/>
      <c r="AS313" s="113"/>
      <c r="AT313" s="113"/>
      <c r="AU313" s="113"/>
      <c r="AV313" s="113"/>
      <c r="AW313" s="113"/>
      <c r="AX313" s="113"/>
      <c r="AY313" s="113"/>
      <c r="AZ313" s="113"/>
      <c r="BA313" s="113"/>
      <c r="BB313" s="113"/>
      <c r="BC313" s="113"/>
      <c r="BD313" s="113"/>
      <c r="BE313" s="113"/>
      <c r="BF313" s="113"/>
      <c r="BG313" s="113"/>
      <c r="BH313" s="113"/>
      <c r="BI313" s="113"/>
      <c r="BJ313" s="113"/>
      <c r="BK313" s="113"/>
      <c r="BL313" s="113"/>
      <c r="BM313" s="113"/>
      <c r="BN313" s="113"/>
      <c r="BO313" s="113"/>
      <c r="BP313" s="113"/>
      <c r="BQ313" s="113"/>
      <c r="BR313" s="113"/>
      <c r="BS313" s="113"/>
      <c r="BT313" s="113"/>
      <c r="BU313" s="113"/>
      <c r="BV313" s="113"/>
      <c r="BW313" s="113"/>
      <c r="BX313" s="113"/>
      <c r="BY313" s="113"/>
      <c r="BZ313" s="113"/>
      <c r="CA313" s="113"/>
      <c r="CB313" s="113"/>
      <c r="CC313" s="113"/>
      <c r="CD313" s="113"/>
      <c r="CE313" s="113"/>
      <c r="CF313" s="113"/>
    </row>
    <row r="314" spans="1:84">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row>
    <row r="315" spans="1:84">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c r="BL315" s="113"/>
      <c r="BM315" s="113"/>
      <c r="BN315" s="113"/>
      <c r="BO315" s="113"/>
      <c r="BP315" s="113"/>
      <c r="BQ315" s="113"/>
      <c r="BR315" s="113"/>
      <c r="BS315" s="113"/>
      <c r="BT315" s="113"/>
      <c r="BU315" s="113"/>
      <c r="BV315" s="113"/>
      <c r="BW315" s="113"/>
      <c r="BX315" s="113"/>
      <c r="BY315" s="113"/>
      <c r="BZ315" s="113"/>
      <c r="CA315" s="113"/>
      <c r="CB315" s="113"/>
      <c r="CC315" s="113"/>
      <c r="CD315" s="113"/>
      <c r="CE315" s="113"/>
      <c r="CF315" s="113"/>
    </row>
    <row r="316" spans="1:84">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3"/>
      <c r="BI316" s="113"/>
      <c r="BJ316" s="113"/>
      <c r="BK316" s="113"/>
      <c r="BL316" s="113"/>
      <c r="BM316" s="113"/>
      <c r="BN316" s="113"/>
      <c r="BO316" s="113"/>
      <c r="BP316" s="113"/>
      <c r="BQ316" s="113"/>
      <c r="BR316" s="113"/>
      <c r="BS316" s="113"/>
      <c r="BT316" s="113"/>
      <c r="BU316" s="113"/>
      <c r="BV316" s="113"/>
      <c r="BW316" s="113"/>
      <c r="BX316" s="113"/>
      <c r="BY316" s="113"/>
      <c r="BZ316" s="113"/>
      <c r="CA316" s="113"/>
      <c r="CB316" s="113"/>
      <c r="CC316" s="113"/>
      <c r="CD316" s="113"/>
      <c r="CE316" s="113"/>
      <c r="CF316" s="113"/>
    </row>
    <row r="317" spans="1:84">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c r="BL317" s="113"/>
      <c r="BM317" s="113"/>
      <c r="BN317" s="113"/>
      <c r="BO317" s="113"/>
      <c r="BP317" s="113"/>
      <c r="BQ317" s="113"/>
      <c r="BR317" s="113"/>
      <c r="BS317" s="113"/>
      <c r="BT317" s="113"/>
      <c r="BU317" s="113"/>
      <c r="BV317" s="113"/>
      <c r="BW317" s="113"/>
      <c r="BX317" s="113"/>
      <c r="BY317" s="113"/>
      <c r="BZ317" s="113"/>
      <c r="CA317" s="113"/>
      <c r="CB317" s="113"/>
      <c r="CC317" s="113"/>
      <c r="CD317" s="113"/>
      <c r="CE317" s="113"/>
      <c r="CF317" s="113"/>
    </row>
    <row r="318" spans="1:84">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3"/>
      <c r="BI318" s="113"/>
      <c r="BJ318" s="113"/>
      <c r="BK318" s="113"/>
      <c r="BL318" s="113"/>
      <c r="BM318" s="113"/>
      <c r="BN318" s="113"/>
      <c r="BO318" s="113"/>
      <c r="BP318" s="113"/>
      <c r="BQ318" s="113"/>
      <c r="BR318" s="113"/>
      <c r="BS318" s="113"/>
      <c r="BT318" s="113"/>
      <c r="BU318" s="113"/>
      <c r="BV318" s="113"/>
      <c r="BW318" s="113"/>
      <c r="BX318" s="113"/>
      <c r="BY318" s="113"/>
      <c r="BZ318" s="113"/>
      <c r="CA318" s="113"/>
      <c r="CB318" s="113"/>
      <c r="CC318" s="113"/>
      <c r="CD318" s="113"/>
      <c r="CE318" s="113"/>
      <c r="CF318" s="113"/>
    </row>
    <row r="319" spans="1:84">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3"/>
      <c r="BI319" s="113"/>
      <c r="BJ319" s="113"/>
      <c r="BK319" s="113"/>
      <c r="BL319" s="113"/>
      <c r="BM319" s="113"/>
      <c r="BN319" s="113"/>
      <c r="BO319" s="113"/>
      <c r="BP319" s="113"/>
      <c r="BQ319" s="113"/>
      <c r="BR319" s="113"/>
      <c r="BS319" s="113"/>
      <c r="BT319" s="113"/>
      <c r="BU319" s="113"/>
      <c r="BV319" s="113"/>
      <c r="BW319" s="113"/>
      <c r="BX319" s="113"/>
      <c r="BY319" s="113"/>
      <c r="BZ319" s="113"/>
      <c r="CA319" s="113"/>
      <c r="CB319" s="113"/>
      <c r="CC319" s="113"/>
      <c r="CD319" s="113"/>
      <c r="CE319" s="113"/>
      <c r="CF319" s="113"/>
    </row>
    <row r="320" spans="1:84">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c r="BL320" s="113"/>
      <c r="BM320" s="113"/>
      <c r="BN320" s="113"/>
      <c r="BO320" s="113"/>
      <c r="BP320" s="113"/>
      <c r="BQ320" s="113"/>
      <c r="BR320" s="113"/>
      <c r="BS320" s="113"/>
      <c r="BT320" s="113"/>
      <c r="BU320" s="113"/>
      <c r="BV320" s="113"/>
      <c r="BW320" s="113"/>
      <c r="BX320" s="113"/>
      <c r="BY320" s="113"/>
      <c r="BZ320" s="113"/>
      <c r="CA320" s="113"/>
      <c r="CB320" s="113"/>
      <c r="CC320" s="113"/>
      <c r="CD320" s="113"/>
      <c r="CE320" s="113"/>
      <c r="CF320" s="113"/>
    </row>
    <row r="321" spans="1:84">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c r="AO321" s="113"/>
      <c r="AP321" s="113"/>
      <c r="AQ321" s="113"/>
      <c r="AR321" s="113"/>
      <c r="AS321" s="113"/>
      <c r="AT321" s="113"/>
      <c r="AU321" s="113"/>
      <c r="AV321" s="113"/>
      <c r="AW321" s="113"/>
      <c r="AX321" s="113"/>
      <c r="AY321" s="113"/>
      <c r="AZ321" s="113"/>
      <c r="BA321" s="113"/>
      <c r="BB321" s="113"/>
      <c r="BC321" s="113"/>
      <c r="BD321" s="113"/>
      <c r="BE321" s="113"/>
      <c r="BF321" s="113"/>
      <c r="BG321" s="113"/>
      <c r="BH321" s="113"/>
      <c r="BI321" s="113"/>
      <c r="BJ321" s="113"/>
      <c r="BK321" s="113"/>
      <c r="BL321" s="113"/>
      <c r="BM321" s="113"/>
      <c r="BN321" s="113"/>
      <c r="BO321" s="113"/>
      <c r="BP321" s="113"/>
      <c r="BQ321" s="113"/>
      <c r="BR321" s="113"/>
      <c r="BS321" s="113"/>
      <c r="BT321" s="113"/>
      <c r="BU321" s="113"/>
      <c r="BV321" s="113"/>
      <c r="BW321" s="113"/>
      <c r="BX321" s="113"/>
      <c r="BY321" s="113"/>
      <c r="BZ321" s="113"/>
      <c r="CA321" s="113"/>
      <c r="CB321" s="113"/>
      <c r="CC321" s="113"/>
      <c r="CD321" s="113"/>
      <c r="CE321" s="113"/>
      <c r="CF321" s="113"/>
    </row>
    <row r="322" spans="1:84">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13"/>
      <c r="BD322" s="113"/>
      <c r="BE322" s="113"/>
      <c r="BF322" s="113"/>
      <c r="BG322" s="113"/>
      <c r="BH322" s="113"/>
      <c r="BI322" s="113"/>
      <c r="BJ322" s="113"/>
      <c r="BK322" s="113"/>
      <c r="BL322" s="113"/>
      <c r="BM322" s="113"/>
      <c r="BN322" s="113"/>
      <c r="BO322" s="113"/>
      <c r="BP322" s="113"/>
      <c r="BQ322" s="113"/>
      <c r="BR322" s="113"/>
      <c r="BS322" s="113"/>
      <c r="BT322" s="113"/>
      <c r="BU322" s="113"/>
      <c r="BV322" s="113"/>
      <c r="BW322" s="113"/>
      <c r="BX322" s="113"/>
      <c r="BY322" s="113"/>
      <c r="BZ322" s="113"/>
      <c r="CA322" s="113"/>
      <c r="CB322" s="113"/>
      <c r="CC322" s="113"/>
      <c r="CD322" s="113"/>
      <c r="CE322" s="113"/>
      <c r="CF322" s="113"/>
    </row>
    <row r="323" spans="1:84">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c r="BL323" s="113"/>
      <c r="BM323" s="113"/>
      <c r="BN323" s="113"/>
      <c r="BO323" s="113"/>
      <c r="BP323" s="113"/>
      <c r="BQ323" s="113"/>
      <c r="BR323" s="113"/>
      <c r="BS323" s="113"/>
      <c r="BT323" s="113"/>
      <c r="BU323" s="113"/>
      <c r="BV323" s="113"/>
      <c r="BW323" s="113"/>
      <c r="BX323" s="113"/>
      <c r="BY323" s="113"/>
      <c r="BZ323" s="113"/>
      <c r="CA323" s="113"/>
      <c r="CB323" s="113"/>
      <c r="CC323" s="113"/>
      <c r="CD323" s="113"/>
      <c r="CE323" s="113"/>
      <c r="CF323" s="113"/>
    </row>
    <row r="324" spans="1:84">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13"/>
      <c r="BD324" s="113"/>
      <c r="BE324" s="113"/>
      <c r="BF324" s="113"/>
      <c r="BG324" s="113"/>
      <c r="BH324" s="113"/>
      <c r="BI324" s="113"/>
      <c r="BJ324" s="113"/>
      <c r="BK324" s="113"/>
      <c r="BL324" s="113"/>
      <c r="BM324" s="113"/>
      <c r="BN324" s="113"/>
      <c r="BO324" s="113"/>
      <c r="BP324" s="113"/>
      <c r="BQ324" s="113"/>
      <c r="BR324" s="113"/>
      <c r="BS324" s="113"/>
      <c r="BT324" s="113"/>
      <c r="BU324" s="113"/>
      <c r="BV324" s="113"/>
      <c r="BW324" s="113"/>
      <c r="BX324" s="113"/>
      <c r="BY324" s="113"/>
      <c r="BZ324" s="113"/>
      <c r="CA324" s="113"/>
      <c r="CB324" s="113"/>
      <c r="CC324" s="113"/>
      <c r="CD324" s="113"/>
      <c r="CE324" s="113"/>
      <c r="CF324" s="113"/>
    </row>
    <row r="325" spans="1:84">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13"/>
      <c r="BD325" s="113"/>
      <c r="BE325" s="113"/>
      <c r="BF325" s="113"/>
      <c r="BG325" s="113"/>
      <c r="BH325" s="113"/>
      <c r="BI325" s="113"/>
      <c r="BJ325" s="113"/>
      <c r="BK325" s="113"/>
      <c r="BL325" s="113"/>
      <c r="BM325" s="113"/>
      <c r="BN325" s="113"/>
      <c r="BO325" s="113"/>
      <c r="BP325" s="113"/>
      <c r="BQ325" s="113"/>
      <c r="BR325" s="113"/>
      <c r="BS325" s="113"/>
      <c r="BT325" s="113"/>
      <c r="BU325" s="113"/>
      <c r="BV325" s="113"/>
      <c r="BW325" s="113"/>
      <c r="BX325" s="113"/>
      <c r="BY325" s="113"/>
      <c r="BZ325" s="113"/>
      <c r="CA325" s="113"/>
      <c r="CB325" s="113"/>
      <c r="CC325" s="113"/>
      <c r="CD325" s="113"/>
      <c r="CE325" s="113"/>
      <c r="CF325" s="113"/>
    </row>
    <row r="326" spans="1:84">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13"/>
      <c r="BD326" s="113"/>
      <c r="BE326" s="113"/>
      <c r="BF326" s="113"/>
      <c r="BG326" s="113"/>
      <c r="BH326" s="113"/>
      <c r="BI326" s="113"/>
      <c r="BJ326" s="113"/>
      <c r="BK326" s="113"/>
      <c r="BL326" s="113"/>
      <c r="BM326" s="113"/>
      <c r="BN326" s="113"/>
      <c r="BO326" s="113"/>
      <c r="BP326" s="113"/>
      <c r="BQ326" s="113"/>
      <c r="BR326" s="113"/>
      <c r="BS326" s="113"/>
      <c r="BT326" s="113"/>
      <c r="BU326" s="113"/>
      <c r="BV326" s="113"/>
      <c r="BW326" s="113"/>
      <c r="BX326" s="113"/>
      <c r="BY326" s="113"/>
      <c r="BZ326" s="113"/>
      <c r="CA326" s="113"/>
      <c r="CB326" s="113"/>
      <c r="CC326" s="113"/>
      <c r="CD326" s="113"/>
      <c r="CE326" s="113"/>
      <c r="CF326" s="113"/>
    </row>
    <row r="327" spans="1:84">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c r="AO327" s="113"/>
      <c r="AP327" s="113"/>
      <c r="AQ327" s="113"/>
      <c r="AR327" s="113"/>
      <c r="AS327" s="113"/>
      <c r="AT327" s="113"/>
      <c r="AU327" s="113"/>
      <c r="AV327" s="113"/>
      <c r="AW327" s="113"/>
      <c r="AX327" s="113"/>
      <c r="AY327" s="113"/>
      <c r="AZ327" s="113"/>
      <c r="BA327" s="113"/>
      <c r="BB327" s="113"/>
      <c r="BC327" s="113"/>
      <c r="BD327" s="113"/>
      <c r="BE327" s="113"/>
      <c r="BF327" s="113"/>
      <c r="BG327" s="113"/>
      <c r="BH327" s="113"/>
      <c r="BI327" s="113"/>
      <c r="BJ327" s="113"/>
      <c r="BK327" s="113"/>
      <c r="BL327" s="113"/>
      <c r="BM327" s="113"/>
      <c r="BN327" s="113"/>
      <c r="BO327" s="113"/>
      <c r="BP327" s="113"/>
      <c r="BQ327" s="113"/>
      <c r="BR327" s="113"/>
      <c r="BS327" s="113"/>
      <c r="BT327" s="113"/>
      <c r="BU327" s="113"/>
      <c r="BV327" s="113"/>
      <c r="BW327" s="113"/>
      <c r="BX327" s="113"/>
      <c r="BY327" s="113"/>
      <c r="BZ327" s="113"/>
      <c r="CA327" s="113"/>
      <c r="CB327" s="113"/>
      <c r="CC327" s="113"/>
      <c r="CD327" s="113"/>
      <c r="CE327" s="113"/>
      <c r="CF327" s="113"/>
    </row>
    <row r="328" spans="1:84">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113"/>
      <c r="BG328" s="113"/>
      <c r="BH328" s="113"/>
      <c r="BI328" s="113"/>
      <c r="BJ328" s="113"/>
      <c r="BK328" s="113"/>
      <c r="BL328" s="113"/>
      <c r="BM328" s="113"/>
      <c r="BN328" s="113"/>
      <c r="BO328" s="113"/>
      <c r="BP328" s="113"/>
      <c r="BQ328" s="113"/>
      <c r="BR328" s="113"/>
      <c r="BS328" s="113"/>
      <c r="BT328" s="113"/>
      <c r="BU328" s="113"/>
      <c r="BV328" s="113"/>
      <c r="BW328" s="113"/>
      <c r="BX328" s="113"/>
      <c r="BY328" s="113"/>
      <c r="BZ328" s="113"/>
      <c r="CA328" s="113"/>
      <c r="CB328" s="113"/>
      <c r="CC328" s="113"/>
      <c r="CD328" s="113"/>
      <c r="CE328" s="113"/>
      <c r="CF328" s="113"/>
    </row>
    <row r="329" spans="1:84">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c r="BL329" s="113"/>
      <c r="BM329" s="113"/>
      <c r="BN329" s="113"/>
      <c r="BO329" s="113"/>
      <c r="BP329" s="113"/>
      <c r="BQ329" s="113"/>
      <c r="BR329" s="113"/>
      <c r="BS329" s="113"/>
      <c r="BT329" s="113"/>
      <c r="BU329" s="113"/>
      <c r="BV329" s="113"/>
      <c r="BW329" s="113"/>
      <c r="BX329" s="113"/>
      <c r="BY329" s="113"/>
      <c r="BZ329" s="113"/>
      <c r="CA329" s="113"/>
      <c r="CB329" s="113"/>
      <c r="CC329" s="113"/>
      <c r="CD329" s="113"/>
      <c r="CE329" s="113"/>
      <c r="CF329" s="113"/>
    </row>
    <row r="330" spans="1:84">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113"/>
      <c r="BG330" s="113"/>
      <c r="BH330" s="113"/>
      <c r="BI330" s="113"/>
      <c r="BJ330" s="113"/>
      <c r="BK330" s="113"/>
      <c r="BL330" s="113"/>
      <c r="BM330" s="113"/>
      <c r="BN330" s="113"/>
      <c r="BO330" s="113"/>
      <c r="BP330" s="113"/>
      <c r="BQ330" s="113"/>
      <c r="BR330" s="113"/>
      <c r="BS330" s="113"/>
      <c r="BT330" s="113"/>
      <c r="BU330" s="113"/>
      <c r="BV330" s="113"/>
      <c r="BW330" s="113"/>
      <c r="BX330" s="113"/>
      <c r="BY330" s="113"/>
      <c r="BZ330" s="113"/>
      <c r="CA330" s="113"/>
      <c r="CB330" s="113"/>
      <c r="CC330" s="113"/>
      <c r="CD330" s="113"/>
      <c r="CE330" s="113"/>
      <c r="CF330" s="113"/>
    </row>
    <row r="331" spans="1:84">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113"/>
      <c r="BG331" s="113"/>
      <c r="BH331" s="113"/>
      <c r="BI331" s="113"/>
      <c r="BJ331" s="113"/>
      <c r="BK331" s="113"/>
      <c r="BL331" s="113"/>
      <c r="BM331" s="113"/>
      <c r="BN331" s="113"/>
      <c r="BO331" s="113"/>
      <c r="BP331" s="113"/>
      <c r="BQ331" s="113"/>
      <c r="BR331" s="113"/>
      <c r="BS331" s="113"/>
      <c r="BT331" s="113"/>
      <c r="BU331" s="113"/>
      <c r="BV331" s="113"/>
      <c r="BW331" s="113"/>
      <c r="BX331" s="113"/>
      <c r="BY331" s="113"/>
      <c r="BZ331" s="113"/>
      <c r="CA331" s="113"/>
      <c r="CB331" s="113"/>
      <c r="CC331" s="113"/>
      <c r="CD331" s="113"/>
      <c r="CE331" s="113"/>
      <c r="CF331" s="113"/>
    </row>
    <row r="332" spans="1:84">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c r="BL332" s="113"/>
      <c r="BM332" s="113"/>
      <c r="BN332" s="113"/>
      <c r="BO332" s="113"/>
      <c r="BP332" s="113"/>
      <c r="BQ332" s="113"/>
      <c r="BR332" s="113"/>
      <c r="BS332" s="113"/>
      <c r="BT332" s="113"/>
      <c r="BU332" s="113"/>
      <c r="BV332" s="113"/>
      <c r="BW332" s="113"/>
      <c r="BX332" s="113"/>
      <c r="BY332" s="113"/>
      <c r="BZ332" s="113"/>
      <c r="CA332" s="113"/>
      <c r="CB332" s="113"/>
      <c r="CC332" s="113"/>
      <c r="CD332" s="113"/>
      <c r="CE332" s="113"/>
      <c r="CF332" s="113"/>
    </row>
    <row r="333" spans="1:84">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c r="BF333" s="113"/>
      <c r="BG333" s="113"/>
      <c r="BH333" s="113"/>
      <c r="BI333" s="113"/>
      <c r="BJ333" s="113"/>
      <c r="BK333" s="113"/>
      <c r="BL333" s="113"/>
      <c r="BM333" s="113"/>
      <c r="BN333" s="113"/>
      <c r="BO333" s="113"/>
      <c r="BP333" s="113"/>
      <c r="BQ333" s="113"/>
      <c r="BR333" s="113"/>
      <c r="BS333" s="113"/>
      <c r="BT333" s="113"/>
      <c r="BU333" s="113"/>
      <c r="BV333" s="113"/>
      <c r="BW333" s="113"/>
      <c r="BX333" s="113"/>
      <c r="BY333" s="113"/>
      <c r="BZ333" s="113"/>
      <c r="CA333" s="113"/>
      <c r="CB333" s="113"/>
      <c r="CC333" s="113"/>
      <c r="CD333" s="113"/>
      <c r="CE333" s="113"/>
      <c r="CF333" s="113"/>
    </row>
    <row r="334" spans="1:84">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c r="AO334" s="113"/>
      <c r="AP334" s="113"/>
      <c r="AQ334" s="113"/>
      <c r="AR334" s="113"/>
      <c r="AS334" s="113"/>
      <c r="AT334" s="113"/>
      <c r="AU334" s="113"/>
      <c r="AV334" s="113"/>
      <c r="AW334" s="113"/>
      <c r="AX334" s="113"/>
      <c r="AY334" s="113"/>
      <c r="AZ334" s="113"/>
      <c r="BA334" s="113"/>
      <c r="BB334" s="113"/>
      <c r="BC334" s="113"/>
      <c r="BD334" s="113"/>
      <c r="BE334" s="113"/>
      <c r="BF334" s="113"/>
      <c r="BG334" s="113"/>
      <c r="BH334" s="113"/>
      <c r="BI334" s="113"/>
      <c r="BJ334" s="113"/>
      <c r="BK334" s="113"/>
      <c r="BL334" s="113"/>
      <c r="BM334" s="113"/>
      <c r="BN334" s="113"/>
      <c r="BO334" s="113"/>
      <c r="BP334" s="113"/>
      <c r="BQ334" s="113"/>
      <c r="BR334" s="113"/>
      <c r="BS334" s="113"/>
      <c r="BT334" s="113"/>
      <c r="BU334" s="113"/>
      <c r="BV334" s="113"/>
      <c r="BW334" s="113"/>
      <c r="BX334" s="113"/>
      <c r="BY334" s="113"/>
      <c r="BZ334" s="113"/>
      <c r="CA334" s="113"/>
      <c r="CB334" s="113"/>
      <c r="CC334" s="113"/>
      <c r="CD334" s="113"/>
      <c r="CE334" s="113"/>
      <c r="CF334" s="113"/>
    </row>
    <row r="335" spans="1:84">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c r="AO335" s="113"/>
      <c r="AP335" s="113"/>
      <c r="AQ335" s="113"/>
      <c r="AR335" s="113"/>
      <c r="AS335" s="113"/>
      <c r="AT335" s="113"/>
      <c r="AU335" s="113"/>
      <c r="AV335" s="113"/>
      <c r="AW335" s="113"/>
      <c r="AX335" s="113"/>
      <c r="AY335" s="113"/>
      <c r="AZ335" s="113"/>
      <c r="BA335" s="113"/>
      <c r="BB335" s="113"/>
      <c r="BC335" s="113"/>
      <c r="BD335" s="113"/>
      <c r="BE335" s="113"/>
      <c r="BF335" s="113"/>
      <c r="BG335" s="113"/>
      <c r="BH335" s="113"/>
      <c r="BI335" s="113"/>
      <c r="BJ335" s="113"/>
      <c r="BK335" s="113"/>
      <c r="BL335" s="113"/>
      <c r="BM335" s="113"/>
      <c r="BN335" s="113"/>
      <c r="BO335" s="113"/>
      <c r="BP335" s="113"/>
      <c r="BQ335" s="113"/>
      <c r="BR335" s="113"/>
      <c r="BS335" s="113"/>
      <c r="BT335" s="113"/>
      <c r="BU335" s="113"/>
      <c r="BV335" s="113"/>
      <c r="BW335" s="113"/>
      <c r="BX335" s="113"/>
      <c r="BY335" s="113"/>
      <c r="BZ335" s="113"/>
      <c r="CA335" s="113"/>
      <c r="CB335" s="113"/>
      <c r="CC335" s="113"/>
      <c r="CD335" s="113"/>
      <c r="CE335" s="113"/>
      <c r="CF335" s="113"/>
    </row>
    <row r="336" spans="1:84">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c r="BL336" s="113"/>
      <c r="BM336" s="113"/>
      <c r="BN336" s="113"/>
      <c r="BO336" s="113"/>
      <c r="BP336" s="113"/>
      <c r="BQ336" s="113"/>
      <c r="BR336" s="113"/>
      <c r="BS336" s="113"/>
      <c r="BT336" s="113"/>
      <c r="BU336" s="113"/>
      <c r="BV336" s="113"/>
      <c r="BW336" s="113"/>
      <c r="BX336" s="113"/>
      <c r="BY336" s="113"/>
      <c r="BZ336" s="113"/>
      <c r="CA336" s="113"/>
      <c r="CB336" s="113"/>
      <c r="CC336" s="113"/>
      <c r="CD336" s="113"/>
      <c r="CE336" s="113"/>
      <c r="CF336" s="113"/>
    </row>
    <row r="337" spans="1:84">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c r="BF337" s="113"/>
      <c r="BG337" s="113"/>
      <c r="BH337" s="113"/>
      <c r="BI337" s="113"/>
      <c r="BJ337" s="113"/>
      <c r="BK337" s="113"/>
      <c r="BL337" s="113"/>
      <c r="BM337" s="113"/>
      <c r="BN337" s="113"/>
      <c r="BO337" s="113"/>
      <c r="BP337" s="113"/>
      <c r="BQ337" s="113"/>
      <c r="BR337" s="113"/>
      <c r="BS337" s="113"/>
      <c r="BT337" s="113"/>
      <c r="BU337" s="113"/>
      <c r="BV337" s="113"/>
      <c r="BW337" s="113"/>
      <c r="BX337" s="113"/>
      <c r="BY337" s="113"/>
      <c r="BZ337" s="113"/>
      <c r="CA337" s="113"/>
      <c r="CB337" s="113"/>
      <c r="CC337" s="113"/>
      <c r="CD337" s="113"/>
      <c r="CE337" s="113"/>
      <c r="CF337" s="113"/>
    </row>
    <row r="338" spans="1:84">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c r="BF338" s="113"/>
      <c r="BG338" s="113"/>
      <c r="BH338" s="113"/>
      <c r="BI338" s="113"/>
      <c r="BJ338" s="113"/>
      <c r="BK338" s="113"/>
      <c r="BL338" s="113"/>
      <c r="BM338" s="113"/>
      <c r="BN338" s="113"/>
      <c r="BO338" s="113"/>
      <c r="BP338" s="113"/>
      <c r="BQ338" s="113"/>
      <c r="BR338" s="113"/>
      <c r="BS338" s="113"/>
      <c r="BT338" s="113"/>
      <c r="BU338" s="113"/>
      <c r="BV338" s="113"/>
      <c r="BW338" s="113"/>
      <c r="BX338" s="113"/>
      <c r="BY338" s="113"/>
      <c r="BZ338" s="113"/>
      <c r="CA338" s="113"/>
      <c r="CB338" s="113"/>
      <c r="CC338" s="113"/>
      <c r="CD338" s="113"/>
      <c r="CE338" s="113"/>
      <c r="CF338" s="113"/>
    </row>
    <row r="339" spans="1:84">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c r="AO339" s="113"/>
      <c r="AP339" s="113"/>
      <c r="AQ339" s="113"/>
      <c r="AR339" s="113"/>
      <c r="AS339" s="113"/>
      <c r="AT339" s="113"/>
      <c r="AU339" s="113"/>
      <c r="AV339" s="113"/>
      <c r="AW339" s="113"/>
      <c r="AX339" s="113"/>
      <c r="AY339" s="113"/>
      <c r="AZ339" s="113"/>
      <c r="BA339" s="113"/>
      <c r="BB339" s="113"/>
      <c r="BC339" s="113"/>
      <c r="BD339" s="113"/>
      <c r="BE339" s="113"/>
      <c r="BF339" s="113"/>
      <c r="BG339" s="113"/>
      <c r="BH339" s="113"/>
      <c r="BI339" s="113"/>
      <c r="BJ339" s="113"/>
      <c r="BK339" s="113"/>
      <c r="BL339" s="113"/>
      <c r="BM339" s="113"/>
      <c r="BN339" s="113"/>
      <c r="BO339" s="113"/>
      <c r="BP339" s="113"/>
      <c r="BQ339" s="113"/>
      <c r="BR339" s="113"/>
      <c r="BS339" s="113"/>
      <c r="BT339" s="113"/>
      <c r="BU339" s="113"/>
      <c r="BV339" s="113"/>
      <c r="BW339" s="113"/>
      <c r="BX339" s="113"/>
      <c r="BY339" s="113"/>
      <c r="BZ339" s="113"/>
      <c r="CA339" s="113"/>
      <c r="CB339" s="113"/>
      <c r="CC339" s="113"/>
      <c r="CD339" s="113"/>
      <c r="CE339" s="113"/>
      <c r="CF339" s="113"/>
    </row>
    <row r="340" spans="1:84">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3"/>
      <c r="BY340" s="113"/>
      <c r="BZ340" s="113"/>
      <c r="CA340" s="113"/>
      <c r="CB340" s="113"/>
      <c r="CC340" s="113"/>
      <c r="CD340" s="113"/>
      <c r="CE340" s="113"/>
      <c r="CF340" s="113"/>
    </row>
    <row r="341" spans="1:84">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c r="CF341" s="113"/>
    </row>
    <row r="342" spans="1:84">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c r="BF342" s="113"/>
      <c r="BG342" s="113"/>
      <c r="BH342" s="113"/>
      <c r="BI342" s="113"/>
      <c r="BJ342" s="113"/>
      <c r="BK342" s="113"/>
      <c r="BL342" s="113"/>
      <c r="BM342" s="113"/>
      <c r="BN342" s="113"/>
      <c r="BO342" s="113"/>
      <c r="BP342" s="113"/>
      <c r="BQ342" s="113"/>
      <c r="BR342" s="113"/>
      <c r="BS342" s="113"/>
      <c r="BT342" s="113"/>
      <c r="BU342" s="113"/>
      <c r="BV342" s="113"/>
      <c r="BW342" s="113"/>
      <c r="BX342" s="113"/>
      <c r="BY342" s="113"/>
      <c r="BZ342" s="113"/>
      <c r="CA342" s="113"/>
      <c r="CB342" s="113"/>
      <c r="CC342" s="113"/>
      <c r="CD342" s="113"/>
      <c r="CE342" s="113"/>
      <c r="CF342" s="113"/>
    </row>
    <row r="343" spans="1:84">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c r="BF343" s="113"/>
      <c r="BG343" s="113"/>
      <c r="BH343" s="113"/>
      <c r="BI343" s="113"/>
      <c r="BJ343" s="113"/>
      <c r="BK343" s="113"/>
      <c r="BL343" s="113"/>
      <c r="BM343" s="113"/>
      <c r="BN343" s="113"/>
      <c r="BO343" s="113"/>
      <c r="BP343" s="113"/>
      <c r="BQ343" s="113"/>
      <c r="BR343" s="113"/>
      <c r="BS343" s="113"/>
      <c r="BT343" s="113"/>
      <c r="BU343" s="113"/>
      <c r="BV343" s="113"/>
      <c r="BW343" s="113"/>
      <c r="BX343" s="113"/>
      <c r="BY343" s="113"/>
      <c r="BZ343" s="113"/>
      <c r="CA343" s="113"/>
      <c r="CB343" s="113"/>
      <c r="CC343" s="113"/>
      <c r="CD343" s="113"/>
      <c r="CE343" s="113"/>
      <c r="CF343" s="113"/>
    </row>
    <row r="344" spans="1:84">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c r="AO344" s="113"/>
      <c r="AP344" s="113"/>
      <c r="AQ344" s="113"/>
      <c r="AR344" s="113"/>
      <c r="AS344" s="113"/>
      <c r="AT344" s="113"/>
      <c r="AU344" s="113"/>
      <c r="AV344" s="113"/>
      <c r="AW344" s="113"/>
      <c r="AX344" s="113"/>
      <c r="AY344" s="113"/>
      <c r="AZ344" s="113"/>
      <c r="BA344" s="113"/>
      <c r="BB344" s="113"/>
      <c r="BC344" s="113"/>
      <c r="BD344" s="113"/>
      <c r="BE344" s="113"/>
      <c r="BF344" s="113"/>
      <c r="BG344" s="113"/>
      <c r="BH344" s="113"/>
      <c r="BI344" s="113"/>
      <c r="BJ344" s="113"/>
      <c r="BK344" s="113"/>
      <c r="BL344" s="113"/>
      <c r="BM344" s="113"/>
      <c r="BN344" s="113"/>
      <c r="BO344" s="113"/>
      <c r="BP344" s="113"/>
      <c r="BQ344" s="113"/>
      <c r="BR344" s="113"/>
      <c r="BS344" s="113"/>
      <c r="BT344" s="113"/>
      <c r="BU344" s="113"/>
      <c r="BV344" s="113"/>
      <c r="BW344" s="113"/>
      <c r="BX344" s="113"/>
      <c r="BY344" s="113"/>
      <c r="BZ344" s="113"/>
      <c r="CA344" s="113"/>
      <c r="CB344" s="113"/>
      <c r="CC344" s="113"/>
      <c r="CD344" s="113"/>
      <c r="CE344" s="113"/>
      <c r="CF344" s="113"/>
    </row>
    <row r="345" spans="1:84">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3"/>
      <c r="BA345" s="113"/>
      <c r="BB345" s="113"/>
      <c r="BC345" s="113"/>
      <c r="BD345" s="113"/>
      <c r="BE345" s="113"/>
      <c r="BF345" s="113"/>
      <c r="BG345" s="113"/>
      <c r="BH345" s="113"/>
      <c r="BI345" s="113"/>
      <c r="BJ345" s="113"/>
      <c r="BK345" s="113"/>
      <c r="BL345" s="113"/>
      <c r="BM345" s="113"/>
      <c r="BN345" s="113"/>
      <c r="BO345" s="113"/>
      <c r="BP345" s="113"/>
      <c r="BQ345" s="113"/>
      <c r="BR345" s="113"/>
      <c r="BS345" s="113"/>
      <c r="BT345" s="113"/>
      <c r="BU345" s="113"/>
      <c r="BV345" s="113"/>
      <c r="BW345" s="113"/>
      <c r="BX345" s="113"/>
      <c r="BY345" s="113"/>
      <c r="BZ345" s="113"/>
      <c r="CA345" s="113"/>
      <c r="CB345" s="113"/>
      <c r="CC345" s="113"/>
      <c r="CD345" s="113"/>
      <c r="CE345" s="113"/>
      <c r="CF345" s="113"/>
    </row>
    <row r="346" spans="1:84">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c r="AO346" s="113"/>
      <c r="AP346" s="113"/>
      <c r="AQ346" s="113"/>
      <c r="AR346" s="113"/>
      <c r="AS346" s="113"/>
      <c r="AT346" s="113"/>
      <c r="AU346" s="113"/>
      <c r="AV346" s="113"/>
      <c r="AW346" s="113"/>
      <c r="AX346" s="113"/>
      <c r="AY346" s="113"/>
      <c r="AZ346" s="113"/>
      <c r="BA346" s="113"/>
      <c r="BB346" s="113"/>
      <c r="BC346" s="113"/>
      <c r="BD346" s="113"/>
      <c r="BE346" s="113"/>
      <c r="BF346" s="113"/>
      <c r="BG346" s="113"/>
      <c r="BH346" s="113"/>
      <c r="BI346" s="113"/>
      <c r="BJ346" s="113"/>
      <c r="BK346" s="113"/>
      <c r="BL346" s="113"/>
      <c r="BM346" s="113"/>
      <c r="BN346" s="113"/>
      <c r="BO346" s="113"/>
      <c r="BP346" s="113"/>
      <c r="BQ346" s="113"/>
      <c r="BR346" s="113"/>
      <c r="BS346" s="113"/>
      <c r="BT346" s="113"/>
      <c r="BU346" s="113"/>
      <c r="BV346" s="113"/>
      <c r="BW346" s="113"/>
      <c r="BX346" s="113"/>
      <c r="BY346" s="113"/>
      <c r="BZ346" s="113"/>
      <c r="CA346" s="113"/>
      <c r="CB346" s="113"/>
      <c r="CC346" s="113"/>
      <c r="CD346" s="113"/>
      <c r="CE346" s="113"/>
      <c r="CF346" s="113"/>
    </row>
    <row r="347" spans="1:84">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c r="AO347" s="113"/>
      <c r="AP347" s="113"/>
      <c r="AQ347" s="113"/>
      <c r="AR347" s="113"/>
      <c r="AS347" s="113"/>
      <c r="AT347" s="113"/>
      <c r="AU347" s="113"/>
      <c r="AV347" s="113"/>
      <c r="AW347" s="113"/>
      <c r="AX347" s="113"/>
      <c r="AY347" s="113"/>
      <c r="AZ347" s="113"/>
      <c r="BA347" s="113"/>
      <c r="BB347" s="113"/>
      <c r="BC347" s="113"/>
      <c r="BD347" s="113"/>
      <c r="BE347" s="113"/>
      <c r="BF347" s="113"/>
      <c r="BG347" s="113"/>
      <c r="BH347" s="113"/>
      <c r="BI347" s="113"/>
      <c r="BJ347" s="113"/>
      <c r="BK347" s="113"/>
      <c r="BL347" s="113"/>
      <c r="BM347" s="113"/>
      <c r="BN347" s="113"/>
      <c r="BO347" s="113"/>
      <c r="BP347" s="113"/>
      <c r="BQ347" s="113"/>
      <c r="BR347" s="113"/>
      <c r="BS347" s="113"/>
      <c r="BT347" s="113"/>
      <c r="BU347" s="113"/>
      <c r="BV347" s="113"/>
      <c r="BW347" s="113"/>
      <c r="BX347" s="113"/>
      <c r="BY347" s="113"/>
      <c r="BZ347" s="113"/>
      <c r="CA347" s="113"/>
      <c r="CB347" s="113"/>
      <c r="CC347" s="113"/>
      <c r="CD347" s="113"/>
      <c r="CE347" s="113"/>
      <c r="CF347" s="113"/>
    </row>
    <row r="348" spans="1:84">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c r="BL348" s="113"/>
      <c r="BM348" s="113"/>
      <c r="BN348" s="113"/>
      <c r="BO348" s="113"/>
      <c r="BP348" s="113"/>
      <c r="BQ348" s="113"/>
      <c r="BR348" s="113"/>
      <c r="BS348" s="113"/>
      <c r="BT348" s="113"/>
      <c r="BU348" s="113"/>
      <c r="BV348" s="113"/>
      <c r="BW348" s="113"/>
      <c r="BX348" s="113"/>
      <c r="BY348" s="113"/>
      <c r="BZ348" s="113"/>
      <c r="CA348" s="113"/>
      <c r="CB348" s="113"/>
      <c r="CC348" s="113"/>
      <c r="CD348" s="113"/>
      <c r="CE348" s="113"/>
      <c r="CF348" s="113"/>
    </row>
    <row r="349" spans="1:84">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3"/>
      <c r="AY349" s="113"/>
      <c r="AZ349" s="113"/>
      <c r="BA349" s="113"/>
      <c r="BB349" s="113"/>
      <c r="BC349" s="113"/>
      <c r="BD349" s="113"/>
      <c r="BE349" s="113"/>
      <c r="BF349" s="113"/>
      <c r="BG349" s="113"/>
      <c r="BH349" s="113"/>
      <c r="BI349" s="113"/>
      <c r="BJ349" s="113"/>
      <c r="BK349" s="113"/>
      <c r="BL349" s="113"/>
      <c r="BM349" s="113"/>
      <c r="BN349" s="113"/>
      <c r="BO349" s="113"/>
      <c r="BP349" s="113"/>
      <c r="BQ349" s="113"/>
      <c r="BR349" s="113"/>
      <c r="BS349" s="113"/>
      <c r="BT349" s="113"/>
      <c r="BU349" s="113"/>
      <c r="BV349" s="113"/>
      <c r="BW349" s="113"/>
      <c r="BX349" s="113"/>
      <c r="BY349" s="113"/>
      <c r="BZ349" s="113"/>
      <c r="CA349" s="113"/>
      <c r="CB349" s="113"/>
      <c r="CC349" s="113"/>
      <c r="CD349" s="113"/>
      <c r="CE349" s="113"/>
      <c r="CF349" s="113"/>
    </row>
    <row r="350" spans="1:84">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3"/>
      <c r="AY350" s="113"/>
      <c r="AZ350" s="113"/>
      <c r="BA350" s="113"/>
      <c r="BB350" s="113"/>
      <c r="BC350" s="113"/>
      <c r="BD350" s="113"/>
      <c r="BE350" s="113"/>
      <c r="BF350" s="113"/>
      <c r="BG350" s="113"/>
      <c r="BH350" s="113"/>
      <c r="BI350" s="113"/>
      <c r="BJ350" s="113"/>
      <c r="BK350" s="113"/>
      <c r="BL350" s="113"/>
      <c r="BM350" s="113"/>
      <c r="BN350" s="113"/>
      <c r="BO350" s="113"/>
      <c r="BP350" s="113"/>
      <c r="BQ350" s="113"/>
      <c r="BR350" s="113"/>
      <c r="BS350" s="113"/>
      <c r="BT350" s="113"/>
      <c r="BU350" s="113"/>
      <c r="BV350" s="113"/>
      <c r="BW350" s="113"/>
      <c r="BX350" s="113"/>
      <c r="BY350" s="113"/>
      <c r="BZ350" s="113"/>
      <c r="CA350" s="113"/>
      <c r="CB350" s="113"/>
      <c r="CC350" s="113"/>
      <c r="CD350" s="113"/>
      <c r="CE350" s="113"/>
      <c r="CF350" s="113"/>
    </row>
    <row r="351" spans="1:84">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113"/>
      <c r="BI351" s="113"/>
      <c r="BJ351" s="113"/>
      <c r="BK351" s="113"/>
      <c r="BL351" s="113"/>
      <c r="BM351" s="113"/>
      <c r="BN351" s="113"/>
      <c r="BO351" s="113"/>
      <c r="BP351" s="113"/>
      <c r="BQ351" s="113"/>
      <c r="BR351" s="113"/>
      <c r="BS351" s="113"/>
      <c r="BT351" s="113"/>
      <c r="BU351" s="113"/>
      <c r="BV351" s="113"/>
      <c r="BW351" s="113"/>
      <c r="BX351" s="113"/>
      <c r="BY351" s="113"/>
      <c r="BZ351" s="113"/>
      <c r="CA351" s="113"/>
      <c r="CB351" s="113"/>
      <c r="CC351" s="113"/>
      <c r="CD351" s="113"/>
      <c r="CE351" s="113"/>
      <c r="CF351" s="113"/>
    </row>
    <row r="352" spans="1:84">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c r="BL352" s="113"/>
      <c r="BM352" s="113"/>
      <c r="BN352" s="113"/>
      <c r="BO352" s="113"/>
      <c r="BP352" s="113"/>
      <c r="BQ352" s="113"/>
      <c r="BR352" s="113"/>
      <c r="BS352" s="113"/>
      <c r="BT352" s="113"/>
      <c r="BU352" s="113"/>
      <c r="BV352" s="113"/>
      <c r="BW352" s="113"/>
      <c r="BX352" s="113"/>
      <c r="BY352" s="113"/>
      <c r="BZ352" s="113"/>
      <c r="CA352" s="113"/>
      <c r="CB352" s="113"/>
      <c r="CC352" s="113"/>
      <c r="CD352" s="113"/>
      <c r="CE352" s="113"/>
      <c r="CF352" s="113"/>
    </row>
    <row r="353" spans="1:84">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c r="AO353" s="113"/>
      <c r="AP353" s="113"/>
      <c r="AQ353" s="113"/>
      <c r="AR353" s="113"/>
      <c r="AS353" s="113"/>
      <c r="AT353" s="113"/>
      <c r="AU353" s="113"/>
      <c r="AV353" s="113"/>
      <c r="AW353" s="113"/>
      <c r="AX353" s="113"/>
      <c r="AY353" s="113"/>
      <c r="AZ353" s="113"/>
      <c r="BA353" s="113"/>
      <c r="BB353" s="113"/>
      <c r="BC353" s="113"/>
      <c r="BD353" s="113"/>
      <c r="BE353" s="113"/>
      <c r="BF353" s="113"/>
      <c r="BG353" s="113"/>
      <c r="BH353" s="113"/>
      <c r="BI353" s="113"/>
      <c r="BJ353" s="113"/>
      <c r="BK353" s="113"/>
      <c r="BL353" s="113"/>
      <c r="BM353" s="113"/>
      <c r="BN353" s="113"/>
      <c r="BO353" s="113"/>
      <c r="BP353" s="113"/>
      <c r="BQ353" s="113"/>
      <c r="BR353" s="113"/>
      <c r="BS353" s="113"/>
      <c r="BT353" s="113"/>
      <c r="BU353" s="113"/>
      <c r="BV353" s="113"/>
      <c r="BW353" s="113"/>
      <c r="BX353" s="113"/>
      <c r="BY353" s="113"/>
      <c r="BZ353" s="113"/>
      <c r="CA353" s="113"/>
      <c r="CB353" s="113"/>
      <c r="CC353" s="113"/>
      <c r="CD353" s="113"/>
      <c r="CE353" s="113"/>
      <c r="CF353" s="113"/>
    </row>
    <row r="354" spans="1:84">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c r="AO354" s="113"/>
      <c r="AP354" s="113"/>
      <c r="AQ354" s="113"/>
      <c r="AR354" s="113"/>
      <c r="AS354" s="113"/>
      <c r="AT354" s="113"/>
      <c r="AU354" s="113"/>
      <c r="AV354" s="113"/>
      <c r="AW354" s="113"/>
      <c r="AX354" s="113"/>
      <c r="AY354" s="113"/>
      <c r="AZ354" s="113"/>
      <c r="BA354" s="113"/>
      <c r="BB354" s="113"/>
      <c r="BC354" s="113"/>
      <c r="BD354" s="113"/>
      <c r="BE354" s="113"/>
      <c r="BF354" s="113"/>
      <c r="BG354" s="113"/>
      <c r="BH354" s="113"/>
      <c r="BI354" s="113"/>
      <c r="BJ354" s="113"/>
      <c r="BK354" s="113"/>
      <c r="BL354" s="113"/>
      <c r="BM354" s="113"/>
      <c r="BN354" s="113"/>
      <c r="BO354" s="113"/>
      <c r="BP354" s="113"/>
      <c r="BQ354" s="113"/>
      <c r="BR354" s="113"/>
      <c r="BS354" s="113"/>
      <c r="BT354" s="113"/>
      <c r="BU354" s="113"/>
      <c r="BV354" s="113"/>
      <c r="BW354" s="113"/>
      <c r="BX354" s="113"/>
      <c r="BY354" s="113"/>
      <c r="BZ354" s="113"/>
      <c r="CA354" s="113"/>
      <c r="CB354" s="113"/>
      <c r="CC354" s="113"/>
      <c r="CD354" s="113"/>
      <c r="CE354" s="113"/>
      <c r="CF354" s="113"/>
    </row>
    <row r="355" spans="1:84">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c r="AO355" s="113"/>
      <c r="AP355" s="113"/>
      <c r="AQ355" s="113"/>
      <c r="AR355" s="113"/>
      <c r="AS355" s="113"/>
      <c r="AT355" s="113"/>
      <c r="AU355" s="113"/>
      <c r="AV355" s="113"/>
      <c r="AW355" s="113"/>
      <c r="AX355" s="113"/>
      <c r="AY355" s="113"/>
      <c r="AZ355" s="113"/>
      <c r="BA355" s="113"/>
      <c r="BB355" s="113"/>
      <c r="BC355" s="113"/>
      <c r="BD355" s="113"/>
      <c r="BE355" s="113"/>
      <c r="BF355" s="113"/>
      <c r="BG355" s="113"/>
      <c r="BH355" s="113"/>
      <c r="BI355" s="113"/>
      <c r="BJ355" s="113"/>
      <c r="BK355" s="113"/>
      <c r="BL355" s="113"/>
      <c r="BM355" s="113"/>
      <c r="BN355" s="113"/>
      <c r="BO355" s="113"/>
      <c r="BP355" s="113"/>
      <c r="BQ355" s="113"/>
      <c r="BR355" s="113"/>
      <c r="BS355" s="113"/>
      <c r="BT355" s="113"/>
      <c r="BU355" s="113"/>
      <c r="BV355" s="113"/>
      <c r="BW355" s="113"/>
      <c r="BX355" s="113"/>
      <c r="BY355" s="113"/>
      <c r="BZ355" s="113"/>
      <c r="CA355" s="113"/>
      <c r="CB355" s="113"/>
      <c r="CC355" s="113"/>
      <c r="CD355" s="113"/>
      <c r="CE355" s="113"/>
      <c r="CF355" s="113"/>
    </row>
    <row r="356" spans="1:84">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c r="BM356" s="113"/>
      <c r="BN356" s="113"/>
      <c r="BO356" s="113"/>
      <c r="BP356" s="113"/>
      <c r="BQ356" s="113"/>
      <c r="BR356" s="113"/>
      <c r="BS356" s="113"/>
      <c r="BT356" s="113"/>
      <c r="BU356" s="113"/>
      <c r="BV356" s="113"/>
      <c r="BW356" s="113"/>
      <c r="BX356" s="113"/>
      <c r="BY356" s="113"/>
      <c r="BZ356" s="113"/>
      <c r="CA356" s="113"/>
      <c r="CB356" s="113"/>
      <c r="CC356" s="113"/>
      <c r="CD356" s="113"/>
      <c r="CE356" s="113"/>
      <c r="CF356" s="113"/>
    </row>
    <row r="357" spans="1:84">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c r="AO357" s="113"/>
      <c r="AP357" s="113"/>
      <c r="AQ357" s="113"/>
      <c r="AR357" s="113"/>
      <c r="AS357" s="113"/>
      <c r="AT357" s="113"/>
      <c r="AU357" s="113"/>
      <c r="AV357" s="113"/>
      <c r="AW357" s="113"/>
      <c r="AX357" s="113"/>
      <c r="AY357" s="113"/>
      <c r="AZ357" s="113"/>
      <c r="BA357" s="113"/>
      <c r="BB357" s="113"/>
      <c r="BC357" s="113"/>
      <c r="BD357" s="113"/>
      <c r="BE357" s="113"/>
      <c r="BF357" s="113"/>
      <c r="BG357" s="113"/>
      <c r="BH357" s="113"/>
      <c r="BI357" s="113"/>
      <c r="BJ357" s="113"/>
      <c r="BK357" s="113"/>
      <c r="BL357" s="113"/>
      <c r="BM357" s="113"/>
      <c r="BN357" s="113"/>
      <c r="BO357" s="113"/>
      <c r="BP357" s="113"/>
      <c r="BQ357" s="113"/>
      <c r="BR357" s="113"/>
      <c r="BS357" s="113"/>
      <c r="BT357" s="113"/>
      <c r="BU357" s="113"/>
      <c r="BV357" s="113"/>
      <c r="BW357" s="113"/>
      <c r="BX357" s="113"/>
      <c r="BY357" s="113"/>
      <c r="BZ357" s="113"/>
      <c r="CA357" s="113"/>
      <c r="CB357" s="113"/>
      <c r="CC357" s="113"/>
      <c r="CD357" s="113"/>
      <c r="CE357" s="113"/>
      <c r="CF357" s="113"/>
    </row>
    <row r="358" spans="1:84">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c r="AO358" s="113"/>
      <c r="AP358" s="113"/>
      <c r="AQ358" s="113"/>
      <c r="AR358" s="113"/>
      <c r="AS358" s="113"/>
      <c r="AT358" s="113"/>
      <c r="AU358" s="113"/>
      <c r="AV358" s="113"/>
      <c r="AW358" s="113"/>
      <c r="AX358" s="113"/>
      <c r="AY358" s="113"/>
      <c r="AZ358" s="113"/>
      <c r="BA358" s="113"/>
      <c r="BB358" s="113"/>
      <c r="BC358" s="113"/>
      <c r="BD358" s="113"/>
      <c r="BE358" s="113"/>
      <c r="BF358" s="113"/>
      <c r="BG358" s="113"/>
      <c r="BH358" s="113"/>
      <c r="BI358" s="113"/>
      <c r="BJ358" s="113"/>
      <c r="BK358" s="113"/>
      <c r="BL358" s="113"/>
      <c r="BM358" s="113"/>
      <c r="BN358" s="113"/>
      <c r="BO358" s="113"/>
      <c r="BP358" s="113"/>
      <c r="BQ358" s="113"/>
      <c r="BR358" s="113"/>
      <c r="BS358" s="113"/>
      <c r="BT358" s="113"/>
      <c r="BU358" s="113"/>
      <c r="BV358" s="113"/>
      <c r="BW358" s="113"/>
      <c r="BX358" s="113"/>
      <c r="BY358" s="113"/>
      <c r="BZ358" s="113"/>
      <c r="CA358" s="113"/>
      <c r="CB358" s="113"/>
      <c r="CC358" s="113"/>
      <c r="CD358" s="113"/>
      <c r="CE358" s="113"/>
      <c r="CF358" s="113"/>
    </row>
    <row r="359" spans="1:84">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c r="AO359" s="113"/>
      <c r="AP359" s="113"/>
      <c r="AQ359" s="113"/>
      <c r="AR359" s="113"/>
      <c r="AS359" s="113"/>
      <c r="AT359" s="113"/>
      <c r="AU359" s="113"/>
      <c r="AV359" s="113"/>
      <c r="AW359" s="113"/>
      <c r="AX359" s="113"/>
      <c r="AY359" s="113"/>
      <c r="AZ359" s="113"/>
      <c r="BA359" s="113"/>
      <c r="BB359" s="113"/>
      <c r="BC359" s="113"/>
      <c r="BD359" s="113"/>
      <c r="BE359" s="113"/>
      <c r="BF359" s="113"/>
      <c r="BG359" s="113"/>
      <c r="BH359" s="113"/>
      <c r="BI359" s="113"/>
      <c r="BJ359" s="113"/>
      <c r="BK359" s="113"/>
      <c r="BL359" s="113"/>
      <c r="BM359" s="113"/>
      <c r="BN359" s="113"/>
      <c r="BO359" s="113"/>
      <c r="BP359" s="113"/>
      <c r="BQ359" s="113"/>
      <c r="BR359" s="113"/>
      <c r="BS359" s="113"/>
      <c r="BT359" s="113"/>
      <c r="BU359" s="113"/>
      <c r="BV359" s="113"/>
      <c r="BW359" s="113"/>
      <c r="BX359" s="113"/>
      <c r="BY359" s="113"/>
      <c r="BZ359" s="113"/>
      <c r="CA359" s="113"/>
      <c r="CB359" s="113"/>
      <c r="CC359" s="113"/>
      <c r="CD359" s="113"/>
      <c r="CE359" s="113"/>
      <c r="CF359" s="113"/>
    </row>
    <row r="360" spans="1:84">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c r="AO360" s="113"/>
      <c r="AP360" s="113"/>
      <c r="AQ360" s="113"/>
      <c r="AR360" s="113"/>
      <c r="AS360" s="113"/>
      <c r="AT360" s="113"/>
      <c r="AU360" s="113"/>
      <c r="AV360" s="113"/>
      <c r="AW360" s="113"/>
      <c r="AX360" s="113"/>
      <c r="AY360" s="113"/>
      <c r="AZ360" s="113"/>
      <c r="BA360" s="113"/>
      <c r="BB360" s="113"/>
      <c r="BC360" s="113"/>
      <c r="BD360" s="113"/>
      <c r="BE360" s="113"/>
      <c r="BF360" s="113"/>
      <c r="BG360" s="113"/>
      <c r="BH360" s="113"/>
      <c r="BI360" s="113"/>
      <c r="BJ360" s="113"/>
      <c r="BK360" s="113"/>
      <c r="BL360" s="113"/>
      <c r="BM360" s="113"/>
      <c r="BN360" s="113"/>
      <c r="BO360" s="113"/>
      <c r="BP360" s="113"/>
      <c r="BQ360" s="113"/>
      <c r="BR360" s="113"/>
      <c r="BS360" s="113"/>
      <c r="BT360" s="113"/>
      <c r="BU360" s="113"/>
      <c r="BV360" s="113"/>
      <c r="BW360" s="113"/>
      <c r="BX360" s="113"/>
      <c r="BY360" s="113"/>
      <c r="BZ360" s="113"/>
      <c r="CA360" s="113"/>
      <c r="CB360" s="113"/>
      <c r="CC360" s="113"/>
      <c r="CD360" s="113"/>
      <c r="CE360" s="113"/>
      <c r="CF360" s="113"/>
    </row>
    <row r="361" spans="1:84">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c r="BL361" s="113"/>
      <c r="BM361" s="113"/>
      <c r="BN361" s="113"/>
      <c r="BO361" s="113"/>
      <c r="BP361" s="113"/>
      <c r="BQ361" s="113"/>
      <c r="BR361" s="113"/>
      <c r="BS361" s="113"/>
      <c r="BT361" s="113"/>
      <c r="BU361" s="113"/>
      <c r="BV361" s="113"/>
      <c r="BW361" s="113"/>
      <c r="BX361" s="113"/>
      <c r="BY361" s="113"/>
      <c r="BZ361" s="113"/>
      <c r="CA361" s="113"/>
      <c r="CB361" s="113"/>
      <c r="CC361" s="113"/>
      <c r="CD361" s="113"/>
      <c r="CE361" s="113"/>
      <c r="CF361" s="113"/>
    </row>
    <row r="362" spans="1:84">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c r="BL362" s="113"/>
      <c r="BM362" s="113"/>
      <c r="BN362" s="113"/>
      <c r="BO362" s="113"/>
      <c r="BP362" s="113"/>
      <c r="BQ362" s="113"/>
      <c r="BR362" s="113"/>
      <c r="BS362" s="113"/>
      <c r="BT362" s="113"/>
      <c r="BU362" s="113"/>
      <c r="BV362" s="113"/>
      <c r="BW362" s="113"/>
      <c r="BX362" s="113"/>
      <c r="BY362" s="113"/>
      <c r="BZ362" s="113"/>
      <c r="CA362" s="113"/>
      <c r="CB362" s="113"/>
      <c r="CC362" s="113"/>
      <c r="CD362" s="113"/>
      <c r="CE362" s="113"/>
      <c r="CF362" s="113"/>
    </row>
    <row r="363" spans="1:84">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c r="AO363" s="113"/>
      <c r="AP363" s="113"/>
      <c r="AQ363" s="113"/>
      <c r="AR363" s="113"/>
      <c r="AS363" s="113"/>
      <c r="AT363" s="113"/>
      <c r="AU363" s="113"/>
      <c r="AV363" s="113"/>
      <c r="AW363" s="113"/>
      <c r="AX363" s="113"/>
      <c r="AY363" s="113"/>
      <c r="AZ363" s="113"/>
      <c r="BA363" s="113"/>
      <c r="BB363" s="113"/>
      <c r="BC363" s="113"/>
      <c r="BD363" s="113"/>
      <c r="BE363" s="113"/>
      <c r="BF363" s="113"/>
      <c r="BG363" s="113"/>
      <c r="BH363" s="113"/>
      <c r="BI363" s="113"/>
      <c r="BJ363" s="113"/>
      <c r="BK363" s="113"/>
      <c r="BL363" s="113"/>
      <c r="BM363" s="113"/>
      <c r="BN363" s="113"/>
      <c r="BO363" s="113"/>
      <c r="BP363" s="113"/>
      <c r="BQ363" s="113"/>
      <c r="BR363" s="113"/>
      <c r="BS363" s="113"/>
      <c r="BT363" s="113"/>
      <c r="BU363" s="113"/>
      <c r="BV363" s="113"/>
      <c r="BW363" s="113"/>
      <c r="BX363" s="113"/>
      <c r="BY363" s="113"/>
      <c r="BZ363" s="113"/>
      <c r="CA363" s="113"/>
      <c r="CB363" s="113"/>
      <c r="CC363" s="113"/>
      <c r="CD363" s="113"/>
      <c r="CE363" s="113"/>
      <c r="CF363" s="113"/>
    </row>
    <row r="364" spans="1:84">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c r="AO364" s="113"/>
      <c r="AP364" s="113"/>
      <c r="AQ364" s="113"/>
      <c r="AR364" s="113"/>
      <c r="AS364" s="113"/>
      <c r="AT364" s="113"/>
      <c r="AU364" s="113"/>
      <c r="AV364" s="113"/>
      <c r="AW364" s="113"/>
      <c r="AX364" s="113"/>
      <c r="AY364" s="113"/>
      <c r="AZ364" s="113"/>
      <c r="BA364" s="113"/>
      <c r="BB364" s="113"/>
      <c r="BC364" s="113"/>
      <c r="BD364" s="113"/>
      <c r="BE364" s="113"/>
      <c r="BF364" s="113"/>
      <c r="BG364" s="113"/>
      <c r="BH364" s="113"/>
      <c r="BI364" s="113"/>
      <c r="BJ364" s="113"/>
      <c r="BK364" s="113"/>
      <c r="BL364" s="113"/>
      <c r="BM364" s="113"/>
      <c r="BN364" s="113"/>
      <c r="BO364" s="113"/>
      <c r="BP364" s="113"/>
      <c r="BQ364" s="113"/>
      <c r="BR364" s="113"/>
      <c r="BS364" s="113"/>
      <c r="BT364" s="113"/>
      <c r="BU364" s="113"/>
      <c r="BV364" s="113"/>
      <c r="BW364" s="113"/>
      <c r="BX364" s="113"/>
      <c r="BY364" s="113"/>
      <c r="BZ364" s="113"/>
      <c r="CA364" s="113"/>
      <c r="CB364" s="113"/>
      <c r="CC364" s="113"/>
      <c r="CD364" s="113"/>
      <c r="CE364" s="113"/>
      <c r="CF364" s="113"/>
    </row>
    <row r="365" spans="1:84">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c r="AO365" s="113"/>
      <c r="AP365" s="113"/>
      <c r="AQ365" s="113"/>
      <c r="AR365" s="113"/>
      <c r="AS365" s="113"/>
      <c r="AT365" s="113"/>
      <c r="AU365" s="113"/>
      <c r="AV365" s="113"/>
      <c r="AW365" s="113"/>
      <c r="AX365" s="113"/>
      <c r="AY365" s="113"/>
      <c r="AZ365" s="113"/>
      <c r="BA365" s="113"/>
      <c r="BB365" s="113"/>
      <c r="BC365" s="113"/>
      <c r="BD365" s="113"/>
      <c r="BE365" s="113"/>
      <c r="BF365" s="113"/>
      <c r="BG365" s="113"/>
      <c r="BH365" s="113"/>
      <c r="BI365" s="113"/>
      <c r="BJ365" s="113"/>
      <c r="BK365" s="113"/>
      <c r="BL365" s="113"/>
      <c r="BM365" s="113"/>
      <c r="BN365" s="113"/>
      <c r="BO365" s="113"/>
      <c r="BP365" s="113"/>
      <c r="BQ365" s="113"/>
      <c r="BR365" s="113"/>
      <c r="BS365" s="113"/>
      <c r="BT365" s="113"/>
      <c r="BU365" s="113"/>
      <c r="BV365" s="113"/>
      <c r="BW365" s="113"/>
      <c r="BX365" s="113"/>
      <c r="BY365" s="113"/>
      <c r="BZ365" s="113"/>
      <c r="CA365" s="113"/>
      <c r="CB365" s="113"/>
      <c r="CC365" s="113"/>
      <c r="CD365" s="113"/>
      <c r="CE365" s="113"/>
      <c r="CF365" s="113"/>
    </row>
    <row r="366" spans="1:84">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c r="AO366" s="113"/>
      <c r="AP366" s="113"/>
      <c r="AQ366" s="113"/>
      <c r="AR366" s="113"/>
      <c r="AS366" s="113"/>
      <c r="AT366" s="113"/>
      <c r="AU366" s="113"/>
      <c r="AV366" s="113"/>
      <c r="AW366" s="113"/>
      <c r="AX366" s="113"/>
      <c r="AY366" s="113"/>
      <c r="AZ366" s="113"/>
      <c r="BA366" s="113"/>
      <c r="BB366" s="113"/>
      <c r="BC366" s="113"/>
      <c r="BD366" s="113"/>
      <c r="BE366" s="113"/>
      <c r="BF366" s="113"/>
      <c r="BG366" s="113"/>
      <c r="BH366" s="113"/>
      <c r="BI366" s="113"/>
      <c r="BJ366" s="113"/>
      <c r="BK366" s="113"/>
      <c r="BL366" s="113"/>
      <c r="BM366" s="113"/>
      <c r="BN366" s="113"/>
      <c r="BO366" s="113"/>
      <c r="BP366" s="113"/>
      <c r="BQ366" s="113"/>
      <c r="BR366" s="113"/>
      <c r="BS366" s="113"/>
      <c r="BT366" s="113"/>
      <c r="BU366" s="113"/>
      <c r="BV366" s="113"/>
      <c r="BW366" s="113"/>
      <c r="BX366" s="113"/>
      <c r="BY366" s="113"/>
      <c r="BZ366" s="113"/>
      <c r="CA366" s="113"/>
      <c r="CB366" s="113"/>
      <c r="CC366" s="113"/>
      <c r="CD366" s="113"/>
      <c r="CE366" s="113"/>
      <c r="CF366" s="113"/>
    </row>
    <row r="367" spans="1:84">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c r="BC367" s="113"/>
      <c r="BD367" s="113"/>
      <c r="BE367" s="113"/>
      <c r="BF367" s="113"/>
      <c r="BG367" s="113"/>
      <c r="BH367" s="113"/>
      <c r="BI367" s="113"/>
      <c r="BJ367" s="113"/>
      <c r="BK367" s="113"/>
      <c r="BL367" s="113"/>
      <c r="BM367" s="113"/>
      <c r="BN367" s="113"/>
      <c r="BO367" s="113"/>
      <c r="BP367" s="113"/>
      <c r="BQ367" s="113"/>
      <c r="BR367" s="113"/>
      <c r="BS367" s="113"/>
      <c r="BT367" s="113"/>
      <c r="BU367" s="113"/>
      <c r="BV367" s="113"/>
      <c r="BW367" s="113"/>
      <c r="BX367" s="113"/>
      <c r="BY367" s="113"/>
      <c r="BZ367" s="113"/>
      <c r="CA367" s="113"/>
      <c r="CB367" s="113"/>
      <c r="CC367" s="113"/>
      <c r="CD367" s="113"/>
      <c r="CE367" s="113"/>
      <c r="CF367" s="113"/>
    </row>
    <row r="368" spans="1:84">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3"/>
      <c r="AY368" s="113"/>
      <c r="AZ368" s="113"/>
      <c r="BA368" s="113"/>
      <c r="BB368" s="113"/>
      <c r="BC368" s="113"/>
      <c r="BD368" s="113"/>
      <c r="BE368" s="113"/>
      <c r="BF368" s="113"/>
      <c r="BG368" s="113"/>
      <c r="BH368" s="113"/>
      <c r="BI368" s="113"/>
      <c r="BJ368" s="113"/>
      <c r="BK368" s="113"/>
      <c r="BL368" s="113"/>
      <c r="BM368" s="113"/>
      <c r="BN368" s="113"/>
      <c r="BO368" s="113"/>
      <c r="BP368" s="113"/>
      <c r="BQ368" s="113"/>
      <c r="BR368" s="113"/>
      <c r="BS368" s="113"/>
      <c r="BT368" s="113"/>
      <c r="BU368" s="113"/>
      <c r="BV368" s="113"/>
      <c r="BW368" s="113"/>
      <c r="BX368" s="113"/>
      <c r="BY368" s="113"/>
      <c r="BZ368" s="113"/>
      <c r="CA368" s="113"/>
      <c r="CB368" s="113"/>
      <c r="CC368" s="113"/>
      <c r="CD368" s="113"/>
      <c r="CE368" s="113"/>
      <c r="CF368" s="113"/>
    </row>
    <row r="369" spans="1:84">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3"/>
      <c r="AY369" s="113"/>
      <c r="AZ369" s="113"/>
      <c r="BA369" s="113"/>
      <c r="BB369" s="113"/>
      <c r="BC369" s="113"/>
      <c r="BD369" s="113"/>
      <c r="BE369" s="113"/>
      <c r="BF369" s="113"/>
      <c r="BG369" s="113"/>
      <c r="BH369" s="113"/>
      <c r="BI369" s="113"/>
      <c r="BJ369" s="113"/>
      <c r="BK369" s="113"/>
      <c r="BL369" s="113"/>
      <c r="BM369" s="113"/>
      <c r="BN369" s="113"/>
      <c r="BO369" s="113"/>
      <c r="BP369" s="113"/>
      <c r="BQ369" s="113"/>
      <c r="BR369" s="113"/>
      <c r="BS369" s="113"/>
      <c r="BT369" s="113"/>
      <c r="BU369" s="113"/>
      <c r="BV369" s="113"/>
      <c r="BW369" s="113"/>
      <c r="BX369" s="113"/>
      <c r="BY369" s="113"/>
      <c r="BZ369" s="113"/>
      <c r="CA369" s="113"/>
      <c r="CB369" s="113"/>
      <c r="CC369" s="113"/>
      <c r="CD369" s="113"/>
      <c r="CE369" s="113"/>
      <c r="CF369" s="113"/>
    </row>
    <row r="370" spans="1:84">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3"/>
      <c r="AY370" s="113"/>
      <c r="AZ370" s="113"/>
      <c r="BA370" s="113"/>
      <c r="BB370" s="113"/>
      <c r="BC370" s="113"/>
      <c r="BD370" s="113"/>
      <c r="BE370" s="113"/>
      <c r="BF370" s="113"/>
      <c r="BG370" s="113"/>
      <c r="BH370" s="113"/>
      <c r="BI370" s="113"/>
      <c r="BJ370" s="113"/>
      <c r="BK370" s="113"/>
      <c r="BL370" s="113"/>
      <c r="BM370" s="113"/>
      <c r="BN370" s="113"/>
      <c r="BO370" s="113"/>
      <c r="BP370" s="113"/>
      <c r="BQ370" s="113"/>
      <c r="BR370" s="113"/>
      <c r="BS370" s="113"/>
      <c r="BT370" s="113"/>
      <c r="BU370" s="113"/>
      <c r="BV370" s="113"/>
      <c r="BW370" s="113"/>
      <c r="BX370" s="113"/>
      <c r="BY370" s="113"/>
      <c r="BZ370" s="113"/>
      <c r="CA370" s="113"/>
      <c r="CB370" s="113"/>
      <c r="CC370" s="113"/>
      <c r="CD370" s="113"/>
      <c r="CE370" s="113"/>
      <c r="CF370" s="113"/>
    </row>
    <row r="371" spans="1:84">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3"/>
      <c r="AY371" s="113"/>
      <c r="AZ371" s="113"/>
      <c r="BA371" s="113"/>
      <c r="BB371" s="113"/>
      <c r="BC371" s="113"/>
      <c r="BD371" s="113"/>
      <c r="BE371" s="113"/>
      <c r="BF371" s="113"/>
      <c r="BG371" s="113"/>
      <c r="BH371" s="113"/>
      <c r="BI371" s="113"/>
      <c r="BJ371" s="113"/>
      <c r="BK371" s="113"/>
      <c r="BL371" s="113"/>
      <c r="BM371" s="113"/>
      <c r="BN371" s="113"/>
      <c r="BO371" s="113"/>
      <c r="BP371" s="113"/>
      <c r="BQ371" s="113"/>
      <c r="BR371" s="113"/>
      <c r="BS371" s="113"/>
      <c r="BT371" s="113"/>
      <c r="BU371" s="113"/>
      <c r="BV371" s="113"/>
      <c r="BW371" s="113"/>
      <c r="BX371" s="113"/>
      <c r="BY371" s="113"/>
      <c r="BZ371" s="113"/>
      <c r="CA371" s="113"/>
      <c r="CB371" s="113"/>
      <c r="CC371" s="113"/>
      <c r="CD371" s="113"/>
      <c r="CE371" s="113"/>
      <c r="CF371" s="113"/>
    </row>
  </sheetData>
  <pageMargins left="0.7" right="0.7"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9E0C6AAD117944B71935F52C8823F4" ma:contentTypeVersion="96" ma:contentTypeDescription="" ma:contentTypeScope="" ma:versionID="da34fce10fc73a22f4ee0d66b8c12ef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2016-04-15T07:00:00+00:00</OpenedDate>
    <Date1 xmlns="dc463f71-b30c-4ab2-9473-d307f9d35888">2016-04-15T07:00:00+00:00</Date1>
    <IsDocumentOrder xmlns="dc463f71-b30c-4ab2-9473-d307f9d35888" xsi:nil="true"/>
    <IsHighlyConfidential xmlns="dc463f71-b30c-4ab2-9473-d307f9d35888">false</IsHighlyConfidential>
    <CaseCompanyNames xmlns="dc463f71-b30c-4ab2-9473-d307f9d35888">Columbia River Disposal, Inc.</CaseCompanyNames>
    <DocketNumber xmlns="dc463f71-b30c-4ab2-9473-d307f9d35888">160424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22CFF7E-15D0-40D8-B3EB-F0E6A3377097}"/>
</file>

<file path=customXml/itemProps2.xml><?xml version="1.0" encoding="utf-8"?>
<ds:datastoreItem xmlns:ds="http://schemas.openxmlformats.org/officeDocument/2006/customXml" ds:itemID="{85D72B5D-4EBD-432D-AF8E-13D1876E9AA3}"/>
</file>

<file path=customXml/itemProps3.xml><?xml version="1.0" encoding="utf-8"?>
<ds:datastoreItem xmlns:ds="http://schemas.openxmlformats.org/officeDocument/2006/customXml" ds:itemID="{FA6CD9E9-2EE7-43B1-B36E-7764375A9552}"/>
</file>

<file path=customXml/itemProps4.xml><?xml version="1.0" encoding="utf-8"?>
<ds:datastoreItem xmlns:ds="http://schemas.openxmlformats.org/officeDocument/2006/customXml" ds:itemID="{6A4F031C-08E6-4905-AC9E-51FF6409AE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59</vt:i4>
      </vt:variant>
    </vt:vector>
  </HeadingPairs>
  <TitlesOfParts>
    <vt:vector size="86" baseType="lpstr">
      <vt:lpstr>2025 BS</vt:lpstr>
      <vt:lpstr>2025 IS</vt:lpstr>
      <vt:lpstr>Consolidated IS</vt:lpstr>
      <vt:lpstr>Pro-forma</vt:lpstr>
      <vt:lpstr>Restating Adj</vt:lpstr>
      <vt:lpstr>Restating Expl</vt:lpstr>
      <vt:lpstr>Pro Forma Adj</vt:lpstr>
      <vt:lpstr>Ratios</vt:lpstr>
      <vt:lpstr>LG</vt:lpstr>
      <vt:lpstr>LG G-48</vt:lpstr>
      <vt:lpstr>LG G-51</vt:lpstr>
      <vt:lpstr>G-48 Price Out</vt:lpstr>
      <vt:lpstr>G-51 Price Out</vt:lpstr>
      <vt:lpstr>Rate Schedule G-48</vt:lpstr>
      <vt:lpstr>References</vt:lpstr>
      <vt:lpstr>G-48 DF Calc</vt:lpstr>
      <vt:lpstr>DF Schedule</vt:lpstr>
      <vt:lpstr>Depr Summary</vt:lpstr>
      <vt:lpstr>Depreciation</vt:lpstr>
      <vt:lpstr>Payroll Detail</vt:lpstr>
      <vt:lpstr>DivCon-DVP Alloc In</vt:lpstr>
      <vt:lpstr>Corp-OH</vt:lpstr>
      <vt:lpstr>Region OH Calc</vt:lpstr>
      <vt:lpstr>Corp-BS</vt:lpstr>
      <vt:lpstr>Corp-IS</vt:lpstr>
      <vt:lpstr>38000 Other Rev</vt:lpstr>
      <vt:lpstr>2025 BS 3-31-2015</vt:lpstr>
      <vt:lpstr>Accounts</vt:lpstr>
      <vt:lpstr>AmountFrom</vt:lpstr>
      <vt:lpstr>AmountTo</vt:lpstr>
      <vt:lpstr>CurrentMonth</vt:lpstr>
      <vt:lpstr>DateFrom</vt:lpstr>
      <vt:lpstr>DateTo</vt:lpstr>
      <vt:lpstr>'2025 BS 3-31-2015'!District</vt:lpstr>
      <vt:lpstr>'2025 IS'!District</vt:lpstr>
      <vt:lpstr>'Region OH Calc'!District</vt:lpstr>
      <vt:lpstr>District</vt:lpstr>
      <vt:lpstr>'2025 IS'!DistrictName</vt:lpstr>
      <vt:lpstr>'Region OH Calc'!DistrictName</vt:lpstr>
      <vt:lpstr>Districts</vt:lpstr>
      <vt:lpstr>EntrieShownLimit</vt:lpstr>
      <vt:lpstr>'2025 IS'!ExcludeIC</vt:lpstr>
      <vt:lpstr>'Region OH Calc'!ExcludeIC</vt:lpstr>
      <vt:lpstr>FromMonth</vt:lpstr>
      <vt:lpstr>Posting</vt:lpstr>
      <vt:lpstr>'2025 BS'!Print_Area</vt:lpstr>
      <vt:lpstr>'2025 BS 3-31-2015'!Print_Area</vt:lpstr>
      <vt:lpstr>'2025 IS'!Print_Area</vt:lpstr>
      <vt:lpstr>'38000 Other Rev'!Print_Area</vt:lpstr>
      <vt:lpstr>'Consolidated IS'!Print_Area</vt:lpstr>
      <vt:lpstr>'Corp-OH'!Print_Area</vt:lpstr>
      <vt:lpstr>'Depr Summary'!Print_Area</vt:lpstr>
      <vt:lpstr>Depreciation!Print_Area</vt:lpstr>
      <vt:lpstr>'DF Schedule'!Print_Area</vt:lpstr>
      <vt:lpstr>'G-48 Price Out'!Print_Area</vt:lpstr>
      <vt:lpstr>LG!Print_Area</vt:lpstr>
      <vt:lpstr>'LG G-48'!Print_Area</vt:lpstr>
      <vt:lpstr>'LG G-51'!Print_Area</vt:lpstr>
      <vt:lpstr>'Payroll Detail'!Print_Area</vt:lpstr>
      <vt:lpstr>'Pro-forma'!Print_Area</vt:lpstr>
      <vt:lpstr>'Rate Schedule G-48'!Print_Area</vt:lpstr>
      <vt:lpstr>'Region OH Calc'!Print_Area</vt:lpstr>
      <vt:lpstr>'Restating Adj'!Print_Area</vt:lpstr>
      <vt:lpstr>'Restating Expl'!Print_Area</vt:lpstr>
      <vt:lpstr>'2025 BS'!Print_Titles</vt:lpstr>
      <vt:lpstr>'2025 BS 3-31-2015'!Print_Titles</vt:lpstr>
      <vt:lpstr>'2025 IS'!Print_Titles</vt:lpstr>
      <vt:lpstr>'38000 Other Rev'!Print_Titles</vt:lpstr>
      <vt:lpstr>'Consolidated IS'!Print_Titles</vt:lpstr>
      <vt:lpstr>Depreciation!Print_Titles</vt:lpstr>
      <vt:lpstr>'G-48 DF Calc'!Print_Titles</vt:lpstr>
      <vt:lpstr>'G-48 Price Out'!Print_Titles</vt:lpstr>
      <vt:lpstr>'G-51 Price Out'!Print_Titles</vt:lpstr>
      <vt:lpstr>'Rate Schedule G-48'!Print_Titles</vt:lpstr>
      <vt:lpstr>'Region OH Calc'!Print_Titles</vt:lpstr>
      <vt:lpstr>'Restating Expl'!Print_Titles</vt:lpstr>
      <vt:lpstr>SubSystems</vt:lpstr>
      <vt:lpstr>'2025 IS'!System</vt:lpstr>
      <vt:lpstr>'Region OH Calc'!System</vt:lpstr>
      <vt:lpstr>Systems</vt:lpstr>
      <vt:lpstr>ToMonth</vt:lpstr>
      <vt:lpstr>VendorCode</vt:lpstr>
      <vt:lpstr>'2025 BS 3-31-2015'!YearMonth</vt:lpstr>
      <vt:lpstr>'2025 IS'!YearMonth</vt:lpstr>
      <vt:lpstr>'Region OH Calc'!YearMonth</vt:lpstr>
      <vt:lpstr>YearMonth</vt:lpstr>
    </vt:vector>
  </TitlesOfParts>
  <Company>Waste Connections,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heatherg</cp:lastModifiedBy>
  <cp:lastPrinted>2016-04-15T21:17:11Z</cp:lastPrinted>
  <dcterms:created xsi:type="dcterms:W3CDTF">2015-07-09T23:07:37Z</dcterms:created>
  <dcterms:modified xsi:type="dcterms:W3CDTF">2016-04-15T21:44:00Z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0x0101006E56B4D1795A2E4DB2F0B01679ED314A00EA9E0C6AAD117944B71935F52C8823F4</vt:lpwstr>
  </property>
  <property fmtid="{D5CDD505-2E9C-101B-9397-08002B2CF9AE}" pid="3" name="_docset_NoMedatataSyncRequired">
    <vt:lpwstr>False</vt:lpwstr>
  </property>
</Properties>
</file>